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15" yWindow="435" windowWidth="13800" windowHeight="12120" activeTab="1"/>
  </bookViews>
  <sheets>
    <sheet name="Тепло" sheetId="2" r:id="rId1"/>
    <sheet name="ГВС" sheetId="3" r:id="rId2"/>
    <sheet name="Лист1" sheetId="4" r:id="rId3"/>
  </sheets>
  <externalReferences>
    <externalReference r:id="rId4"/>
  </externalReferences>
  <definedNames>
    <definedName name="_xlnm._FilterDatabase" localSheetId="1" hidden="1">ГВС!$A$4:$M$3801</definedName>
    <definedName name="_xlnm._FilterDatabase" localSheetId="0" hidden="1">Тепло!$A$3:$P$1429</definedName>
    <definedName name="_xlnm.Print_Titles" localSheetId="1">ГВС!$2:$4</definedName>
    <definedName name="_xlnm.Print_Titles" localSheetId="0">Тепло!$2:$3</definedName>
    <definedName name="_xlnm.Print_Area" localSheetId="1">ГВС!$A$1:$M$23</definedName>
    <definedName name="_xlnm.Print_Area" localSheetId="0">Тепло!$A$1:$P$1342</definedName>
  </definedNames>
  <calcPr calcId="145621"/>
</workbook>
</file>

<file path=xl/calcChain.xml><?xml version="1.0" encoding="utf-8"?>
<calcChain xmlns="http://schemas.openxmlformats.org/spreadsheetml/2006/main">
  <c r="Q331" i="2" l="1"/>
  <c r="Q1250" i="2" l="1"/>
  <c r="R1250" i="2" s="1"/>
  <c r="S1250" i="2" s="1"/>
  <c r="Q1252" i="2"/>
  <c r="R1252" i="2" s="1"/>
  <c r="S1252" i="2" s="1"/>
  <c r="Q1271" i="2" l="1"/>
  <c r="R1271" i="2" s="1"/>
  <c r="S1271" i="2" s="1"/>
  <c r="N2396" i="3" l="1"/>
  <c r="O2396" i="3"/>
  <c r="N2397" i="3"/>
  <c r="P2397" i="3" s="1"/>
  <c r="O2397" i="3"/>
  <c r="Q2397" i="3" s="1"/>
  <c r="N2398" i="3"/>
  <c r="O2398" i="3"/>
  <c r="N2399" i="3"/>
  <c r="P2399" i="3" s="1"/>
  <c r="R2399" i="3" s="1"/>
  <c r="O2399" i="3"/>
  <c r="Q2399" i="3" s="1"/>
  <c r="S2399" i="3" s="1"/>
  <c r="N2400" i="3"/>
  <c r="O2400" i="3"/>
  <c r="N2401" i="3"/>
  <c r="P2401" i="3" s="1"/>
  <c r="R2401" i="3" s="1"/>
  <c r="O2401" i="3"/>
  <c r="Q2401" i="3" s="1"/>
  <c r="S2401" i="3" s="1"/>
  <c r="N2402" i="3"/>
  <c r="O2402" i="3"/>
  <c r="N2403" i="3"/>
  <c r="P2403" i="3" s="1"/>
  <c r="O2403" i="3"/>
  <c r="Q2403" i="3" s="1"/>
  <c r="N2404" i="3"/>
  <c r="O2404" i="3"/>
  <c r="N2405" i="3"/>
  <c r="P2405" i="3" s="1"/>
  <c r="O2405" i="3"/>
  <c r="Q2405" i="3" s="1"/>
  <c r="N2406" i="3"/>
  <c r="O2406" i="3"/>
  <c r="N2407" i="3"/>
  <c r="P2407" i="3" s="1"/>
  <c r="R2407" i="3" s="1"/>
  <c r="O2407" i="3"/>
  <c r="Q2407" i="3" s="1"/>
  <c r="S2407" i="3" s="1"/>
  <c r="N2408" i="3"/>
  <c r="O2408" i="3"/>
  <c r="N2409" i="3"/>
  <c r="P2409" i="3" s="1"/>
  <c r="R2409" i="3" s="1"/>
  <c r="O2409" i="3"/>
  <c r="Q2409" i="3" s="1"/>
  <c r="S2409" i="3" s="1"/>
  <c r="N2410" i="3"/>
  <c r="O2410" i="3"/>
  <c r="O2395" i="3"/>
  <c r="Q2395" i="3" s="1"/>
  <c r="N2395" i="3"/>
  <c r="P2395" i="3" s="1"/>
  <c r="Q832" i="2"/>
  <c r="R832" i="2" s="1"/>
  <c r="S832" i="2" s="1"/>
  <c r="T2407" i="3" l="1"/>
  <c r="T2409" i="3"/>
  <c r="T2401" i="3"/>
  <c r="T2399" i="3"/>
  <c r="O608" i="3"/>
  <c r="O609" i="3"/>
  <c r="O610" i="3"/>
  <c r="O611" i="3"/>
  <c r="O612" i="3"/>
  <c r="O613" i="3"/>
  <c r="O614" i="3"/>
  <c r="O615" i="3"/>
  <c r="O616" i="3"/>
  <c r="Q616" i="3" s="1"/>
  <c r="O617" i="3"/>
  <c r="O618" i="3"/>
  <c r="Q618" i="3" s="1"/>
  <c r="O619" i="3"/>
  <c r="O620" i="3"/>
  <c r="Q620" i="3" s="1"/>
  <c r="O621" i="3"/>
  <c r="O622" i="3"/>
  <c r="Q622" i="3" s="1"/>
  <c r="S622" i="3" s="1"/>
  <c r="O623" i="3"/>
  <c r="N609" i="3"/>
  <c r="N610" i="3"/>
  <c r="N611" i="3"/>
  <c r="N612" i="3"/>
  <c r="N613" i="3"/>
  <c r="N614" i="3"/>
  <c r="N615" i="3"/>
  <c r="N616" i="3"/>
  <c r="P616" i="3" s="1"/>
  <c r="N617" i="3"/>
  <c r="N618" i="3"/>
  <c r="P618" i="3" s="1"/>
  <c r="N619" i="3"/>
  <c r="N620" i="3"/>
  <c r="P620" i="3" s="1"/>
  <c r="N621" i="3"/>
  <c r="N622" i="3"/>
  <c r="P622" i="3" s="1"/>
  <c r="R622" i="3" s="1"/>
  <c r="N623" i="3"/>
  <c r="N608" i="3"/>
  <c r="O1466" i="3" l="1"/>
  <c r="N1466" i="3"/>
  <c r="O1463" i="3"/>
  <c r="N1463" i="3"/>
  <c r="N1434" i="3" l="1"/>
  <c r="O1434" i="3"/>
  <c r="N1435" i="3"/>
  <c r="O1435" i="3"/>
  <c r="N1436" i="3"/>
  <c r="O1436" i="3"/>
  <c r="N1437" i="3"/>
  <c r="O1437" i="3"/>
  <c r="N1438" i="3"/>
  <c r="O1438" i="3"/>
  <c r="N1439" i="3"/>
  <c r="O1439" i="3"/>
  <c r="N1440" i="3"/>
  <c r="O1440" i="3"/>
  <c r="N1441" i="3"/>
  <c r="O1441" i="3"/>
  <c r="N1442" i="3"/>
  <c r="O1442" i="3"/>
  <c r="N1443" i="3"/>
  <c r="O1443" i="3"/>
  <c r="N1444" i="3"/>
  <c r="O1444" i="3"/>
  <c r="N1445" i="3"/>
  <c r="O1445" i="3"/>
  <c r="N1446" i="3"/>
  <c r="O1446" i="3"/>
  <c r="N1447" i="3"/>
  <c r="O1447" i="3"/>
  <c r="N1448" i="3"/>
  <c r="O1448" i="3"/>
  <c r="O1433" i="3"/>
  <c r="N1433" i="3"/>
  <c r="Q542" i="2"/>
  <c r="Q524" i="2"/>
  <c r="Q506" i="2"/>
  <c r="R506" i="2" s="1"/>
  <c r="S506" i="2" s="1"/>
  <c r="Q558" i="2" l="1"/>
  <c r="Q556" i="2"/>
  <c r="Q540" i="2"/>
  <c r="Q522" i="2"/>
  <c r="Q510" i="2"/>
  <c r="Q504" i="2"/>
  <c r="R504" i="2" s="1"/>
  <c r="S504" i="2" s="1"/>
  <c r="O2518" i="3" l="1"/>
  <c r="Q2518" i="3" s="1"/>
  <c r="S2518" i="3" s="1"/>
  <c r="N2518" i="3"/>
  <c r="P2518" i="3" s="1"/>
  <c r="R2518" i="3" s="1"/>
  <c r="O2516" i="3"/>
  <c r="Q2516" i="3" s="1"/>
  <c r="S2516" i="3" s="1"/>
  <c r="N2516" i="3"/>
  <c r="P2516" i="3" s="1"/>
  <c r="R2516" i="3" s="1"/>
  <c r="Q898" i="2"/>
  <c r="R898" i="2" s="1"/>
  <c r="S898" i="2" s="1"/>
  <c r="T2516" i="3" l="1"/>
  <c r="T2518" i="3"/>
  <c r="N293" i="3"/>
  <c r="O293" i="3"/>
  <c r="N294" i="3"/>
  <c r="P294" i="3" s="1"/>
  <c r="R294" i="3" s="1"/>
  <c r="O294" i="3"/>
  <c r="Q294" i="3" s="1"/>
  <c r="S294" i="3" s="1"/>
  <c r="O292" i="3"/>
  <c r="Q292" i="3" s="1"/>
  <c r="S292" i="3" s="1"/>
  <c r="N292" i="3"/>
  <c r="P292" i="3" s="1"/>
  <c r="R292" i="3" s="1"/>
  <c r="T292" i="3" l="1"/>
  <c r="T294" i="3"/>
  <c r="O3268" i="3"/>
  <c r="Q3268" i="3" s="1"/>
  <c r="N3268" i="3"/>
  <c r="P3268" i="3" s="1"/>
  <c r="Q1242" i="2"/>
  <c r="R1242" i="2" s="1"/>
  <c r="O3307" i="3"/>
  <c r="N3307" i="3"/>
  <c r="O3306" i="3"/>
  <c r="Q3306" i="3" s="1"/>
  <c r="N3306" i="3"/>
  <c r="P3306" i="3" s="1"/>
  <c r="O3305" i="3"/>
  <c r="N3305" i="3"/>
  <c r="O3304" i="3"/>
  <c r="Q3304" i="3" s="1"/>
  <c r="N3304" i="3"/>
  <c r="P3304" i="3" s="1"/>
  <c r="O3303" i="3"/>
  <c r="N3303" i="3"/>
  <c r="O3302" i="3"/>
  <c r="N3302" i="3"/>
  <c r="O3301" i="3"/>
  <c r="N3301" i="3"/>
  <c r="O3300" i="3"/>
  <c r="N3300" i="3"/>
  <c r="O3299" i="3"/>
  <c r="N3299" i="3"/>
  <c r="O3298" i="3"/>
  <c r="N3298" i="3"/>
  <c r="O3297" i="3"/>
  <c r="N3297" i="3"/>
  <c r="O3296" i="3"/>
  <c r="N3296" i="3"/>
  <c r="O3295" i="3"/>
  <c r="N3295" i="3"/>
  <c r="O3294" i="3"/>
  <c r="N3294" i="3"/>
  <c r="O3293" i="3"/>
  <c r="N3293" i="3"/>
  <c r="O3292" i="3"/>
  <c r="N3292" i="3"/>
  <c r="N3275" i="3"/>
  <c r="O3275" i="3"/>
  <c r="N3276" i="3"/>
  <c r="O3276" i="3"/>
  <c r="N3277" i="3"/>
  <c r="O3277" i="3"/>
  <c r="N3278" i="3"/>
  <c r="O3278" i="3"/>
  <c r="N3279" i="3"/>
  <c r="O3279" i="3"/>
  <c r="N3280" i="3"/>
  <c r="O3280" i="3"/>
  <c r="N3281" i="3"/>
  <c r="O3281" i="3"/>
  <c r="N3282" i="3"/>
  <c r="O3282" i="3"/>
  <c r="N3283" i="3"/>
  <c r="O3283" i="3"/>
  <c r="N3284" i="3"/>
  <c r="O3284" i="3"/>
  <c r="N3285" i="3"/>
  <c r="O3285" i="3"/>
  <c r="N3286" i="3"/>
  <c r="P3286" i="3" s="1"/>
  <c r="O3286" i="3"/>
  <c r="Q3286" i="3" s="1"/>
  <c r="S3286" i="3" s="1"/>
  <c r="N3287" i="3"/>
  <c r="O3287" i="3"/>
  <c r="N3288" i="3"/>
  <c r="P3288" i="3" s="1"/>
  <c r="O3288" i="3"/>
  <c r="Q3288" i="3" s="1"/>
  <c r="N3289" i="3"/>
  <c r="O3289" i="3"/>
  <c r="O3274" i="3"/>
  <c r="N3274" i="3"/>
  <c r="Q1227" i="2"/>
  <c r="Q1230" i="2"/>
  <c r="Q1231" i="2"/>
  <c r="Q1234" i="2"/>
  <c r="R1234" i="2" s="1"/>
  <c r="S1234" i="2" s="1"/>
  <c r="Q1235" i="2"/>
  <c r="Q1238" i="2"/>
  <c r="R1238" i="2" s="1"/>
  <c r="S1238" i="2" s="1"/>
  <c r="Q1239" i="2"/>
  <c r="Q1226" i="2"/>
  <c r="R1226" i="2" s="1"/>
  <c r="S1226" i="2" s="1"/>
  <c r="R3268" i="3" l="1"/>
  <c r="R3286" i="3"/>
  <c r="T3286" i="3" s="1"/>
  <c r="Q1246" i="2"/>
  <c r="R1246" i="2" s="1"/>
  <c r="N2753" i="3" l="1"/>
  <c r="O2753" i="3"/>
  <c r="O2791" i="3"/>
  <c r="N2791" i="3"/>
  <c r="O2790" i="3"/>
  <c r="Q2790" i="3" s="1"/>
  <c r="N2790" i="3"/>
  <c r="P2790" i="3" s="1"/>
  <c r="O2789" i="3"/>
  <c r="N2789" i="3"/>
  <c r="O2788" i="3"/>
  <c r="Q2788" i="3" s="1"/>
  <c r="N2788" i="3"/>
  <c r="P2788" i="3" s="1"/>
  <c r="O2787" i="3"/>
  <c r="N2787" i="3"/>
  <c r="O2786" i="3"/>
  <c r="N2786" i="3"/>
  <c r="O2785" i="3"/>
  <c r="N2785" i="3"/>
  <c r="O2784" i="3"/>
  <c r="N2784" i="3"/>
  <c r="O2783" i="3"/>
  <c r="N2783" i="3"/>
  <c r="O2782" i="3"/>
  <c r="N2782" i="3"/>
  <c r="O2781" i="3"/>
  <c r="N2781" i="3"/>
  <c r="O2780" i="3"/>
  <c r="N2780" i="3"/>
  <c r="O2779" i="3"/>
  <c r="N2779" i="3"/>
  <c r="O2778" i="3"/>
  <c r="N2778" i="3"/>
  <c r="O2777" i="3"/>
  <c r="N2777" i="3"/>
  <c r="O2776" i="3"/>
  <c r="N2776" i="3"/>
  <c r="O2773" i="3"/>
  <c r="N2773" i="3"/>
  <c r="O2772" i="3"/>
  <c r="N2772" i="3"/>
  <c r="O2771" i="3"/>
  <c r="N2771" i="3"/>
  <c r="O2770" i="3"/>
  <c r="Q2770" i="3" s="1"/>
  <c r="N2770" i="3"/>
  <c r="P2770" i="3" s="1"/>
  <c r="O2769" i="3"/>
  <c r="N2769" i="3"/>
  <c r="O2768" i="3"/>
  <c r="N2768" i="3"/>
  <c r="O2767" i="3"/>
  <c r="N2767" i="3"/>
  <c r="O2766" i="3"/>
  <c r="Q2766" i="3" s="1"/>
  <c r="N2766" i="3"/>
  <c r="P2766" i="3" s="1"/>
  <c r="O2765" i="3"/>
  <c r="N2765" i="3"/>
  <c r="O2764" i="3"/>
  <c r="N2764" i="3"/>
  <c r="O2763" i="3"/>
  <c r="N2763" i="3"/>
  <c r="O2762" i="3"/>
  <c r="N2762" i="3"/>
  <c r="O2761" i="3"/>
  <c r="N2761" i="3"/>
  <c r="O2760" i="3"/>
  <c r="N2760" i="3"/>
  <c r="O2759" i="3"/>
  <c r="N2759" i="3"/>
  <c r="O2758" i="3"/>
  <c r="N2758" i="3"/>
  <c r="O2755" i="3"/>
  <c r="N2755" i="3"/>
  <c r="O2754" i="3"/>
  <c r="N2754" i="3"/>
  <c r="O2752" i="3"/>
  <c r="Q2752" i="3" s="1"/>
  <c r="N2752" i="3"/>
  <c r="P2752" i="3" s="1"/>
  <c r="O2751" i="3"/>
  <c r="N2751" i="3"/>
  <c r="O2750" i="3"/>
  <c r="N2750" i="3"/>
  <c r="O2749" i="3"/>
  <c r="N2749" i="3"/>
  <c r="O2748" i="3"/>
  <c r="N2748" i="3"/>
  <c r="O2747" i="3"/>
  <c r="N2747" i="3"/>
  <c r="O2746" i="3"/>
  <c r="N2746" i="3"/>
  <c r="O2745" i="3"/>
  <c r="N2745" i="3"/>
  <c r="O2744" i="3"/>
  <c r="N2744" i="3"/>
  <c r="O2743" i="3"/>
  <c r="N2743" i="3"/>
  <c r="O2742" i="3"/>
  <c r="N2742" i="3"/>
  <c r="O2741" i="3"/>
  <c r="N2741" i="3"/>
  <c r="O2740" i="3"/>
  <c r="N2740" i="3"/>
  <c r="O2737" i="3"/>
  <c r="N2737" i="3"/>
  <c r="O2736" i="3"/>
  <c r="Q2736" i="3" s="1"/>
  <c r="N2736" i="3"/>
  <c r="P2736" i="3" s="1"/>
  <c r="O2735" i="3"/>
  <c r="N2735" i="3"/>
  <c r="O2734" i="3"/>
  <c r="Q2734" i="3" s="1"/>
  <c r="N2734" i="3"/>
  <c r="P2734" i="3" s="1"/>
  <c r="O2733" i="3"/>
  <c r="N2733" i="3"/>
  <c r="O2732" i="3"/>
  <c r="Q2732" i="3" s="1"/>
  <c r="N2732" i="3"/>
  <c r="P2732" i="3" s="1"/>
  <c r="O2731" i="3"/>
  <c r="N2731" i="3"/>
  <c r="O2730" i="3"/>
  <c r="N2730" i="3"/>
  <c r="O2729" i="3"/>
  <c r="N2729" i="3"/>
  <c r="O2728" i="3"/>
  <c r="N2728" i="3"/>
  <c r="O2727" i="3"/>
  <c r="N2727" i="3"/>
  <c r="O2726" i="3"/>
  <c r="N2726" i="3"/>
  <c r="O2725" i="3"/>
  <c r="N2725" i="3"/>
  <c r="O2724" i="3"/>
  <c r="N2724" i="3"/>
  <c r="O2723" i="3"/>
  <c r="N2723" i="3"/>
  <c r="O2722" i="3"/>
  <c r="N2722" i="3"/>
  <c r="O2719" i="3"/>
  <c r="N2719" i="3"/>
  <c r="O2718" i="3"/>
  <c r="Q2718" i="3" s="1"/>
  <c r="N2718" i="3"/>
  <c r="P2718" i="3" s="1"/>
  <c r="O2717" i="3"/>
  <c r="N2717" i="3"/>
  <c r="O2716" i="3"/>
  <c r="Q2716" i="3" s="1"/>
  <c r="N2716" i="3"/>
  <c r="P2716" i="3" s="1"/>
  <c r="O2715" i="3"/>
  <c r="N2715" i="3"/>
  <c r="O2714" i="3"/>
  <c r="N2714" i="3"/>
  <c r="O2713" i="3"/>
  <c r="N2713" i="3"/>
  <c r="O2712" i="3"/>
  <c r="N2712" i="3"/>
  <c r="O2711" i="3"/>
  <c r="N2711" i="3"/>
  <c r="O2710" i="3"/>
  <c r="N2710" i="3"/>
  <c r="O2709" i="3"/>
  <c r="N2709" i="3"/>
  <c r="O2708" i="3"/>
  <c r="N2708" i="3"/>
  <c r="O2707" i="3"/>
  <c r="N2707" i="3"/>
  <c r="O2706" i="3"/>
  <c r="N2706" i="3"/>
  <c r="O2705" i="3"/>
  <c r="N2705" i="3"/>
  <c r="O2704" i="3"/>
  <c r="N2704" i="3"/>
  <c r="O2701" i="3"/>
  <c r="N2701" i="3"/>
  <c r="O2700" i="3"/>
  <c r="N2700" i="3"/>
  <c r="O2699" i="3"/>
  <c r="N2699" i="3"/>
  <c r="O2698" i="3"/>
  <c r="Q2698" i="3" s="1"/>
  <c r="N2698" i="3"/>
  <c r="P2698" i="3" s="1"/>
  <c r="O2697" i="3"/>
  <c r="N2697" i="3"/>
  <c r="O2696" i="3"/>
  <c r="N2696" i="3"/>
  <c r="O2695" i="3"/>
  <c r="N2695" i="3"/>
  <c r="O2694" i="3"/>
  <c r="N2694" i="3"/>
  <c r="O2693" i="3"/>
  <c r="N2693" i="3"/>
  <c r="O2692" i="3"/>
  <c r="N2692" i="3"/>
  <c r="O2691" i="3"/>
  <c r="N2691" i="3"/>
  <c r="O2690" i="3"/>
  <c r="N2690" i="3"/>
  <c r="O2689" i="3"/>
  <c r="N2689" i="3"/>
  <c r="O2688" i="3"/>
  <c r="N2688" i="3"/>
  <c r="O2687" i="3"/>
  <c r="N2687" i="3"/>
  <c r="O2686" i="3"/>
  <c r="N2686" i="3"/>
  <c r="O2683" i="3"/>
  <c r="N2683" i="3"/>
  <c r="O2682" i="3"/>
  <c r="Q2682" i="3" s="1"/>
  <c r="N2682" i="3"/>
  <c r="P2682" i="3" s="1"/>
  <c r="O2681" i="3"/>
  <c r="N2681" i="3"/>
  <c r="O2680" i="3"/>
  <c r="Q2680" i="3" s="1"/>
  <c r="N2680" i="3"/>
  <c r="P2680" i="3" s="1"/>
  <c r="O2679" i="3"/>
  <c r="N2679" i="3"/>
  <c r="O2678" i="3"/>
  <c r="N2678" i="3"/>
  <c r="O2677" i="3"/>
  <c r="N2677" i="3"/>
  <c r="O2676" i="3"/>
  <c r="Q2676" i="3" s="1"/>
  <c r="N2676" i="3"/>
  <c r="P2676" i="3" s="1"/>
  <c r="O2675" i="3"/>
  <c r="N2675" i="3"/>
  <c r="O2674" i="3"/>
  <c r="N2674" i="3"/>
  <c r="O2673" i="3"/>
  <c r="N2673" i="3"/>
  <c r="O2672" i="3"/>
  <c r="N2672" i="3"/>
  <c r="O2671" i="3"/>
  <c r="N2671" i="3"/>
  <c r="O2670" i="3"/>
  <c r="N2670" i="3"/>
  <c r="O2669" i="3"/>
  <c r="N2669" i="3"/>
  <c r="O2668" i="3"/>
  <c r="N2668" i="3"/>
  <c r="O2665" i="3"/>
  <c r="N2665" i="3"/>
  <c r="O2664" i="3"/>
  <c r="Q2664" i="3" s="1"/>
  <c r="N2664" i="3"/>
  <c r="P2664" i="3" s="1"/>
  <c r="O2663" i="3"/>
  <c r="N2663" i="3"/>
  <c r="O2662" i="3"/>
  <c r="Q2662" i="3" s="1"/>
  <c r="N2662" i="3"/>
  <c r="P2662" i="3" s="1"/>
  <c r="O2661" i="3"/>
  <c r="N2661" i="3"/>
  <c r="O2660" i="3"/>
  <c r="N2660" i="3"/>
  <c r="O2659" i="3"/>
  <c r="N2659" i="3"/>
  <c r="O2658" i="3"/>
  <c r="N2658" i="3"/>
  <c r="O2657" i="3"/>
  <c r="N2657" i="3"/>
  <c r="O2656" i="3"/>
  <c r="N2656" i="3"/>
  <c r="O2655" i="3"/>
  <c r="N2655" i="3"/>
  <c r="O2654" i="3"/>
  <c r="N2654" i="3"/>
  <c r="O2653" i="3"/>
  <c r="N2653" i="3"/>
  <c r="O2652" i="3"/>
  <c r="N2652" i="3"/>
  <c r="O2651" i="3"/>
  <c r="N2651" i="3"/>
  <c r="O2650" i="3"/>
  <c r="N2650" i="3"/>
  <c r="O2647" i="3"/>
  <c r="N2647" i="3"/>
  <c r="O2646" i="3"/>
  <c r="Q2646" i="3" s="1"/>
  <c r="N2646" i="3"/>
  <c r="P2646" i="3" s="1"/>
  <c r="O2645" i="3"/>
  <c r="N2645" i="3"/>
  <c r="O2644" i="3"/>
  <c r="Q2644" i="3" s="1"/>
  <c r="N2644" i="3"/>
  <c r="P2644" i="3" s="1"/>
  <c r="O2643" i="3"/>
  <c r="N2643" i="3"/>
  <c r="O2642" i="3"/>
  <c r="N2642" i="3"/>
  <c r="O2641" i="3"/>
  <c r="N2641" i="3"/>
  <c r="O2640" i="3"/>
  <c r="N2640" i="3"/>
  <c r="O2639" i="3"/>
  <c r="N2639" i="3"/>
  <c r="O2638" i="3"/>
  <c r="N2638" i="3"/>
  <c r="O2637" i="3"/>
  <c r="N2637" i="3"/>
  <c r="O2636" i="3"/>
  <c r="N2636" i="3"/>
  <c r="O2635" i="3"/>
  <c r="N2635" i="3"/>
  <c r="O2634" i="3"/>
  <c r="N2634" i="3"/>
  <c r="O2633" i="3"/>
  <c r="N2633" i="3"/>
  <c r="O2632" i="3"/>
  <c r="N2632" i="3"/>
  <c r="O2629" i="3"/>
  <c r="N2629" i="3"/>
  <c r="O2628" i="3"/>
  <c r="N2628" i="3"/>
  <c r="O2627" i="3"/>
  <c r="N2627" i="3"/>
  <c r="O2626" i="3"/>
  <c r="Q2626" i="3" s="1"/>
  <c r="N2626" i="3"/>
  <c r="P2626" i="3" s="1"/>
  <c r="O2625" i="3"/>
  <c r="N2625" i="3"/>
  <c r="O2624" i="3"/>
  <c r="N2624" i="3"/>
  <c r="O2623" i="3"/>
  <c r="N2623" i="3"/>
  <c r="O2622" i="3"/>
  <c r="N2622" i="3"/>
  <c r="O2621" i="3"/>
  <c r="N2621" i="3"/>
  <c r="O2620" i="3"/>
  <c r="N2620" i="3"/>
  <c r="O2619" i="3"/>
  <c r="N2619" i="3"/>
  <c r="O2618" i="3"/>
  <c r="N2618" i="3"/>
  <c r="O2617" i="3"/>
  <c r="N2617" i="3"/>
  <c r="O2616" i="3"/>
  <c r="N2616" i="3"/>
  <c r="O2615" i="3"/>
  <c r="N2615" i="3"/>
  <c r="O2614" i="3"/>
  <c r="N2614" i="3"/>
  <c r="O2611" i="3"/>
  <c r="N2611" i="3"/>
  <c r="O2610" i="3"/>
  <c r="N2610" i="3"/>
  <c r="O2609" i="3"/>
  <c r="N2609" i="3"/>
  <c r="O2608" i="3"/>
  <c r="N2608" i="3"/>
  <c r="O2607" i="3"/>
  <c r="N2607" i="3"/>
  <c r="O2606" i="3"/>
  <c r="Q2606" i="3" s="1"/>
  <c r="N2606" i="3"/>
  <c r="P2606" i="3" s="1"/>
  <c r="O2605" i="3"/>
  <c r="N2605" i="3"/>
  <c r="O2604" i="3"/>
  <c r="N2604" i="3"/>
  <c r="O2603" i="3"/>
  <c r="N2603" i="3"/>
  <c r="O2602" i="3"/>
  <c r="N2602" i="3"/>
  <c r="O2601" i="3"/>
  <c r="N2601" i="3"/>
  <c r="O2600" i="3"/>
  <c r="N2600" i="3"/>
  <c r="O2599" i="3"/>
  <c r="N2599" i="3"/>
  <c r="O2598" i="3"/>
  <c r="N2598" i="3"/>
  <c r="O2597" i="3"/>
  <c r="N2597" i="3"/>
  <c r="O2596" i="3"/>
  <c r="N2596" i="3"/>
  <c r="N2579" i="3"/>
  <c r="O2579" i="3"/>
  <c r="N2580" i="3"/>
  <c r="O2580" i="3"/>
  <c r="N2581" i="3"/>
  <c r="O2581" i="3"/>
  <c r="N2582" i="3"/>
  <c r="O2582" i="3"/>
  <c r="N2583" i="3"/>
  <c r="O2583" i="3"/>
  <c r="N2584" i="3"/>
  <c r="O2584" i="3"/>
  <c r="N2585" i="3"/>
  <c r="O2585" i="3"/>
  <c r="N2586" i="3"/>
  <c r="O2586" i="3"/>
  <c r="N2587" i="3"/>
  <c r="O2587" i="3"/>
  <c r="N2588" i="3"/>
  <c r="O2588" i="3"/>
  <c r="N2589" i="3"/>
  <c r="O2589" i="3"/>
  <c r="N2590" i="3"/>
  <c r="P2590" i="3" s="1"/>
  <c r="O2590" i="3"/>
  <c r="Q2590" i="3" s="1"/>
  <c r="N2591" i="3"/>
  <c r="O2591" i="3"/>
  <c r="N2592" i="3"/>
  <c r="P2592" i="3" s="1"/>
  <c r="O2592" i="3"/>
  <c r="Q2592" i="3" s="1"/>
  <c r="N2593" i="3"/>
  <c r="O2593" i="3"/>
  <c r="O2578" i="3"/>
  <c r="N2578" i="3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R956" i="2" s="1"/>
  <c r="S956" i="2" s="1"/>
  <c r="Q957" i="2"/>
  <c r="Q912" i="2"/>
  <c r="Q908" i="2" l="1"/>
  <c r="O1193" i="3" l="1"/>
  <c r="Q1193" i="3" s="1"/>
  <c r="N1193" i="3"/>
  <c r="P1193" i="3" s="1"/>
  <c r="O1192" i="3"/>
  <c r="Q1192" i="3" s="1"/>
  <c r="N1192" i="3"/>
  <c r="P1192" i="3" s="1"/>
  <c r="O1191" i="3"/>
  <c r="Q1191" i="3" s="1"/>
  <c r="N1191" i="3"/>
  <c r="P1191" i="3" s="1"/>
  <c r="O1190" i="3"/>
  <c r="Q1190" i="3" s="1"/>
  <c r="N1190" i="3"/>
  <c r="P1190" i="3" s="1"/>
  <c r="O1189" i="3"/>
  <c r="Q1189" i="3" s="1"/>
  <c r="N1189" i="3"/>
  <c r="P1189" i="3" s="1"/>
  <c r="O1188" i="3"/>
  <c r="Q1188" i="3" s="1"/>
  <c r="N1188" i="3"/>
  <c r="P1188" i="3" s="1"/>
  <c r="O1187" i="3"/>
  <c r="Q1187" i="3" s="1"/>
  <c r="N1187" i="3"/>
  <c r="P1187" i="3" s="1"/>
  <c r="O1186" i="3"/>
  <c r="Q1186" i="3" s="1"/>
  <c r="N1186" i="3"/>
  <c r="P1186" i="3" s="1"/>
  <c r="O1185" i="3"/>
  <c r="Q1185" i="3" s="1"/>
  <c r="N1185" i="3"/>
  <c r="P1185" i="3" s="1"/>
  <c r="O1184" i="3"/>
  <c r="Q1184" i="3" s="1"/>
  <c r="N1184" i="3"/>
  <c r="P1184" i="3" s="1"/>
  <c r="O1183" i="3"/>
  <c r="Q1183" i="3" s="1"/>
  <c r="N1183" i="3"/>
  <c r="P1183" i="3" s="1"/>
  <c r="O1182" i="3"/>
  <c r="Q1182" i="3" s="1"/>
  <c r="N1182" i="3"/>
  <c r="P1182" i="3" s="1"/>
  <c r="O1181" i="3"/>
  <c r="Q1181" i="3" s="1"/>
  <c r="N1181" i="3"/>
  <c r="P1181" i="3" s="1"/>
  <c r="O1180" i="3"/>
  <c r="Q1180" i="3" s="1"/>
  <c r="N1180" i="3"/>
  <c r="P1180" i="3" s="1"/>
  <c r="O1179" i="3"/>
  <c r="Q1179" i="3" s="1"/>
  <c r="N1179" i="3"/>
  <c r="P1179" i="3" s="1"/>
  <c r="O1178" i="3"/>
  <c r="Q1178" i="3" s="1"/>
  <c r="N1178" i="3"/>
  <c r="P1178" i="3" s="1"/>
  <c r="O1175" i="3"/>
  <c r="Q1175" i="3" s="1"/>
  <c r="N1175" i="3"/>
  <c r="P1175" i="3" s="1"/>
  <c r="O1174" i="3"/>
  <c r="Q1174" i="3" s="1"/>
  <c r="N1174" i="3"/>
  <c r="P1174" i="3" s="1"/>
  <c r="O1173" i="3"/>
  <c r="Q1173" i="3" s="1"/>
  <c r="N1173" i="3"/>
  <c r="P1173" i="3" s="1"/>
  <c r="O1172" i="3"/>
  <c r="Q1172" i="3" s="1"/>
  <c r="N1172" i="3"/>
  <c r="P1172" i="3" s="1"/>
  <c r="O1171" i="3"/>
  <c r="Q1171" i="3" s="1"/>
  <c r="N1171" i="3"/>
  <c r="P1171" i="3" s="1"/>
  <c r="O1170" i="3"/>
  <c r="Q1170" i="3" s="1"/>
  <c r="N1170" i="3"/>
  <c r="P1170" i="3" s="1"/>
  <c r="O1169" i="3"/>
  <c r="Q1169" i="3" s="1"/>
  <c r="N1169" i="3"/>
  <c r="P1169" i="3" s="1"/>
  <c r="O1168" i="3"/>
  <c r="Q1168" i="3" s="1"/>
  <c r="N1168" i="3"/>
  <c r="P1168" i="3" s="1"/>
  <c r="O1167" i="3"/>
  <c r="Q1167" i="3" s="1"/>
  <c r="N1167" i="3"/>
  <c r="P1167" i="3" s="1"/>
  <c r="O1166" i="3"/>
  <c r="Q1166" i="3" s="1"/>
  <c r="N1166" i="3"/>
  <c r="P1166" i="3" s="1"/>
  <c r="O1165" i="3"/>
  <c r="Q1165" i="3" s="1"/>
  <c r="N1165" i="3"/>
  <c r="P1165" i="3" s="1"/>
  <c r="O1164" i="3"/>
  <c r="Q1164" i="3" s="1"/>
  <c r="N1164" i="3"/>
  <c r="P1164" i="3" s="1"/>
  <c r="O1163" i="3"/>
  <c r="Q1163" i="3" s="1"/>
  <c r="N1163" i="3"/>
  <c r="P1163" i="3" s="1"/>
  <c r="O1162" i="3"/>
  <c r="Q1162" i="3" s="1"/>
  <c r="N1162" i="3"/>
  <c r="P1162" i="3" s="1"/>
  <c r="O1161" i="3"/>
  <c r="Q1161" i="3" s="1"/>
  <c r="N1161" i="3"/>
  <c r="P1161" i="3" s="1"/>
  <c r="O1160" i="3"/>
  <c r="Q1160" i="3" s="1"/>
  <c r="N1160" i="3"/>
  <c r="P1160" i="3" s="1"/>
  <c r="O1157" i="3"/>
  <c r="Q1157" i="3" s="1"/>
  <c r="N1157" i="3"/>
  <c r="P1157" i="3" s="1"/>
  <c r="O1156" i="3"/>
  <c r="Q1156" i="3" s="1"/>
  <c r="N1156" i="3"/>
  <c r="P1156" i="3" s="1"/>
  <c r="O1155" i="3"/>
  <c r="Q1155" i="3" s="1"/>
  <c r="N1155" i="3"/>
  <c r="P1155" i="3" s="1"/>
  <c r="O1154" i="3"/>
  <c r="Q1154" i="3" s="1"/>
  <c r="N1154" i="3"/>
  <c r="P1154" i="3" s="1"/>
  <c r="O1153" i="3"/>
  <c r="Q1153" i="3" s="1"/>
  <c r="N1153" i="3"/>
  <c r="P1153" i="3" s="1"/>
  <c r="O1152" i="3"/>
  <c r="Q1152" i="3" s="1"/>
  <c r="N1152" i="3"/>
  <c r="P1152" i="3" s="1"/>
  <c r="O1151" i="3"/>
  <c r="Q1151" i="3" s="1"/>
  <c r="N1151" i="3"/>
  <c r="P1151" i="3" s="1"/>
  <c r="O1150" i="3"/>
  <c r="Q1150" i="3" s="1"/>
  <c r="N1150" i="3"/>
  <c r="P1150" i="3" s="1"/>
  <c r="O1149" i="3"/>
  <c r="Q1149" i="3" s="1"/>
  <c r="N1149" i="3"/>
  <c r="P1149" i="3" s="1"/>
  <c r="O1148" i="3"/>
  <c r="Q1148" i="3" s="1"/>
  <c r="N1148" i="3"/>
  <c r="P1148" i="3" s="1"/>
  <c r="O1147" i="3"/>
  <c r="Q1147" i="3" s="1"/>
  <c r="N1147" i="3"/>
  <c r="P1147" i="3" s="1"/>
  <c r="O1146" i="3"/>
  <c r="Q1146" i="3" s="1"/>
  <c r="N1146" i="3"/>
  <c r="P1146" i="3" s="1"/>
  <c r="O1145" i="3"/>
  <c r="Q1145" i="3" s="1"/>
  <c r="N1145" i="3"/>
  <c r="P1145" i="3" s="1"/>
  <c r="O1144" i="3"/>
  <c r="Q1144" i="3" s="1"/>
  <c r="N1144" i="3"/>
  <c r="P1144" i="3" s="1"/>
  <c r="O1143" i="3"/>
  <c r="Q1143" i="3" s="1"/>
  <c r="N1143" i="3"/>
  <c r="P1143" i="3" s="1"/>
  <c r="O1142" i="3"/>
  <c r="Q1142" i="3" s="1"/>
  <c r="N1142" i="3"/>
  <c r="P1142" i="3" s="1"/>
  <c r="O1139" i="3"/>
  <c r="Q1139" i="3" s="1"/>
  <c r="N1139" i="3"/>
  <c r="P1139" i="3" s="1"/>
  <c r="O1138" i="3"/>
  <c r="Q1138" i="3" s="1"/>
  <c r="N1138" i="3"/>
  <c r="P1138" i="3" s="1"/>
  <c r="O1137" i="3"/>
  <c r="Q1137" i="3" s="1"/>
  <c r="N1137" i="3"/>
  <c r="P1137" i="3" s="1"/>
  <c r="O1136" i="3"/>
  <c r="Q1136" i="3" s="1"/>
  <c r="N1136" i="3"/>
  <c r="P1136" i="3" s="1"/>
  <c r="O1135" i="3"/>
  <c r="Q1135" i="3" s="1"/>
  <c r="N1135" i="3"/>
  <c r="P1135" i="3" s="1"/>
  <c r="O1134" i="3"/>
  <c r="Q1134" i="3" s="1"/>
  <c r="N1134" i="3"/>
  <c r="P1134" i="3" s="1"/>
  <c r="O1133" i="3"/>
  <c r="Q1133" i="3" s="1"/>
  <c r="N1133" i="3"/>
  <c r="P1133" i="3" s="1"/>
  <c r="O1132" i="3"/>
  <c r="Q1132" i="3" s="1"/>
  <c r="N1132" i="3"/>
  <c r="P1132" i="3" s="1"/>
  <c r="O1131" i="3"/>
  <c r="Q1131" i="3" s="1"/>
  <c r="N1131" i="3"/>
  <c r="P1131" i="3" s="1"/>
  <c r="O1130" i="3"/>
  <c r="Q1130" i="3" s="1"/>
  <c r="N1130" i="3"/>
  <c r="P1130" i="3" s="1"/>
  <c r="O1129" i="3"/>
  <c r="Q1129" i="3" s="1"/>
  <c r="N1129" i="3"/>
  <c r="P1129" i="3" s="1"/>
  <c r="O1128" i="3"/>
  <c r="Q1128" i="3" s="1"/>
  <c r="S1128" i="3" s="1"/>
  <c r="N1128" i="3"/>
  <c r="P1128" i="3" s="1"/>
  <c r="R1128" i="3" s="1"/>
  <c r="O1127" i="3"/>
  <c r="Q1127" i="3" s="1"/>
  <c r="N1127" i="3"/>
  <c r="P1127" i="3" s="1"/>
  <c r="O1126" i="3"/>
  <c r="Q1126" i="3" s="1"/>
  <c r="N1126" i="3"/>
  <c r="P1126" i="3" s="1"/>
  <c r="O1125" i="3"/>
  <c r="Q1125" i="3" s="1"/>
  <c r="N1125" i="3"/>
  <c r="P1125" i="3" s="1"/>
  <c r="O1124" i="3"/>
  <c r="Q1124" i="3" s="1"/>
  <c r="N1124" i="3"/>
  <c r="P1124" i="3" s="1"/>
  <c r="O1121" i="3"/>
  <c r="Q1121" i="3" s="1"/>
  <c r="N1121" i="3"/>
  <c r="P1121" i="3" s="1"/>
  <c r="O1120" i="3"/>
  <c r="Q1120" i="3" s="1"/>
  <c r="N1120" i="3"/>
  <c r="P1120" i="3" s="1"/>
  <c r="O1119" i="3"/>
  <c r="Q1119" i="3" s="1"/>
  <c r="N1119" i="3"/>
  <c r="P1119" i="3" s="1"/>
  <c r="O1118" i="3"/>
  <c r="Q1118" i="3" s="1"/>
  <c r="N1118" i="3"/>
  <c r="P1118" i="3" s="1"/>
  <c r="O1117" i="3"/>
  <c r="Q1117" i="3" s="1"/>
  <c r="N1117" i="3"/>
  <c r="P1117" i="3" s="1"/>
  <c r="O1116" i="3"/>
  <c r="Q1116" i="3" s="1"/>
  <c r="N1116" i="3"/>
  <c r="P1116" i="3" s="1"/>
  <c r="O1115" i="3"/>
  <c r="Q1115" i="3" s="1"/>
  <c r="N1115" i="3"/>
  <c r="P1115" i="3" s="1"/>
  <c r="O1114" i="3"/>
  <c r="Q1114" i="3" s="1"/>
  <c r="N1114" i="3"/>
  <c r="P1114" i="3" s="1"/>
  <c r="O1113" i="3"/>
  <c r="Q1113" i="3" s="1"/>
  <c r="N1113" i="3"/>
  <c r="P1113" i="3" s="1"/>
  <c r="O1112" i="3"/>
  <c r="Q1112" i="3" s="1"/>
  <c r="N1112" i="3"/>
  <c r="P1112" i="3" s="1"/>
  <c r="O1111" i="3"/>
  <c r="Q1111" i="3" s="1"/>
  <c r="N1111" i="3"/>
  <c r="P1111" i="3" s="1"/>
  <c r="O1110" i="3"/>
  <c r="Q1110" i="3" s="1"/>
  <c r="N1110" i="3"/>
  <c r="P1110" i="3" s="1"/>
  <c r="O1109" i="3"/>
  <c r="Q1109" i="3" s="1"/>
  <c r="N1109" i="3"/>
  <c r="P1109" i="3" s="1"/>
  <c r="O1108" i="3"/>
  <c r="Q1108" i="3" s="1"/>
  <c r="N1108" i="3"/>
  <c r="P1108" i="3" s="1"/>
  <c r="O1107" i="3"/>
  <c r="Q1107" i="3" s="1"/>
  <c r="N1107" i="3"/>
  <c r="P1107" i="3" s="1"/>
  <c r="O1106" i="3"/>
  <c r="Q1106" i="3" s="1"/>
  <c r="N1106" i="3"/>
  <c r="P1106" i="3" s="1"/>
  <c r="O1103" i="3"/>
  <c r="Q1103" i="3" s="1"/>
  <c r="N1103" i="3"/>
  <c r="P1103" i="3" s="1"/>
  <c r="O1102" i="3"/>
  <c r="Q1102" i="3" s="1"/>
  <c r="N1102" i="3"/>
  <c r="P1102" i="3" s="1"/>
  <c r="O1101" i="3"/>
  <c r="Q1101" i="3" s="1"/>
  <c r="N1101" i="3"/>
  <c r="P1101" i="3" s="1"/>
  <c r="O1100" i="3"/>
  <c r="Q1100" i="3" s="1"/>
  <c r="N1100" i="3"/>
  <c r="P1100" i="3" s="1"/>
  <c r="O1099" i="3"/>
  <c r="Q1099" i="3" s="1"/>
  <c r="N1099" i="3"/>
  <c r="P1099" i="3" s="1"/>
  <c r="O1098" i="3"/>
  <c r="Q1098" i="3" s="1"/>
  <c r="N1098" i="3"/>
  <c r="P1098" i="3" s="1"/>
  <c r="O1097" i="3"/>
  <c r="Q1097" i="3" s="1"/>
  <c r="N1097" i="3"/>
  <c r="P1097" i="3" s="1"/>
  <c r="O1096" i="3"/>
  <c r="Q1096" i="3" s="1"/>
  <c r="N1096" i="3"/>
  <c r="P1096" i="3" s="1"/>
  <c r="O1095" i="3"/>
  <c r="Q1095" i="3" s="1"/>
  <c r="N1095" i="3"/>
  <c r="P1095" i="3" s="1"/>
  <c r="O1094" i="3"/>
  <c r="Q1094" i="3" s="1"/>
  <c r="N1094" i="3"/>
  <c r="P1094" i="3" s="1"/>
  <c r="O1093" i="3"/>
  <c r="Q1093" i="3" s="1"/>
  <c r="N1093" i="3"/>
  <c r="P1093" i="3" s="1"/>
  <c r="O1092" i="3"/>
  <c r="Q1092" i="3" s="1"/>
  <c r="N1092" i="3"/>
  <c r="P1092" i="3" s="1"/>
  <c r="O1091" i="3"/>
  <c r="Q1091" i="3" s="1"/>
  <c r="N1091" i="3"/>
  <c r="P1091" i="3" s="1"/>
  <c r="O1090" i="3"/>
  <c r="Q1090" i="3" s="1"/>
  <c r="N1090" i="3"/>
  <c r="P1090" i="3" s="1"/>
  <c r="O1089" i="3"/>
  <c r="Q1089" i="3" s="1"/>
  <c r="N1089" i="3"/>
  <c r="P1089" i="3" s="1"/>
  <c r="O1088" i="3"/>
  <c r="Q1088" i="3" s="1"/>
  <c r="N1088" i="3"/>
  <c r="P1088" i="3" s="1"/>
  <c r="O1067" i="3"/>
  <c r="Q1067" i="3" s="1"/>
  <c r="N1067" i="3"/>
  <c r="P1067" i="3" s="1"/>
  <c r="O1066" i="3"/>
  <c r="Q1066" i="3" s="1"/>
  <c r="N1066" i="3"/>
  <c r="P1066" i="3" s="1"/>
  <c r="O1065" i="3"/>
  <c r="Q1065" i="3" s="1"/>
  <c r="N1065" i="3"/>
  <c r="P1065" i="3" s="1"/>
  <c r="O1064" i="3"/>
  <c r="Q1064" i="3" s="1"/>
  <c r="N1064" i="3"/>
  <c r="P1064" i="3" s="1"/>
  <c r="O1063" i="3"/>
  <c r="Q1063" i="3" s="1"/>
  <c r="N1063" i="3"/>
  <c r="P1063" i="3" s="1"/>
  <c r="O1062" i="3"/>
  <c r="Q1062" i="3" s="1"/>
  <c r="N1062" i="3"/>
  <c r="P1062" i="3" s="1"/>
  <c r="O1061" i="3"/>
  <c r="Q1061" i="3" s="1"/>
  <c r="N1061" i="3"/>
  <c r="P1061" i="3" s="1"/>
  <c r="O1060" i="3"/>
  <c r="Q1060" i="3" s="1"/>
  <c r="N1060" i="3"/>
  <c r="P1060" i="3" s="1"/>
  <c r="O1059" i="3"/>
  <c r="Q1059" i="3" s="1"/>
  <c r="N1059" i="3"/>
  <c r="P1059" i="3" s="1"/>
  <c r="O1058" i="3"/>
  <c r="Q1058" i="3" s="1"/>
  <c r="N1058" i="3"/>
  <c r="P1058" i="3" s="1"/>
  <c r="O1057" i="3"/>
  <c r="Q1057" i="3" s="1"/>
  <c r="N1057" i="3"/>
  <c r="P1057" i="3" s="1"/>
  <c r="O1056" i="3"/>
  <c r="Q1056" i="3" s="1"/>
  <c r="N1056" i="3"/>
  <c r="P1056" i="3" s="1"/>
  <c r="O1055" i="3"/>
  <c r="Q1055" i="3" s="1"/>
  <c r="N1055" i="3"/>
  <c r="P1055" i="3" s="1"/>
  <c r="O1054" i="3"/>
  <c r="Q1054" i="3" s="1"/>
  <c r="N1054" i="3"/>
  <c r="P1054" i="3" s="1"/>
  <c r="O1053" i="3"/>
  <c r="Q1053" i="3" s="1"/>
  <c r="N1053" i="3"/>
  <c r="P1053" i="3" s="1"/>
  <c r="O1052" i="3"/>
  <c r="Q1052" i="3" s="1"/>
  <c r="N1052" i="3"/>
  <c r="P1052" i="3" s="1"/>
  <c r="O1049" i="3"/>
  <c r="Q1049" i="3" s="1"/>
  <c r="N1049" i="3"/>
  <c r="P1049" i="3" s="1"/>
  <c r="O1048" i="3"/>
  <c r="Q1048" i="3" s="1"/>
  <c r="N1048" i="3"/>
  <c r="P1048" i="3" s="1"/>
  <c r="O1047" i="3"/>
  <c r="Q1047" i="3" s="1"/>
  <c r="N1047" i="3"/>
  <c r="P1047" i="3" s="1"/>
  <c r="O1046" i="3"/>
  <c r="Q1046" i="3" s="1"/>
  <c r="N1046" i="3"/>
  <c r="P1046" i="3" s="1"/>
  <c r="O1045" i="3"/>
  <c r="Q1045" i="3" s="1"/>
  <c r="N1045" i="3"/>
  <c r="P1045" i="3" s="1"/>
  <c r="O1044" i="3"/>
  <c r="Q1044" i="3" s="1"/>
  <c r="N1044" i="3"/>
  <c r="P1044" i="3" s="1"/>
  <c r="O1043" i="3"/>
  <c r="Q1043" i="3" s="1"/>
  <c r="N1043" i="3"/>
  <c r="P1043" i="3" s="1"/>
  <c r="O1042" i="3"/>
  <c r="Q1042" i="3" s="1"/>
  <c r="N1042" i="3"/>
  <c r="P1042" i="3" s="1"/>
  <c r="O1041" i="3"/>
  <c r="Q1041" i="3" s="1"/>
  <c r="N1041" i="3"/>
  <c r="P1041" i="3" s="1"/>
  <c r="O1040" i="3"/>
  <c r="Q1040" i="3" s="1"/>
  <c r="N1040" i="3"/>
  <c r="P1040" i="3" s="1"/>
  <c r="O1039" i="3"/>
  <c r="Q1039" i="3" s="1"/>
  <c r="N1039" i="3"/>
  <c r="P1039" i="3" s="1"/>
  <c r="O1038" i="3"/>
  <c r="Q1038" i="3" s="1"/>
  <c r="N1038" i="3"/>
  <c r="P1038" i="3" s="1"/>
  <c r="O1037" i="3"/>
  <c r="Q1037" i="3" s="1"/>
  <c r="N1037" i="3"/>
  <c r="P1037" i="3" s="1"/>
  <c r="O1036" i="3"/>
  <c r="Q1036" i="3" s="1"/>
  <c r="N1036" i="3"/>
  <c r="P1036" i="3" s="1"/>
  <c r="O1035" i="3"/>
  <c r="Q1035" i="3" s="1"/>
  <c r="N1035" i="3"/>
  <c r="P1035" i="3" s="1"/>
  <c r="O1034" i="3"/>
  <c r="Q1034" i="3" s="1"/>
  <c r="N1034" i="3"/>
  <c r="P1034" i="3" s="1"/>
  <c r="N1071" i="3"/>
  <c r="P1071" i="3" s="1"/>
  <c r="O1071" i="3"/>
  <c r="Q1071" i="3" s="1"/>
  <c r="N1072" i="3"/>
  <c r="P1072" i="3" s="1"/>
  <c r="O1072" i="3"/>
  <c r="Q1072" i="3" s="1"/>
  <c r="N1073" i="3"/>
  <c r="P1073" i="3" s="1"/>
  <c r="O1073" i="3"/>
  <c r="Q1073" i="3" s="1"/>
  <c r="N1074" i="3"/>
  <c r="P1074" i="3" s="1"/>
  <c r="O1074" i="3"/>
  <c r="Q1074" i="3" s="1"/>
  <c r="N1075" i="3"/>
  <c r="P1075" i="3" s="1"/>
  <c r="O1075" i="3"/>
  <c r="Q1075" i="3" s="1"/>
  <c r="N1076" i="3"/>
  <c r="P1076" i="3" s="1"/>
  <c r="O1076" i="3"/>
  <c r="Q1076" i="3" s="1"/>
  <c r="N1077" i="3"/>
  <c r="P1077" i="3" s="1"/>
  <c r="O1077" i="3"/>
  <c r="Q1077" i="3" s="1"/>
  <c r="N1078" i="3"/>
  <c r="P1078" i="3" s="1"/>
  <c r="O1078" i="3"/>
  <c r="Q1078" i="3" s="1"/>
  <c r="N1079" i="3"/>
  <c r="P1079" i="3" s="1"/>
  <c r="O1079" i="3"/>
  <c r="Q1079" i="3" s="1"/>
  <c r="N1080" i="3"/>
  <c r="P1080" i="3" s="1"/>
  <c r="O1080" i="3"/>
  <c r="Q1080" i="3" s="1"/>
  <c r="N1081" i="3"/>
  <c r="P1081" i="3" s="1"/>
  <c r="O1081" i="3"/>
  <c r="Q1081" i="3" s="1"/>
  <c r="N1082" i="3"/>
  <c r="P1082" i="3" s="1"/>
  <c r="O1082" i="3"/>
  <c r="Q1082" i="3" s="1"/>
  <c r="N1083" i="3"/>
  <c r="P1083" i="3" s="1"/>
  <c r="O1083" i="3"/>
  <c r="Q1083" i="3" s="1"/>
  <c r="N1084" i="3"/>
  <c r="P1084" i="3" s="1"/>
  <c r="O1084" i="3"/>
  <c r="Q1084" i="3" s="1"/>
  <c r="N1085" i="3"/>
  <c r="P1085" i="3" s="1"/>
  <c r="O1085" i="3"/>
  <c r="Q1085" i="3" s="1"/>
  <c r="O1070" i="3"/>
  <c r="Q1070" i="3" s="1"/>
  <c r="N1070" i="3"/>
  <c r="P1070" i="3" s="1"/>
  <c r="Q415" i="2"/>
  <c r="Q416" i="2"/>
  <c r="Q417" i="2"/>
  <c r="R417" i="2" s="1"/>
  <c r="S417" i="2" s="1"/>
  <c r="Q418" i="2"/>
  <c r="Q419" i="2"/>
  <c r="Q420" i="2"/>
  <c r="Q421" i="2"/>
  <c r="R421" i="2" s="1"/>
  <c r="S421" i="2" s="1"/>
  <c r="Q422" i="2"/>
  <c r="Q423" i="2"/>
  <c r="Q424" i="2"/>
  <c r="Q425" i="2"/>
  <c r="R425" i="2" s="1"/>
  <c r="S425" i="2" s="1"/>
  <c r="Q426" i="2"/>
  <c r="Q427" i="2"/>
  <c r="Q428" i="2"/>
  <c r="Q429" i="2"/>
  <c r="R429" i="2" s="1"/>
  <c r="S429" i="2" s="1"/>
  <c r="Q430" i="2"/>
  <c r="Q431" i="2"/>
  <c r="Q432" i="2"/>
  <c r="Q433" i="2"/>
  <c r="R433" i="2" s="1"/>
  <c r="S433" i="2" s="1"/>
  <c r="Q434" i="2"/>
  <c r="Q435" i="2"/>
  <c r="Q436" i="2"/>
  <c r="Q437" i="2"/>
  <c r="R437" i="2" s="1"/>
  <c r="S437" i="2" s="1"/>
  <c r="Q438" i="2"/>
  <c r="Q439" i="2"/>
  <c r="Q440" i="2"/>
  <c r="Q441" i="2"/>
  <c r="R441" i="2" s="1"/>
  <c r="S441" i="2" s="1"/>
  <c r="Q442" i="2"/>
  <c r="Q443" i="2"/>
  <c r="Q444" i="2"/>
  <c r="Q445" i="2"/>
  <c r="R445" i="2" s="1"/>
  <c r="S445" i="2" s="1"/>
  <c r="Q446" i="2"/>
  <c r="Q447" i="2"/>
  <c r="Q448" i="2"/>
  <c r="Q449" i="2"/>
  <c r="R449" i="2" s="1"/>
  <c r="S449" i="2" s="1"/>
  <c r="Q450" i="2"/>
  <c r="Q451" i="2"/>
  <c r="Q452" i="2"/>
  <c r="Q453" i="2"/>
  <c r="R453" i="2" s="1"/>
  <c r="S453" i="2" s="1"/>
  <c r="Q454" i="2"/>
  <c r="Q455" i="2"/>
  <c r="Q456" i="2"/>
  <c r="Q457" i="2"/>
  <c r="R457" i="2" s="1"/>
  <c r="S457" i="2" s="1"/>
  <c r="Q458" i="2"/>
  <c r="Q459" i="2"/>
  <c r="Q460" i="2"/>
  <c r="Q462" i="2"/>
  <c r="Q463" i="2"/>
  <c r="Q464" i="2"/>
  <c r="Q465" i="2"/>
  <c r="R465" i="2" s="1"/>
  <c r="S465" i="2" s="1"/>
  <c r="Q466" i="2"/>
  <c r="Q461" i="2"/>
  <c r="R461" i="2" s="1"/>
  <c r="S461" i="2" s="1"/>
  <c r="Q761" i="2"/>
  <c r="Q762" i="2"/>
  <c r="Q763" i="2"/>
  <c r="Q764" i="2"/>
  <c r="Q765" i="2"/>
  <c r="Q766" i="2"/>
  <c r="Q767" i="2"/>
  <c r="Q768" i="2"/>
  <c r="Q769" i="2"/>
  <c r="Q770" i="2"/>
  <c r="Q772" i="2"/>
  <c r="Q773" i="2"/>
  <c r="Q774" i="2"/>
  <c r="Q771" i="2"/>
  <c r="T1128" i="3" l="1"/>
  <c r="T1129" i="3" s="1"/>
  <c r="O3566" i="3"/>
  <c r="N3566" i="3"/>
  <c r="O3565" i="3"/>
  <c r="Q3565" i="3" s="1"/>
  <c r="N3565" i="3"/>
  <c r="P3565" i="3" s="1"/>
  <c r="O3564" i="3"/>
  <c r="N3564" i="3"/>
  <c r="O3563" i="3"/>
  <c r="Q3563" i="3" s="1"/>
  <c r="N3563" i="3"/>
  <c r="P3563" i="3" s="1"/>
  <c r="O3562" i="3"/>
  <c r="N3562" i="3"/>
  <c r="O3561" i="3"/>
  <c r="N3561" i="3"/>
  <c r="O3560" i="3"/>
  <c r="N3560" i="3"/>
  <c r="O3559" i="3"/>
  <c r="N3559" i="3"/>
  <c r="O3558" i="3"/>
  <c r="N3558" i="3"/>
  <c r="O3557" i="3"/>
  <c r="N3557" i="3"/>
  <c r="O3556" i="3"/>
  <c r="N3556" i="3"/>
  <c r="O3555" i="3"/>
  <c r="N3555" i="3"/>
  <c r="O3554" i="3"/>
  <c r="N3554" i="3"/>
  <c r="O3553" i="3"/>
  <c r="N3553" i="3"/>
  <c r="O3552" i="3"/>
  <c r="N3552" i="3"/>
  <c r="O3551" i="3"/>
  <c r="N3551" i="3"/>
  <c r="O3548" i="3"/>
  <c r="N3548" i="3"/>
  <c r="O3547" i="3"/>
  <c r="Q3547" i="3" s="1"/>
  <c r="N3547" i="3"/>
  <c r="P3547" i="3" s="1"/>
  <c r="O3546" i="3"/>
  <c r="N3546" i="3"/>
  <c r="O3545" i="3"/>
  <c r="Q3545" i="3" s="1"/>
  <c r="N3545" i="3"/>
  <c r="P3545" i="3" s="1"/>
  <c r="O3544" i="3"/>
  <c r="N3544" i="3"/>
  <c r="O3543" i="3"/>
  <c r="N3543" i="3"/>
  <c r="O3542" i="3"/>
  <c r="N3542" i="3"/>
  <c r="O3541" i="3"/>
  <c r="N3541" i="3"/>
  <c r="O3540" i="3"/>
  <c r="N3540" i="3"/>
  <c r="O3539" i="3"/>
  <c r="N3539" i="3"/>
  <c r="O3538" i="3"/>
  <c r="N3538" i="3"/>
  <c r="O3537" i="3"/>
  <c r="N3537" i="3"/>
  <c r="O3536" i="3"/>
  <c r="N3536" i="3"/>
  <c r="O3535" i="3"/>
  <c r="N3535" i="3"/>
  <c r="O3534" i="3"/>
  <c r="N3534" i="3"/>
  <c r="O3533" i="3"/>
  <c r="N3533" i="3"/>
  <c r="O3530" i="3"/>
  <c r="N3530" i="3"/>
  <c r="O3529" i="3"/>
  <c r="Q3529" i="3" s="1"/>
  <c r="N3529" i="3"/>
  <c r="P3529" i="3" s="1"/>
  <c r="O3528" i="3"/>
  <c r="N3528" i="3"/>
  <c r="O3527" i="3"/>
  <c r="Q3527" i="3" s="1"/>
  <c r="N3527" i="3"/>
  <c r="P3527" i="3" s="1"/>
  <c r="O3526" i="3"/>
  <c r="N3526" i="3"/>
  <c r="O3525" i="3"/>
  <c r="N3525" i="3"/>
  <c r="O3524" i="3"/>
  <c r="N3524" i="3"/>
  <c r="O3523" i="3"/>
  <c r="N3523" i="3"/>
  <c r="O3522" i="3"/>
  <c r="N3522" i="3"/>
  <c r="O3521" i="3"/>
  <c r="N3521" i="3"/>
  <c r="O3520" i="3"/>
  <c r="N3520" i="3"/>
  <c r="O3519" i="3"/>
  <c r="N3519" i="3"/>
  <c r="O3518" i="3"/>
  <c r="N3518" i="3"/>
  <c r="O3517" i="3"/>
  <c r="N3517" i="3"/>
  <c r="O3516" i="3"/>
  <c r="N3516" i="3"/>
  <c r="O3515" i="3"/>
  <c r="N3515" i="3"/>
  <c r="O3512" i="3"/>
  <c r="N3512" i="3"/>
  <c r="O3511" i="3"/>
  <c r="Q3511" i="3" s="1"/>
  <c r="S3511" i="3" s="1"/>
  <c r="N3511" i="3"/>
  <c r="P3511" i="3" s="1"/>
  <c r="R3511" i="3" s="1"/>
  <c r="O3510" i="3"/>
  <c r="N3510" i="3"/>
  <c r="O3509" i="3"/>
  <c r="Q3509" i="3" s="1"/>
  <c r="S3509" i="3" s="1"/>
  <c r="N3509" i="3"/>
  <c r="P3509" i="3" s="1"/>
  <c r="R3509" i="3" s="1"/>
  <c r="O3508" i="3"/>
  <c r="N3508" i="3"/>
  <c r="O3507" i="3"/>
  <c r="N3507" i="3"/>
  <c r="O3506" i="3"/>
  <c r="N3506" i="3"/>
  <c r="O3505" i="3"/>
  <c r="N3505" i="3"/>
  <c r="O3504" i="3"/>
  <c r="N3504" i="3"/>
  <c r="O3503" i="3"/>
  <c r="N3503" i="3"/>
  <c r="O3502" i="3"/>
  <c r="N3502" i="3"/>
  <c r="O3501" i="3"/>
  <c r="N3501" i="3"/>
  <c r="O3500" i="3"/>
  <c r="N3500" i="3"/>
  <c r="O3499" i="3"/>
  <c r="N3499" i="3"/>
  <c r="O3498" i="3"/>
  <c r="N3498" i="3"/>
  <c r="O3497" i="3"/>
  <c r="N3497" i="3"/>
  <c r="O3494" i="3"/>
  <c r="N3494" i="3"/>
  <c r="O3493" i="3"/>
  <c r="Q3493" i="3" s="1"/>
  <c r="N3493" i="3"/>
  <c r="P3493" i="3" s="1"/>
  <c r="O3492" i="3"/>
  <c r="N3492" i="3"/>
  <c r="O3491" i="3"/>
  <c r="Q3491" i="3" s="1"/>
  <c r="N3491" i="3"/>
  <c r="P3491" i="3" s="1"/>
  <c r="O3490" i="3"/>
  <c r="N3490" i="3"/>
  <c r="O3489" i="3"/>
  <c r="N3489" i="3"/>
  <c r="O3488" i="3"/>
  <c r="N3488" i="3"/>
  <c r="O3487" i="3"/>
  <c r="N3487" i="3"/>
  <c r="O3486" i="3"/>
  <c r="N3486" i="3"/>
  <c r="O3485" i="3"/>
  <c r="N3485" i="3"/>
  <c r="O3484" i="3"/>
  <c r="N3484" i="3"/>
  <c r="O3483" i="3"/>
  <c r="N3483" i="3"/>
  <c r="O3482" i="3"/>
  <c r="N3482" i="3"/>
  <c r="O3481" i="3"/>
  <c r="N3481" i="3"/>
  <c r="O3480" i="3"/>
  <c r="N3480" i="3"/>
  <c r="O3479" i="3"/>
  <c r="N3479" i="3"/>
  <c r="O3476" i="3"/>
  <c r="N3476" i="3"/>
  <c r="O3475" i="3"/>
  <c r="N3475" i="3"/>
  <c r="O3474" i="3"/>
  <c r="N3474" i="3"/>
  <c r="O3473" i="3"/>
  <c r="Q3473" i="3" s="1"/>
  <c r="N3473" i="3"/>
  <c r="P3473" i="3" s="1"/>
  <c r="O3472" i="3"/>
  <c r="N3472" i="3"/>
  <c r="O3471" i="3"/>
  <c r="N3471" i="3"/>
  <c r="O3470" i="3"/>
  <c r="N3470" i="3"/>
  <c r="O3469" i="3"/>
  <c r="N3469" i="3"/>
  <c r="O3468" i="3"/>
  <c r="N3468" i="3"/>
  <c r="O3467" i="3"/>
  <c r="N3467" i="3"/>
  <c r="O3466" i="3"/>
  <c r="N3466" i="3"/>
  <c r="O3465" i="3"/>
  <c r="N3465" i="3"/>
  <c r="O3464" i="3"/>
  <c r="N3464" i="3"/>
  <c r="O3463" i="3"/>
  <c r="N3463" i="3"/>
  <c r="O3462" i="3"/>
  <c r="N3462" i="3"/>
  <c r="O3461" i="3"/>
  <c r="N3461" i="3"/>
  <c r="O3458" i="3"/>
  <c r="N3458" i="3"/>
  <c r="O3457" i="3"/>
  <c r="Q3457" i="3" s="1"/>
  <c r="S3457" i="3" s="1"/>
  <c r="N3457" i="3"/>
  <c r="P3457" i="3" s="1"/>
  <c r="R3457" i="3" s="1"/>
  <c r="O3456" i="3"/>
  <c r="N3456" i="3"/>
  <c r="O3455" i="3"/>
  <c r="Q3455" i="3" s="1"/>
  <c r="S3455" i="3" s="1"/>
  <c r="N3455" i="3"/>
  <c r="P3455" i="3" s="1"/>
  <c r="R3455" i="3" s="1"/>
  <c r="O3454" i="3"/>
  <c r="N3454" i="3"/>
  <c r="O3453" i="3"/>
  <c r="N3453" i="3"/>
  <c r="O3452" i="3"/>
  <c r="N3452" i="3"/>
  <c r="O3451" i="3"/>
  <c r="N3451" i="3"/>
  <c r="O3450" i="3"/>
  <c r="N3450" i="3"/>
  <c r="O3449" i="3"/>
  <c r="N3449" i="3"/>
  <c r="O3448" i="3"/>
  <c r="N3448" i="3"/>
  <c r="O3447" i="3"/>
  <c r="N3447" i="3"/>
  <c r="O3446" i="3"/>
  <c r="N3446" i="3"/>
  <c r="O3445" i="3"/>
  <c r="N3445" i="3"/>
  <c r="O3444" i="3"/>
  <c r="N3444" i="3"/>
  <c r="O3443" i="3"/>
  <c r="N3443" i="3"/>
  <c r="N3426" i="3"/>
  <c r="O3426" i="3"/>
  <c r="N3427" i="3"/>
  <c r="O3427" i="3"/>
  <c r="N3428" i="3"/>
  <c r="O3428" i="3"/>
  <c r="N3429" i="3"/>
  <c r="O3429" i="3"/>
  <c r="N3430" i="3"/>
  <c r="O3430" i="3"/>
  <c r="N3431" i="3"/>
  <c r="O3431" i="3"/>
  <c r="N3432" i="3"/>
  <c r="O3432" i="3"/>
  <c r="N3433" i="3"/>
  <c r="O3433" i="3"/>
  <c r="N3434" i="3"/>
  <c r="O3434" i="3"/>
  <c r="N3435" i="3"/>
  <c r="O3435" i="3"/>
  <c r="N3436" i="3"/>
  <c r="O3436" i="3"/>
  <c r="N3437" i="3"/>
  <c r="P3437" i="3" s="1"/>
  <c r="O3437" i="3"/>
  <c r="Q3437" i="3" s="1"/>
  <c r="N3438" i="3"/>
  <c r="O3438" i="3"/>
  <c r="N3439" i="3"/>
  <c r="P3439" i="3" s="1"/>
  <c r="O3439" i="3"/>
  <c r="Q3439" i="3" s="1"/>
  <c r="N3440" i="3"/>
  <c r="O3440" i="3"/>
  <c r="O3425" i="3"/>
  <c r="N3425" i="3"/>
  <c r="Q1330" i="2"/>
  <c r="Q1299" i="2"/>
  <c r="Q1300" i="2"/>
  <c r="Q1301" i="2"/>
  <c r="R1301" i="2" s="1"/>
  <c r="S1301" i="2" s="1"/>
  <c r="Q1302" i="2"/>
  <c r="Q1303" i="2"/>
  <c r="Q1304" i="2"/>
  <c r="Q1305" i="2"/>
  <c r="R1305" i="2" s="1"/>
  <c r="S1305" i="2" s="1"/>
  <c r="Q1306" i="2"/>
  <c r="Q1307" i="2"/>
  <c r="Q1308" i="2"/>
  <c r="Q1309" i="2"/>
  <c r="R1309" i="2" s="1"/>
  <c r="S1309" i="2" s="1"/>
  <c r="Q1310" i="2"/>
  <c r="Q1311" i="2"/>
  <c r="Q1312" i="2"/>
  <c r="Q1313" i="2"/>
  <c r="R1313" i="2" s="1"/>
  <c r="S1313" i="2" s="1"/>
  <c r="Q1314" i="2"/>
  <c r="Q1315" i="2"/>
  <c r="Q1316" i="2"/>
  <c r="Q1317" i="2"/>
  <c r="R1317" i="2" s="1"/>
  <c r="S1317" i="2" s="1"/>
  <c r="Q1318" i="2"/>
  <c r="Q1319" i="2"/>
  <c r="Q1320" i="2"/>
  <c r="Q1321" i="2"/>
  <c r="R1321" i="2" s="1"/>
  <c r="S1321" i="2" s="1"/>
  <c r="Q1322" i="2"/>
  <c r="Q1323" i="2"/>
  <c r="Q1324" i="2"/>
  <c r="Q1325" i="2"/>
  <c r="R1325" i="2" s="1"/>
  <c r="S1325" i="2" s="1"/>
  <c r="Q1326" i="2"/>
  <c r="Q1327" i="2"/>
  <c r="Q1328" i="2"/>
  <c r="Q1329" i="2"/>
  <c r="R1329" i="2" s="1"/>
  <c r="S1329" i="2" s="1"/>
  <c r="T3509" i="3" l="1"/>
  <c r="T3455" i="3"/>
  <c r="T3457" i="3"/>
  <c r="T3511" i="3"/>
  <c r="Q1165" i="2"/>
  <c r="R1165" i="2" s="1"/>
  <c r="Q1169" i="2"/>
  <c r="R1169" i="2" s="1"/>
  <c r="O2423" i="3" l="1"/>
  <c r="Q2423" i="3" s="1"/>
  <c r="S2423" i="3" s="1"/>
  <c r="N2423" i="3"/>
  <c r="P2423" i="3" s="1"/>
  <c r="R2423" i="3" s="1"/>
  <c r="O2427" i="3"/>
  <c r="Q2427" i="3" s="1"/>
  <c r="S2427" i="3" s="1"/>
  <c r="N2427" i="3"/>
  <c r="P2427" i="3" s="1"/>
  <c r="R2427" i="3" s="1"/>
  <c r="O2425" i="3"/>
  <c r="Q2425" i="3" s="1"/>
  <c r="S2425" i="3" s="1"/>
  <c r="N2425" i="3"/>
  <c r="P2425" i="3" s="1"/>
  <c r="R2425" i="3" s="1"/>
  <c r="T2423" i="3" l="1"/>
  <c r="U2423" i="3" s="1"/>
  <c r="T2427" i="3"/>
  <c r="T2425" i="3"/>
  <c r="O3360" i="3"/>
  <c r="Q3360" i="3" s="1"/>
  <c r="N3360" i="3"/>
  <c r="P3360" i="3" s="1"/>
  <c r="O3358" i="3"/>
  <c r="Q3358" i="3" s="1"/>
  <c r="N3358" i="3"/>
  <c r="P3358" i="3" s="1"/>
  <c r="Q1218" i="2"/>
  <c r="R1218" i="2" s="1"/>
  <c r="R3358" i="3" l="1"/>
  <c r="R3360" i="3"/>
  <c r="Q1256" i="2"/>
  <c r="R1256" i="2" s="1"/>
  <c r="S1256" i="2" s="1"/>
  <c r="O3342" i="3" l="1"/>
  <c r="Q3342" i="3" s="1"/>
  <c r="N3342" i="3"/>
  <c r="P3342" i="3" s="1"/>
  <c r="O3340" i="3"/>
  <c r="Q3340" i="3" s="1"/>
  <c r="N3340" i="3"/>
  <c r="P3340" i="3" s="1"/>
  <c r="Q1214" i="2"/>
  <c r="R1214" i="2" s="1"/>
  <c r="R3340" i="3" l="1"/>
  <c r="R3342" i="3"/>
  <c r="N3239" i="3"/>
  <c r="O3239" i="3"/>
  <c r="N3240" i="3"/>
  <c r="O3240" i="3"/>
  <c r="N3241" i="3"/>
  <c r="O3241" i="3"/>
  <c r="N3242" i="3"/>
  <c r="O3242" i="3"/>
  <c r="P3242" i="3" s="1"/>
  <c r="Q3242" i="3" s="1"/>
  <c r="N3243" i="3"/>
  <c r="O3243" i="3"/>
  <c r="P3243" i="3" s="1"/>
  <c r="N3244" i="3"/>
  <c r="O3244" i="3"/>
  <c r="N3245" i="3"/>
  <c r="O3245" i="3"/>
  <c r="N3246" i="3"/>
  <c r="O3246" i="3"/>
  <c r="P3246" i="3" s="1"/>
  <c r="N3247" i="3"/>
  <c r="O3247" i="3"/>
  <c r="N3248" i="3"/>
  <c r="O3248" i="3"/>
  <c r="P3248" i="3" s="1"/>
  <c r="Q3248" i="3" s="1"/>
  <c r="N3249" i="3"/>
  <c r="O3249" i="3"/>
  <c r="N3250" i="3"/>
  <c r="O3250" i="3"/>
  <c r="P3250" i="3" s="1"/>
  <c r="Q3250" i="3" s="1"/>
  <c r="N3251" i="3"/>
  <c r="O3251" i="3"/>
  <c r="N3252" i="3"/>
  <c r="O3252" i="3"/>
  <c r="P3252" i="3" s="1"/>
  <c r="Q3252" i="3" s="1"/>
  <c r="N3253" i="3"/>
  <c r="O3253" i="3"/>
  <c r="O3238" i="3"/>
  <c r="N3238" i="3"/>
  <c r="N306" i="3" l="1"/>
  <c r="O312" i="3"/>
  <c r="Q312" i="3" s="1"/>
  <c r="S312" i="3" s="1"/>
  <c r="N312" i="3"/>
  <c r="P312" i="3" s="1"/>
  <c r="R312" i="3" s="1"/>
  <c r="O310" i="3"/>
  <c r="Q310" i="3" s="1"/>
  <c r="S310" i="3" s="1"/>
  <c r="N310" i="3"/>
  <c r="P310" i="3" s="1"/>
  <c r="R310" i="3" s="1"/>
  <c r="S110" i="2"/>
  <c r="T110" i="2" s="1"/>
  <c r="T312" i="3" l="1"/>
  <c r="T310" i="3"/>
  <c r="O476" i="3"/>
  <c r="Q476" i="3" s="1"/>
  <c r="S476" i="3" s="1"/>
  <c r="N476" i="3"/>
  <c r="P476" i="3" s="1"/>
  <c r="R476" i="3" s="1"/>
  <c r="O474" i="3"/>
  <c r="N474" i="3"/>
  <c r="O494" i="3"/>
  <c r="N494" i="3"/>
  <c r="O492" i="3"/>
  <c r="N492" i="3"/>
  <c r="O548" i="3"/>
  <c r="Q548" i="3" s="1"/>
  <c r="S548" i="3" s="1"/>
  <c r="N548" i="3"/>
  <c r="P548" i="3" s="1"/>
  <c r="R548" i="3" s="1"/>
  <c r="O546" i="3"/>
  <c r="Q546" i="3" s="1"/>
  <c r="S546" i="3" s="1"/>
  <c r="N546" i="3"/>
  <c r="P546" i="3" s="1"/>
  <c r="R546" i="3" s="1"/>
  <c r="O512" i="3"/>
  <c r="Q512" i="3" s="1"/>
  <c r="S512" i="3" s="1"/>
  <c r="N512" i="3"/>
  <c r="P512" i="3" s="1"/>
  <c r="R512" i="3" s="1"/>
  <c r="O510" i="3"/>
  <c r="Q510" i="3" s="1"/>
  <c r="N510" i="3"/>
  <c r="P510" i="3" s="1"/>
  <c r="O528" i="3"/>
  <c r="Q528" i="3" s="1"/>
  <c r="S528" i="3" s="1"/>
  <c r="N528" i="3"/>
  <c r="P528" i="3" s="1"/>
  <c r="R528" i="3" s="1"/>
  <c r="O530" i="3"/>
  <c r="Q530" i="3" s="1"/>
  <c r="S530" i="3" s="1"/>
  <c r="N530" i="3"/>
  <c r="P530" i="3" s="1"/>
  <c r="R530" i="3" s="1"/>
  <c r="T548" i="3" l="1"/>
  <c r="T476" i="3"/>
  <c r="T530" i="3"/>
  <c r="T512" i="3"/>
  <c r="T528" i="3"/>
  <c r="T546" i="3"/>
  <c r="R91" i="2"/>
  <c r="R92" i="2"/>
  <c r="S92" i="2" s="1"/>
  <c r="T92" i="2" s="1"/>
  <c r="R93" i="2"/>
  <c r="R94" i="2"/>
  <c r="S94" i="2" s="1"/>
  <c r="T94" i="2" s="1"/>
  <c r="R95" i="2"/>
  <c r="R96" i="2"/>
  <c r="S96" i="2" s="1"/>
  <c r="T96" i="2" s="1"/>
  <c r="R97" i="2"/>
  <c r="R98" i="2"/>
  <c r="R99" i="2"/>
  <c r="R90" i="2"/>
  <c r="S90" i="2" s="1"/>
  <c r="T90" i="2" s="1"/>
  <c r="N391" i="3"/>
  <c r="O391" i="3"/>
  <c r="N392" i="3"/>
  <c r="O392" i="3"/>
  <c r="N393" i="3"/>
  <c r="O393" i="3"/>
  <c r="N394" i="3"/>
  <c r="O394" i="3"/>
  <c r="N395" i="3"/>
  <c r="O395" i="3"/>
  <c r="N396" i="3"/>
  <c r="O396" i="3"/>
  <c r="N397" i="3"/>
  <c r="O397" i="3"/>
  <c r="N398" i="3"/>
  <c r="P398" i="3" s="1"/>
  <c r="R398" i="3" s="1"/>
  <c r="O398" i="3"/>
  <c r="Q398" i="3" s="1"/>
  <c r="S398" i="3" s="1"/>
  <c r="N399" i="3"/>
  <c r="O399" i="3"/>
  <c r="N400" i="3"/>
  <c r="O400" i="3"/>
  <c r="N401" i="3"/>
  <c r="O401" i="3"/>
  <c r="N402" i="3"/>
  <c r="P402" i="3" s="1"/>
  <c r="R402" i="3" s="1"/>
  <c r="O402" i="3"/>
  <c r="Q402" i="3" s="1"/>
  <c r="S402" i="3" s="1"/>
  <c r="N403" i="3"/>
  <c r="O403" i="3"/>
  <c r="N404" i="3"/>
  <c r="P404" i="3" s="1"/>
  <c r="R404" i="3" s="1"/>
  <c r="O404" i="3"/>
  <c r="Q404" i="3" s="1"/>
  <c r="S404" i="3" s="1"/>
  <c r="N405" i="3"/>
  <c r="O405" i="3"/>
  <c r="O390" i="3"/>
  <c r="N390" i="3"/>
  <c r="T404" i="3" l="1"/>
  <c r="T402" i="3"/>
  <c r="T398" i="3"/>
  <c r="Q1415" i="2"/>
  <c r="Q1414" i="2"/>
  <c r="Q287" i="2" l="1"/>
  <c r="Q58" i="2" l="1"/>
  <c r="Q59" i="2"/>
  <c r="Q60" i="2"/>
  <c r="Q61" i="2"/>
  <c r="Q64" i="2"/>
  <c r="Q65" i="2"/>
  <c r="Q66" i="2"/>
  <c r="Q67" i="2"/>
  <c r="Q70" i="2"/>
  <c r="Q71" i="2"/>
  <c r="Q72" i="2"/>
  <c r="Q73" i="2"/>
  <c r="Q74" i="2"/>
  <c r="Q75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R104" i="2" s="1"/>
  <c r="S104" i="2" s="1"/>
  <c r="Q105" i="2"/>
  <c r="Q106" i="2"/>
  <c r="R106" i="2" s="1"/>
  <c r="S106" i="2" s="1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R132" i="2" s="1"/>
  <c r="S132" i="2" s="1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4" i="2"/>
  <c r="Q165" i="2"/>
  <c r="Q166" i="2"/>
  <c r="Q167" i="2"/>
  <c r="Q170" i="2"/>
  <c r="Q171" i="2"/>
  <c r="Q174" i="2"/>
  <c r="Q175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R199" i="2" s="1"/>
  <c r="S199" i="2" s="1"/>
  <c r="Q200" i="2"/>
  <c r="Q201" i="2"/>
  <c r="Q202" i="2"/>
  <c r="Q203" i="2"/>
  <c r="R203" i="2" s="1"/>
  <c r="S203" i="2" s="1"/>
  <c r="Q205" i="2"/>
  <c r="Q206" i="2"/>
  <c r="Q207" i="2"/>
  <c r="R207" i="2" s="1"/>
  <c r="S207" i="2" s="1"/>
  <c r="Q208" i="2"/>
  <c r="Q209" i="2"/>
  <c r="Q210" i="2"/>
  <c r="Q211" i="2"/>
  <c r="Q212" i="2"/>
  <c r="Q213" i="2"/>
  <c r="Q214" i="2"/>
  <c r="Q215" i="2"/>
  <c r="R215" i="2" s="1"/>
  <c r="S215" i="2" s="1"/>
  <c r="Q216" i="2"/>
  <c r="Q217" i="2"/>
  <c r="Q218" i="2"/>
  <c r="Q219" i="2"/>
  <c r="R219" i="2" s="1"/>
  <c r="S219" i="2" s="1"/>
  <c r="Q221" i="2"/>
  <c r="Q222" i="2"/>
  <c r="Q223" i="2"/>
  <c r="R223" i="2" s="1"/>
  <c r="S223" i="2" s="1"/>
  <c r="Q224" i="2"/>
  <c r="Q225" i="2"/>
  <c r="Q226" i="2"/>
  <c r="Q227" i="2"/>
  <c r="Q229" i="2"/>
  <c r="Q230" i="2"/>
  <c r="Q231" i="2"/>
  <c r="Q233" i="2"/>
  <c r="Q234" i="2"/>
  <c r="Q235" i="2"/>
  <c r="R235" i="2" s="1"/>
  <c r="S235" i="2" s="1"/>
  <c r="Q236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2" i="2"/>
  <c r="Q333" i="2"/>
  <c r="Q336" i="2"/>
  <c r="Q337" i="2"/>
  <c r="Q338" i="2"/>
  <c r="Q339" i="2"/>
  <c r="Q340" i="2"/>
  <c r="Q341" i="2"/>
  <c r="Q342" i="2"/>
  <c r="Q343" i="2"/>
  <c r="Q346" i="2"/>
  <c r="Q347" i="2"/>
  <c r="Q350" i="2"/>
  <c r="Q351" i="2"/>
  <c r="Q354" i="2"/>
  <c r="Q355" i="2"/>
  <c r="Q356" i="2"/>
  <c r="Q357" i="2"/>
  <c r="Q360" i="2"/>
  <c r="Q361" i="2"/>
  <c r="Q364" i="2"/>
  <c r="Q365" i="2"/>
  <c r="Q368" i="2"/>
  <c r="Q369" i="2"/>
  <c r="Q372" i="2"/>
  <c r="Q373" i="2"/>
  <c r="Q376" i="2"/>
  <c r="Q377" i="2"/>
  <c r="Q380" i="2"/>
  <c r="Q381" i="2"/>
  <c r="Q55" i="2"/>
  <c r="Q54" i="2"/>
  <c r="E2323" i="3" l="1"/>
  <c r="E2341" i="3" s="1"/>
  <c r="E2359" i="3" s="1"/>
  <c r="E2377" i="3" s="1"/>
  <c r="E2413" i="3" s="1"/>
  <c r="E2431" i="3" s="1"/>
  <c r="E2449" i="3" s="1"/>
  <c r="D2323" i="3"/>
  <c r="D2341" i="3" s="1"/>
  <c r="D2359" i="3" s="1"/>
  <c r="D2377" i="3" s="1"/>
  <c r="D2413" i="3" s="1"/>
  <c r="D2431" i="3" s="1"/>
  <c r="D2449" i="3" s="1"/>
  <c r="E3606" i="3"/>
  <c r="E3624" i="3" s="1"/>
  <c r="E3642" i="3" s="1"/>
  <c r="E3660" i="3" s="1"/>
  <c r="E3678" i="3" s="1"/>
  <c r="E3696" i="3" s="1"/>
  <c r="E3714" i="3" s="1"/>
  <c r="E3732" i="3" s="1"/>
  <c r="E3750" i="3" s="1"/>
  <c r="E3768" i="3" s="1"/>
  <c r="E3786" i="3" s="1"/>
  <c r="D3606" i="3"/>
  <c r="D3624" i="3" s="1"/>
  <c r="D3642" i="3" s="1"/>
  <c r="D3660" i="3" s="1"/>
  <c r="D3678" i="3" s="1"/>
  <c r="D3696" i="3" s="1"/>
  <c r="D3714" i="3" s="1"/>
  <c r="D3732" i="3" s="1"/>
  <c r="D3750" i="3" s="1"/>
  <c r="D3768" i="3" s="1"/>
  <c r="D3786" i="3" s="1"/>
  <c r="I3015" i="3"/>
  <c r="I3014" i="3"/>
  <c r="E2998" i="3"/>
  <c r="E3016" i="3" s="1"/>
  <c r="E3034" i="3" s="1"/>
  <c r="D2998" i="3"/>
  <c r="D3016" i="3" s="1"/>
  <c r="D3034" i="3" s="1"/>
  <c r="I2997" i="3"/>
  <c r="I2996" i="3"/>
  <c r="E2888" i="3"/>
  <c r="E2906" i="3" s="1"/>
  <c r="E2924" i="3" s="1"/>
  <c r="E2942" i="3" s="1"/>
  <c r="E2960" i="3" s="1"/>
  <c r="D2888" i="3"/>
  <c r="D2906" i="3" s="1"/>
  <c r="D2924" i="3" s="1"/>
  <c r="D2942" i="3" s="1"/>
  <c r="D2960" i="3" s="1"/>
  <c r="I479" i="3" l="1"/>
  <c r="J479" i="3"/>
  <c r="J478" i="3"/>
  <c r="I478" i="3"/>
  <c r="O232" i="2"/>
  <c r="Q232" i="2" s="1"/>
  <c r="O228" i="2"/>
  <c r="Q228" i="2" s="1"/>
  <c r="O220" i="2"/>
  <c r="Q220" i="2" s="1"/>
  <c r="O204" i="2"/>
  <c r="Q204" i="2" s="1"/>
  <c r="I226" i="2"/>
  <c r="I230" i="2" s="1"/>
  <c r="I225" i="2"/>
  <c r="I210" i="2"/>
  <c r="I209" i="2"/>
  <c r="R211" i="2" s="1"/>
  <c r="S211" i="2" s="1"/>
  <c r="E205" i="2"/>
  <c r="E209" i="2" s="1"/>
  <c r="E213" i="2" s="1"/>
  <c r="E217" i="2" s="1"/>
  <c r="E221" i="2" s="1"/>
  <c r="E225" i="2" s="1"/>
  <c r="E229" i="2" s="1"/>
  <c r="E233" i="2" s="1"/>
  <c r="D205" i="2"/>
  <c r="D209" i="2" s="1"/>
  <c r="D213" i="2" s="1"/>
  <c r="D217" i="2" s="1"/>
  <c r="D221" i="2" s="1"/>
  <c r="D225" i="2" s="1"/>
  <c r="D229" i="2" s="1"/>
  <c r="D233" i="2" s="1"/>
  <c r="E203" i="2"/>
  <c r="E207" i="2" s="1"/>
  <c r="E211" i="2" s="1"/>
  <c r="E215" i="2" s="1"/>
  <c r="E219" i="2" s="1"/>
  <c r="E223" i="2" s="1"/>
  <c r="E227" i="2" s="1"/>
  <c r="E231" i="2" s="1"/>
  <c r="E235" i="2" s="1"/>
  <c r="D203" i="2"/>
  <c r="D207" i="2" s="1"/>
  <c r="D211" i="2" s="1"/>
  <c r="D215" i="2" s="1"/>
  <c r="D219" i="2" s="1"/>
  <c r="D223" i="2" s="1"/>
  <c r="D227" i="2" s="1"/>
  <c r="D231" i="2" s="1"/>
  <c r="D235" i="2" s="1"/>
  <c r="E278" i="3"/>
  <c r="D278" i="3"/>
  <c r="E130" i="2"/>
  <c r="E280" i="3" s="1"/>
  <c r="D130" i="2"/>
  <c r="D280" i="3" s="1"/>
  <c r="E296" i="3"/>
  <c r="D296" i="3"/>
  <c r="E104" i="2"/>
  <c r="E298" i="3" s="1"/>
  <c r="D104" i="2"/>
  <c r="D298" i="3" s="1"/>
  <c r="E390" i="3"/>
  <c r="D390" i="3"/>
  <c r="E388" i="3"/>
  <c r="D388" i="3"/>
  <c r="P494" i="3" l="1"/>
  <c r="P492" i="3"/>
  <c r="Q492" i="3"/>
  <c r="Q494" i="3"/>
  <c r="I229" i="2"/>
  <c r="R231" i="2" s="1"/>
  <c r="S231" i="2" s="1"/>
  <c r="R227" i="2"/>
  <c r="S227" i="2" s="1"/>
  <c r="E462" i="3"/>
  <c r="E480" i="3" s="1"/>
  <c r="E498" i="3" s="1"/>
  <c r="E516" i="3" s="1"/>
  <c r="E534" i="3" s="1"/>
  <c r="D462" i="3"/>
  <c r="D480" i="3" s="1"/>
  <c r="D498" i="3" s="1"/>
  <c r="D516" i="3" s="1"/>
  <c r="D534" i="3" s="1"/>
  <c r="E460" i="3"/>
  <c r="E478" i="3" s="1"/>
  <c r="E496" i="3" s="1"/>
  <c r="E514" i="3" s="1"/>
  <c r="E532" i="3" s="1"/>
  <c r="D460" i="3"/>
  <c r="D478" i="3" s="1"/>
  <c r="D496" i="3" s="1"/>
  <c r="D514" i="3" s="1"/>
  <c r="D532" i="3" s="1"/>
  <c r="E110" i="2"/>
  <c r="D110" i="2"/>
  <c r="H700" i="3"/>
  <c r="E702" i="3"/>
  <c r="D702" i="3"/>
  <c r="E700" i="3"/>
  <c r="D700" i="3"/>
  <c r="H682" i="3"/>
  <c r="E684" i="3"/>
  <c r="D684" i="3"/>
  <c r="E682" i="3"/>
  <c r="D682" i="3"/>
  <c r="E662" i="3"/>
  <c r="D662" i="3"/>
  <c r="E660" i="3"/>
  <c r="D660" i="3"/>
  <c r="E644" i="3"/>
  <c r="D644" i="3"/>
  <c r="E642" i="3"/>
  <c r="D642" i="3"/>
  <c r="E626" i="3"/>
  <c r="D626" i="3"/>
  <c r="E624" i="3"/>
  <c r="D624" i="3"/>
  <c r="E590" i="3"/>
  <c r="D590" i="3"/>
  <c r="E588" i="3"/>
  <c r="D588" i="3"/>
  <c r="E586" i="3"/>
  <c r="D586" i="3"/>
  <c r="H370" i="3"/>
  <c r="E372" i="3"/>
  <c r="D372" i="3"/>
  <c r="E370" i="3"/>
  <c r="D370" i="3"/>
  <c r="E262" i="3"/>
  <c r="D262" i="3"/>
  <c r="H260" i="3"/>
  <c r="E260" i="3"/>
  <c r="D260" i="3"/>
  <c r="H259" i="3"/>
  <c r="K1935" i="3" l="1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49" i="3"/>
  <c r="L1849" i="3"/>
  <c r="L1850" i="3"/>
  <c r="L1851" i="3"/>
  <c r="L1852" i="3"/>
  <c r="L1853" i="3"/>
  <c r="L1854" i="3"/>
  <c r="L1855" i="3"/>
  <c r="L1856" i="3"/>
  <c r="L1857" i="3"/>
  <c r="L1858" i="3"/>
  <c r="L1859" i="3"/>
  <c r="L1860" i="3"/>
  <c r="L1861" i="3"/>
  <c r="L1862" i="3"/>
  <c r="L1863" i="3"/>
  <c r="L1848" i="3"/>
  <c r="K1848" i="3"/>
  <c r="K1831" i="3"/>
  <c r="L1831" i="3"/>
  <c r="L1832" i="3"/>
  <c r="L1833" i="3"/>
  <c r="L1834" i="3"/>
  <c r="L1835" i="3"/>
  <c r="L1836" i="3"/>
  <c r="L1837" i="3"/>
  <c r="L1838" i="3"/>
  <c r="L1839" i="3"/>
  <c r="L1840" i="3"/>
  <c r="L1841" i="3"/>
  <c r="L1842" i="3"/>
  <c r="L1843" i="3"/>
  <c r="L1844" i="3"/>
  <c r="L1845" i="3"/>
  <c r="L1830" i="3"/>
  <c r="K1830" i="3"/>
  <c r="K1827" i="3"/>
  <c r="K1863" i="3" s="1"/>
  <c r="K1826" i="3"/>
  <c r="K1862" i="3" s="1"/>
  <c r="K1825" i="3"/>
  <c r="K1861" i="3" s="1"/>
  <c r="K1824" i="3"/>
  <c r="K1860" i="3" s="1"/>
  <c r="K1823" i="3"/>
  <c r="K1859" i="3" s="1"/>
  <c r="K1822" i="3"/>
  <c r="K1858" i="3" s="1"/>
  <c r="K1821" i="3"/>
  <c r="K1857" i="3" s="1"/>
  <c r="K1820" i="3"/>
  <c r="K1856" i="3" s="1"/>
  <c r="K1819" i="3"/>
  <c r="K1855" i="3" s="1"/>
  <c r="K1818" i="3"/>
  <c r="K1854" i="3" s="1"/>
  <c r="K1817" i="3"/>
  <c r="K1853" i="3" s="1"/>
  <c r="K1816" i="3"/>
  <c r="K1852" i="3" s="1"/>
  <c r="K1815" i="3"/>
  <c r="K1851" i="3" s="1"/>
  <c r="K1814" i="3"/>
  <c r="K1850" i="3" s="1"/>
  <c r="J1847" i="3"/>
  <c r="J1846" i="3"/>
  <c r="I1847" i="3"/>
  <c r="I1846" i="3"/>
  <c r="J1829" i="3"/>
  <c r="J1828" i="3"/>
  <c r="I1829" i="3"/>
  <c r="I1828" i="3"/>
  <c r="E1846" i="3"/>
  <c r="E1828" i="3"/>
  <c r="D1846" i="3"/>
  <c r="D1828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77" i="3"/>
  <c r="L1777" i="3"/>
  <c r="L1778" i="3"/>
  <c r="L1779" i="3"/>
  <c r="L1780" i="3"/>
  <c r="L1781" i="3"/>
  <c r="L1782" i="3"/>
  <c r="L1783" i="3"/>
  <c r="L1784" i="3"/>
  <c r="L1785" i="3"/>
  <c r="L1786" i="3"/>
  <c r="L1787" i="3"/>
  <c r="L1788" i="3"/>
  <c r="L1789" i="3"/>
  <c r="L1790" i="3"/>
  <c r="L1791" i="3"/>
  <c r="L1776" i="3"/>
  <c r="K1776" i="3"/>
  <c r="L1773" i="3"/>
  <c r="L1758" i="3"/>
  <c r="L1759" i="3"/>
  <c r="L1760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K1759" i="3"/>
  <c r="K1758" i="3"/>
  <c r="K1755" i="3"/>
  <c r="K1791" i="3" s="1"/>
  <c r="K1754" i="3"/>
  <c r="K1790" i="3" s="1"/>
  <c r="K1753" i="3"/>
  <c r="K1789" i="3" s="1"/>
  <c r="K1752" i="3"/>
  <c r="K1788" i="3" s="1"/>
  <c r="K1751" i="3"/>
  <c r="K1787" i="3" s="1"/>
  <c r="K1750" i="3"/>
  <c r="K1786" i="3" s="1"/>
  <c r="K1749" i="3"/>
  <c r="K1785" i="3" s="1"/>
  <c r="K1748" i="3"/>
  <c r="K1784" i="3" s="1"/>
  <c r="K1747" i="3"/>
  <c r="K1783" i="3" s="1"/>
  <c r="K1746" i="3"/>
  <c r="K1782" i="3" s="1"/>
  <c r="K1745" i="3"/>
  <c r="K1781" i="3" s="1"/>
  <c r="K1744" i="3"/>
  <c r="K1780" i="3" s="1"/>
  <c r="K1743" i="3"/>
  <c r="K1779" i="3" s="1"/>
  <c r="K1742" i="3"/>
  <c r="K1778" i="3" s="1"/>
  <c r="L1737" i="3"/>
  <c r="L1736" i="3"/>
  <c r="L1735" i="3"/>
  <c r="L1734" i="3"/>
  <c r="L1733" i="3"/>
  <c r="L1732" i="3"/>
  <c r="L1731" i="3"/>
  <c r="L1730" i="3"/>
  <c r="L1729" i="3"/>
  <c r="L1728" i="3"/>
  <c r="L1727" i="3"/>
  <c r="L1726" i="3"/>
  <c r="L1725" i="3"/>
  <c r="L1724" i="3"/>
  <c r="L1723" i="3"/>
  <c r="K1723" i="3"/>
  <c r="L1722" i="3"/>
  <c r="K1722" i="3"/>
  <c r="L1719" i="3"/>
  <c r="L1718" i="3"/>
  <c r="L1717" i="3"/>
  <c r="L1716" i="3"/>
  <c r="L1715" i="3"/>
  <c r="L1714" i="3"/>
  <c r="L1713" i="3"/>
  <c r="L1712" i="3"/>
  <c r="L1711" i="3"/>
  <c r="L1710" i="3"/>
  <c r="L1709" i="3"/>
  <c r="L1708" i="3"/>
  <c r="L1707" i="3"/>
  <c r="L1706" i="3"/>
  <c r="L1705" i="3"/>
  <c r="K1705" i="3"/>
  <c r="L1704" i="3"/>
  <c r="K1704" i="3"/>
  <c r="L1701" i="3"/>
  <c r="L1700" i="3"/>
  <c r="L1699" i="3"/>
  <c r="L1698" i="3"/>
  <c r="L1697" i="3"/>
  <c r="L1696" i="3"/>
  <c r="L1695" i="3"/>
  <c r="L1694" i="3"/>
  <c r="L1693" i="3"/>
  <c r="L1692" i="3"/>
  <c r="L1691" i="3"/>
  <c r="L1690" i="3"/>
  <c r="L1689" i="3"/>
  <c r="L1688" i="3"/>
  <c r="L1687" i="3"/>
  <c r="K1687" i="3"/>
  <c r="L1686" i="3"/>
  <c r="K1686" i="3"/>
  <c r="L1683" i="3"/>
  <c r="L1682" i="3"/>
  <c r="L1681" i="3"/>
  <c r="L1680" i="3"/>
  <c r="L1679" i="3"/>
  <c r="L1678" i="3"/>
  <c r="L1677" i="3"/>
  <c r="L1676" i="3"/>
  <c r="L1675" i="3"/>
  <c r="L1674" i="3"/>
  <c r="L1673" i="3"/>
  <c r="L1672" i="3"/>
  <c r="L1671" i="3"/>
  <c r="L1670" i="3"/>
  <c r="L1669" i="3"/>
  <c r="K1669" i="3"/>
  <c r="L1668" i="3"/>
  <c r="K1668" i="3"/>
  <c r="L1665" i="3"/>
  <c r="L1664" i="3"/>
  <c r="L1663" i="3"/>
  <c r="L1662" i="3"/>
  <c r="L1661" i="3"/>
  <c r="L1660" i="3"/>
  <c r="L1659" i="3"/>
  <c r="L1658" i="3"/>
  <c r="L1657" i="3"/>
  <c r="L1656" i="3"/>
  <c r="L1655" i="3"/>
  <c r="L1654" i="3"/>
  <c r="L1653" i="3"/>
  <c r="L1652" i="3"/>
  <c r="L1651" i="3"/>
  <c r="K1651" i="3"/>
  <c r="L1650" i="3"/>
  <c r="K1650" i="3"/>
  <c r="L1647" i="3"/>
  <c r="L1646" i="3"/>
  <c r="L1645" i="3"/>
  <c r="L1644" i="3"/>
  <c r="L1643" i="3"/>
  <c r="L1642" i="3"/>
  <c r="L1641" i="3"/>
  <c r="L1640" i="3"/>
  <c r="L1639" i="3"/>
  <c r="L1638" i="3"/>
  <c r="L1637" i="3"/>
  <c r="L1636" i="3"/>
  <c r="L1635" i="3"/>
  <c r="L1634" i="3"/>
  <c r="L1633" i="3"/>
  <c r="K1633" i="3"/>
  <c r="L1632" i="3"/>
  <c r="K1632" i="3"/>
  <c r="L1629" i="3"/>
  <c r="L1628" i="3"/>
  <c r="L1627" i="3"/>
  <c r="L1626" i="3"/>
  <c r="L1625" i="3"/>
  <c r="L1624" i="3"/>
  <c r="L1623" i="3"/>
  <c r="L1622" i="3"/>
  <c r="L1621" i="3"/>
  <c r="L1620" i="3"/>
  <c r="L1619" i="3"/>
  <c r="L1618" i="3"/>
  <c r="L1617" i="3"/>
  <c r="L1616" i="3"/>
  <c r="L1615" i="3"/>
  <c r="K1615" i="3"/>
  <c r="L1614" i="3"/>
  <c r="K1614" i="3"/>
  <c r="L1611" i="3"/>
  <c r="L1610" i="3"/>
  <c r="L1609" i="3"/>
  <c r="L1608" i="3"/>
  <c r="L1607" i="3"/>
  <c r="L1606" i="3"/>
  <c r="L1605" i="3"/>
  <c r="L1604" i="3"/>
  <c r="L1603" i="3"/>
  <c r="L1602" i="3"/>
  <c r="L1601" i="3"/>
  <c r="L1600" i="3"/>
  <c r="L1599" i="3"/>
  <c r="L1598" i="3"/>
  <c r="L1597" i="3"/>
  <c r="K1597" i="3"/>
  <c r="L1596" i="3"/>
  <c r="K1596" i="3"/>
  <c r="L1593" i="3"/>
  <c r="L1592" i="3"/>
  <c r="L1591" i="3"/>
  <c r="L1590" i="3"/>
  <c r="L1589" i="3"/>
  <c r="L1588" i="3"/>
  <c r="L1587" i="3"/>
  <c r="L1586" i="3"/>
  <c r="L1585" i="3"/>
  <c r="L1584" i="3"/>
  <c r="L1583" i="3"/>
  <c r="L1582" i="3"/>
  <c r="L1581" i="3"/>
  <c r="L1580" i="3"/>
  <c r="L1579" i="3"/>
  <c r="K1579" i="3"/>
  <c r="L1578" i="3"/>
  <c r="K1578" i="3"/>
  <c r="L1575" i="3"/>
  <c r="L1574" i="3"/>
  <c r="L1573" i="3"/>
  <c r="L1572" i="3"/>
  <c r="L1571" i="3"/>
  <c r="L1570" i="3"/>
  <c r="L1569" i="3"/>
  <c r="L1568" i="3"/>
  <c r="L1567" i="3"/>
  <c r="L1566" i="3"/>
  <c r="L1565" i="3"/>
  <c r="L1564" i="3"/>
  <c r="L1563" i="3"/>
  <c r="L1562" i="3"/>
  <c r="L1561" i="3"/>
  <c r="L1560" i="3"/>
  <c r="K1561" i="3"/>
  <c r="K1560" i="3"/>
  <c r="K1557" i="3"/>
  <c r="K1556" i="3"/>
  <c r="K1555" i="3"/>
  <c r="K1554" i="3"/>
  <c r="K1553" i="3"/>
  <c r="K1552" i="3"/>
  <c r="K1551" i="3"/>
  <c r="K1550" i="3"/>
  <c r="K1586" i="3" s="1"/>
  <c r="K1549" i="3"/>
  <c r="K1548" i="3"/>
  <c r="K1584" i="3" s="1"/>
  <c r="K1547" i="3"/>
  <c r="K1546" i="3"/>
  <c r="K1582" i="3" s="1"/>
  <c r="K1545" i="3"/>
  <c r="K1544" i="3"/>
  <c r="K1580" i="3" s="1"/>
  <c r="J1793" i="3"/>
  <c r="I1793" i="3"/>
  <c r="J1792" i="3"/>
  <c r="I1792" i="3"/>
  <c r="J1775" i="3"/>
  <c r="I1775" i="3"/>
  <c r="J1774" i="3"/>
  <c r="I1774" i="3"/>
  <c r="J1757" i="3"/>
  <c r="I1757" i="3"/>
  <c r="J1756" i="3"/>
  <c r="I1756" i="3"/>
  <c r="J1739" i="3"/>
  <c r="I1739" i="3"/>
  <c r="J1738" i="3"/>
  <c r="I1738" i="3"/>
  <c r="J1721" i="3"/>
  <c r="I1721" i="3"/>
  <c r="J1720" i="3"/>
  <c r="I1720" i="3"/>
  <c r="J1703" i="3"/>
  <c r="I1703" i="3"/>
  <c r="J1702" i="3"/>
  <c r="I1702" i="3"/>
  <c r="J1685" i="3"/>
  <c r="I1685" i="3"/>
  <c r="J1684" i="3"/>
  <c r="I1684" i="3"/>
  <c r="J1667" i="3"/>
  <c r="I1667" i="3"/>
  <c r="J1666" i="3"/>
  <c r="I1666" i="3"/>
  <c r="J1649" i="3"/>
  <c r="I1649" i="3"/>
  <c r="J1648" i="3"/>
  <c r="I1648" i="3"/>
  <c r="J1631" i="3"/>
  <c r="I1631" i="3"/>
  <c r="J1630" i="3"/>
  <c r="I1630" i="3"/>
  <c r="J1613" i="3"/>
  <c r="I1613" i="3"/>
  <c r="J1612" i="3"/>
  <c r="I1612" i="3"/>
  <c r="J1595" i="3"/>
  <c r="I1595" i="3"/>
  <c r="J1594" i="3"/>
  <c r="I1594" i="3"/>
  <c r="J1577" i="3"/>
  <c r="I1577" i="3"/>
  <c r="J1576" i="3"/>
  <c r="I1576" i="3"/>
  <c r="J1559" i="3"/>
  <c r="J1558" i="3"/>
  <c r="I1559" i="3"/>
  <c r="I1558" i="3"/>
  <c r="H1792" i="3"/>
  <c r="H1774" i="3"/>
  <c r="H1756" i="3"/>
  <c r="H1738" i="3"/>
  <c r="H1720" i="3"/>
  <c r="H1702" i="3"/>
  <c r="H1684" i="3"/>
  <c r="H1666" i="3"/>
  <c r="H1648" i="3"/>
  <c r="H1630" i="3"/>
  <c r="H1612" i="3"/>
  <c r="H1594" i="3"/>
  <c r="H1576" i="3"/>
  <c r="H1558" i="3"/>
  <c r="E1792" i="3"/>
  <c r="D1792" i="3"/>
  <c r="E1774" i="3"/>
  <c r="D1774" i="3"/>
  <c r="E1756" i="3"/>
  <c r="D1756" i="3"/>
  <c r="E1738" i="3"/>
  <c r="D1738" i="3"/>
  <c r="E1720" i="3"/>
  <c r="D1720" i="3"/>
  <c r="E1702" i="3"/>
  <c r="D1702" i="3"/>
  <c r="E1684" i="3"/>
  <c r="D1684" i="3"/>
  <c r="E1666" i="3"/>
  <c r="D1666" i="3"/>
  <c r="E1648" i="3"/>
  <c r="D1648" i="3"/>
  <c r="E1630" i="3"/>
  <c r="D1630" i="3"/>
  <c r="E1612" i="3"/>
  <c r="D1612" i="3"/>
  <c r="E1594" i="3"/>
  <c r="D1594" i="3"/>
  <c r="E1576" i="3"/>
  <c r="D1576" i="3"/>
  <c r="E1558" i="3"/>
  <c r="D1558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E1920" i="3"/>
  <c r="D1920" i="3"/>
  <c r="E1902" i="3"/>
  <c r="D1902" i="3"/>
  <c r="E1884" i="3"/>
  <c r="D1884" i="3"/>
  <c r="E1866" i="3"/>
  <c r="D1866" i="3"/>
  <c r="E1848" i="3"/>
  <c r="D1848" i="3"/>
  <c r="E1830" i="3"/>
  <c r="D1830" i="3"/>
  <c r="E1812" i="3"/>
  <c r="D1812" i="3"/>
  <c r="E1794" i="3"/>
  <c r="D1794" i="3"/>
  <c r="E1776" i="3"/>
  <c r="D1776" i="3"/>
  <c r="E1758" i="3"/>
  <c r="D1758" i="3"/>
  <c r="E1740" i="3"/>
  <c r="D1740" i="3"/>
  <c r="E1722" i="3"/>
  <c r="D1722" i="3"/>
  <c r="E1704" i="3"/>
  <c r="D1704" i="3"/>
  <c r="E1686" i="3"/>
  <c r="D1686" i="3"/>
  <c r="E1668" i="3"/>
  <c r="D1668" i="3"/>
  <c r="E1650" i="3"/>
  <c r="D1650" i="3"/>
  <c r="E1632" i="3"/>
  <c r="D1632" i="3"/>
  <c r="E1614" i="3"/>
  <c r="D1614" i="3"/>
  <c r="E1596" i="3"/>
  <c r="D1596" i="3"/>
  <c r="E1578" i="3"/>
  <c r="D1578" i="3"/>
  <c r="E1560" i="3"/>
  <c r="D1560" i="3"/>
  <c r="E1542" i="3"/>
  <c r="D1542" i="3"/>
  <c r="E1524" i="3"/>
  <c r="D1524" i="3"/>
  <c r="D1522" i="3"/>
  <c r="L1430" i="3"/>
  <c r="L1429" i="3"/>
  <c r="O1429" i="3" s="1"/>
  <c r="L1428" i="3"/>
  <c r="L1427" i="3"/>
  <c r="L1426" i="3"/>
  <c r="L1425" i="3"/>
  <c r="L1424" i="3"/>
  <c r="L1423" i="3"/>
  <c r="L1422" i="3"/>
  <c r="L1421" i="3"/>
  <c r="L1420" i="3"/>
  <c r="L1419" i="3"/>
  <c r="L1418" i="3"/>
  <c r="L1417" i="3"/>
  <c r="L1416" i="3"/>
  <c r="K1416" i="3"/>
  <c r="L1415" i="3"/>
  <c r="K1415" i="3"/>
  <c r="L1412" i="3"/>
  <c r="L1411" i="3"/>
  <c r="L1410" i="3"/>
  <c r="L1409" i="3"/>
  <c r="L1408" i="3"/>
  <c r="L1407" i="3"/>
  <c r="L1406" i="3"/>
  <c r="L1405" i="3"/>
  <c r="L1404" i="3"/>
  <c r="L1403" i="3"/>
  <c r="L1402" i="3"/>
  <c r="L1401" i="3"/>
  <c r="L1400" i="3"/>
  <c r="L1399" i="3"/>
  <c r="L1398" i="3"/>
  <c r="K1398" i="3"/>
  <c r="L1397" i="3"/>
  <c r="K1397" i="3"/>
  <c r="L1394" i="3"/>
  <c r="L1393" i="3"/>
  <c r="L1392" i="3"/>
  <c r="L1391" i="3"/>
  <c r="L1390" i="3"/>
  <c r="L1389" i="3"/>
  <c r="L1388" i="3"/>
  <c r="L1387" i="3"/>
  <c r="L1386" i="3"/>
  <c r="L1385" i="3"/>
  <c r="L1384" i="3"/>
  <c r="L1383" i="3"/>
  <c r="L1382" i="3"/>
  <c r="L1381" i="3"/>
  <c r="L1380" i="3"/>
  <c r="K1380" i="3"/>
  <c r="L1379" i="3"/>
  <c r="K1379" i="3"/>
  <c r="L1376" i="3"/>
  <c r="L1375" i="3"/>
  <c r="L1374" i="3"/>
  <c r="L1373" i="3"/>
  <c r="L1372" i="3"/>
  <c r="L1371" i="3"/>
  <c r="L1370" i="3"/>
  <c r="L1369" i="3"/>
  <c r="L1368" i="3"/>
  <c r="L1367" i="3"/>
  <c r="L1366" i="3"/>
  <c r="L1365" i="3"/>
  <c r="L1364" i="3"/>
  <c r="L1363" i="3"/>
  <c r="L1362" i="3"/>
  <c r="K1362" i="3"/>
  <c r="L1361" i="3"/>
  <c r="K1361" i="3"/>
  <c r="L1358" i="3"/>
  <c r="L1357" i="3"/>
  <c r="L1356" i="3"/>
  <c r="L1355" i="3"/>
  <c r="L1354" i="3"/>
  <c r="L1353" i="3"/>
  <c r="L1352" i="3"/>
  <c r="L1351" i="3"/>
  <c r="L1350" i="3"/>
  <c r="L1349" i="3"/>
  <c r="L1348" i="3"/>
  <c r="L1347" i="3"/>
  <c r="L1346" i="3"/>
  <c r="L1345" i="3"/>
  <c r="L1344" i="3"/>
  <c r="K1344" i="3"/>
  <c r="L1343" i="3"/>
  <c r="K1343" i="3"/>
  <c r="L1340" i="3"/>
  <c r="L1339" i="3"/>
  <c r="L1338" i="3"/>
  <c r="L1337" i="3"/>
  <c r="L1336" i="3"/>
  <c r="L1335" i="3"/>
  <c r="L1334" i="3"/>
  <c r="L1333" i="3"/>
  <c r="L1332" i="3"/>
  <c r="L1331" i="3"/>
  <c r="L1330" i="3"/>
  <c r="L1329" i="3"/>
  <c r="L1328" i="3"/>
  <c r="L1327" i="3"/>
  <c r="L1326" i="3"/>
  <c r="K1326" i="3"/>
  <c r="L1325" i="3"/>
  <c r="K1325" i="3"/>
  <c r="L1322" i="3"/>
  <c r="L1321" i="3"/>
  <c r="L1320" i="3"/>
  <c r="L1319" i="3"/>
  <c r="O1319" i="3" s="1"/>
  <c r="L1318" i="3"/>
  <c r="L1317" i="3"/>
  <c r="L1316" i="3"/>
  <c r="L1315" i="3"/>
  <c r="L1314" i="3"/>
  <c r="L1313" i="3"/>
  <c r="L1312" i="3"/>
  <c r="L1311" i="3"/>
  <c r="L1310" i="3"/>
  <c r="L1309" i="3"/>
  <c r="L1308" i="3"/>
  <c r="K1308" i="3"/>
  <c r="L1307" i="3"/>
  <c r="K1307" i="3"/>
  <c r="L1304" i="3"/>
  <c r="O1304" i="3" s="1"/>
  <c r="L1303" i="3"/>
  <c r="O1303" i="3" s="1"/>
  <c r="L1302" i="3"/>
  <c r="O1302" i="3" s="1"/>
  <c r="L1301" i="3"/>
  <c r="O1301" i="3" s="1"/>
  <c r="L1300" i="3"/>
  <c r="O1300" i="3" s="1"/>
  <c r="L1299" i="3"/>
  <c r="O1299" i="3" s="1"/>
  <c r="L1298" i="3"/>
  <c r="O1298" i="3" s="1"/>
  <c r="L1297" i="3"/>
  <c r="O1297" i="3" s="1"/>
  <c r="L1296" i="3"/>
  <c r="O1296" i="3" s="1"/>
  <c r="L1295" i="3"/>
  <c r="O1295" i="3" s="1"/>
  <c r="L1294" i="3"/>
  <c r="O1294" i="3" s="1"/>
  <c r="L1293" i="3"/>
  <c r="O1293" i="3" s="1"/>
  <c r="L1292" i="3"/>
  <c r="O1292" i="3" s="1"/>
  <c r="L1291" i="3"/>
  <c r="O1291" i="3" s="1"/>
  <c r="L1290" i="3"/>
  <c r="O1290" i="3" s="1"/>
  <c r="L1289" i="3"/>
  <c r="O1289" i="3" s="1"/>
  <c r="K1290" i="3"/>
  <c r="N1290" i="3" s="1"/>
  <c r="K1289" i="3"/>
  <c r="N1289" i="3" s="1"/>
  <c r="K1286" i="3"/>
  <c r="K1304" i="3" s="1"/>
  <c r="N1304" i="3" s="1"/>
  <c r="K1285" i="3"/>
  <c r="K1429" i="3" s="1"/>
  <c r="N1429" i="3" s="1"/>
  <c r="K1284" i="3"/>
  <c r="K1302" i="3" s="1"/>
  <c r="N1302" i="3" s="1"/>
  <c r="K1283" i="3"/>
  <c r="K1427" i="3" s="1"/>
  <c r="K1282" i="3"/>
  <c r="K1300" i="3" s="1"/>
  <c r="N1300" i="3" s="1"/>
  <c r="K1281" i="3"/>
  <c r="K1425" i="3" s="1"/>
  <c r="K1280" i="3"/>
  <c r="K1298" i="3" s="1"/>
  <c r="N1298" i="3" s="1"/>
  <c r="K1279" i="3"/>
  <c r="K1423" i="3" s="1"/>
  <c r="K1278" i="3"/>
  <c r="K1296" i="3" s="1"/>
  <c r="N1296" i="3" s="1"/>
  <c r="K1277" i="3"/>
  <c r="K1421" i="3" s="1"/>
  <c r="K1276" i="3"/>
  <c r="K1294" i="3" s="1"/>
  <c r="N1294" i="3" s="1"/>
  <c r="K1275" i="3"/>
  <c r="K1419" i="3" s="1"/>
  <c r="K1274" i="3"/>
  <c r="K1292" i="3" s="1"/>
  <c r="N1292" i="3" s="1"/>
  <c r="K1273" i="3"/>
  <c r="K1417" i="3" s="1"/>
  <c r="J1450" i="3"/>
  <c r="I1450" i="3"/>
  <c r="J1449" i="3"/>
  <c r="Q1466" i="3" s="1"/>
  <c r="I1449" i="3"/>
  <c r="P1466" i="3" s="1"/>
  <c r="J1432" i="3"/>
  <c r="I1432" i="3"/>
  <c r="J1431" i="3"/>
  <c r="Q1443" i="3" s="1"/>
  <c r="I1431" i="3"/>
  <c r="P1443" i="3" s="1"/>
  <c r="J1414" i="3"/>
  <c r="I1414" i="3"/>
  <c r="J1413" i="3"/>
  <c r="I1413" i="3"/>
  <c r="P1429" i="3" s="1"/>
  <c r="J1396" i="3"/>
  <c r="I1396" i="3"/>
  <c r="J1395" i="3"/>
  <c r="I1395" i="3"/>
  <c r="J1378" i="3"/>
  <c r="I1378" i="3"/>
  <c r="J1377" i="3"/>
  <c r="I1377" i="3"/>
  <c r="J1360" i="3"/>
  <c r="I1360" i="3"/>
  <c r="J1359" i="3"/>
  <c r="I1359" i="3"/>
  <c r="J1342" i="3"/>
  <c r="I1342" i="3"/>
  <c r="J1341" i="3"/>
  <c r="I1341" i="3"/>
  <c r="J1324" i="3"/>
  <c r="I1324" i="3"/>
  <c r="J1323" i="3"/>
  <c r="I1323" i="3"/>
  <c r="J1306" i="3"/>
  <c r="I1306" i="3"/>
  <c r="J1305" i="3"/>
  <c r="I1305" i="3"/>
  <c r="J1288" i="3"/>
  <c r="J1287" i="3"/>
  <c r="I1288" i="3"/>
  <c r="I1287" i="3"/>
  <c r="E1271" i="3"/>
  <c r="D1271" i="3"/>
  <c r="E1289" i="3"/>
  <c r="D1289" i="3"/>
  <c r="E1307" i="3"/>
  <c r="D1307" i="3"/>
  <c r="E1325" i="3"/>
  <c r="D1325" i="3"/>
  <c r="E1343" i="3"/>
  <c r="D1343" i="3"/>
  <c r="E1361" i="3"/>
  <c r="D1361" i="3"/>
  <c r="E1379" i="3"/>
  <c r="D1379" i="3"/>
  <c r="E1397" i="3"/>
  <c r="D1397" i="3"/>
  <c r="E1415" i="3"/>
  <c r="D1415" i="3"/>
  <c r="E1433" i="3"/>
  <c r="D1433" i="3"/>
  <c r="E1451" i="3"/>
  <c r="D1451" i="3"/>
  <c r="E1449" i="3"/>
  <c r="D1449" i="3"/>
  <c r="E1431" i="3"/>
  <c r="D1431" i="3"/>
  <c r="E1413" i="3"/>
  <c r="D1413" i="3"/>
  <c r="E1395" i="3"/>
  <c r="D1395" i="3"/>
  <c r="E1377" i="3"/>
  <c r="D1377" i="3"/>
  <c r="E1359" i="3"/>
  <c r="D1359" i="3"/>
  <c r="E1341" i="3"/>
  <c r="D1341" i="3"/>
  <c r="E1323" i="3"/>
  <c r="D1323" i="3"/>
  <c r="E1305" i="3"/>
  <c r="D1305" i="3"/>
  <c r="E1287" i="3"/>
  <c r="D1287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K998" i="3"/>
  <c r="L997" i="3"/>
  <c r="K997" i="3"/>
  <c r="J996" i="3"/>
  <c r="I996" i="3"/>
  <c r="J995" i="3"/>
  <c r="I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K980" i="3"/>
  <c r="L979" i="3"/>
  <c r="K979" i="3"/>
  <c r="J978" i="3"/>
  <c r="I978" i="3"/>
  <c r="J977" i="3"/>
  <c r="I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K962" i="3"/>
  <c r="L961" i="3"/>
  <c r="K961" i="3"/>
  <c r="J960" i="3"/>
  <c r="I960" i="3"/>
  <c r="J959" i="3"/>
  <c r="I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K944" i="3"/>
  <c r="L943" i="3"/>
  <c r="K943" i="3"/>
  <c r="J942" i="3"/>
  <c r="I942" i="3"/>
  <c r="J941" i="3"/>
  <c r="I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K926" i="3"/>
  <c r="L925" i="3"/>
  <c r="K925" i="3"/>
  <c r="J924" i="3"/>
  <c r="I924" i="3"/>
  <c r="J923" i="3"/>
  <c r="I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K908" i="3"/>
  <c r="L907" i="3"/>
  <c r="K907" i="3"/>
  <c r="J906" i="3"/>
  <c r="I906" i="3"/>
  <c r="J905" i="3"/>
  <c r="I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K890" i="3"/>
  <c r="L889" i="3"/>
  <c r="K889" i="3"/>
  <c r="J888" i="3"/>
  <c r="I888" i="3"/>
  <c r="J887" i="3"/>
  <c r="I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K872" i="3"/>
  <c r="L871" i="3"/>
  <c r="K871" i="3"/>
  <c r="J870" i="3"/>
  <c r="I870" i="3"/>
  <c r="J869" i="3"/>
  <c r="I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K854" i="3"/>
  <c r="L853" i="3"/>
  <c r="K853" i="3"/>
  <c r="J852" i="3"/>
  <c r="I852" i="3"/>
  <c r="J851" i="3"/>
  <c r="I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K836" i="3"/>
  <c r="L835" i="3"/>
  <c r="K835" i="3"/>
  <c r="J834" i="3"/>
  <c r="I834" i="3"/>
  <c r="J833" i="3"/>
  <c r="I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K818" i="3"/>
  <c r="L817" i="3"/>
  <c r="K817" i="3"/>
  <c r="J816" i="3"/>
  <c r="I816" i="3"/>
  <c r="J815" i="3"/>
  <c r="I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K800" i="3"/>
  <c r="L799" i="3"/>
  <c r="K799" i="3"/>
  <c r="J798" i="3"/>
  <c r="I798" i="3"/>
  <c r="J797" i="3"/>
  <c r="I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K782" i="3"/>
  <c r="L781" i="3"/>
  <c r="K781" i="3"/>
  <c r="J780" i="3"/>
  <c r="I780" i="3"/>
  <c r="J779" i="3"/>
  <c r="I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K764" i="3"/>
  <c r="L763" i="3"/>
  <c r="K763" i="3"/>
  <c r="J762" i="3"/>
  <c r="I762" i="3"/>
  <c r="J761" i="3"/>
  <c r="I761" i="3"/>
  <c r="D997" i="3"/>
  <c r="D979" i="3"/>
  <c r="D961" i="3"/>
  <c r="D943" i="3"/>
  <c r="D925" i="3"/>
  <c r="D907" i="3"/>
  <c r="D889" i="3"/>
  <c r="D871" i="3"/>
  <c r="D853" i="3"/>
  <c r="D835" i="3"/>
  <c r="D817" i="3"/>
  <c r="D799" i="3"/>
  <c r="D781" i="3"/>
  <c r="D763" i="3"/>
  <c r="E745" i="3"/>
  <c r="E763" i="3" s="1"/>
  <c r="E781" i="3" s="1"/>
  <c r="E799" i="3" s="1"/>
  <c r="E817" i="3" s="1"/>
  <c r="E835" i="3" s="1"/>
  <c r="E853" i="3" s="1"/>
  <c r="E871" i="3" s="1"/>
  <c r="E889" i="3" s="1"/>
  <c r="E907" i="3" s="1"/>
  <c r="E925" i="3" s="1"/>
  <c r="E943" i="3" s="1"/>
  <c r="E961" i="3" s="1"/>
  <c r="E979" i="3" s="1"/>
  <c r="E997" i="3" s="1"/>
  <c r="D745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K746" i="3"/>
  <c r="K745" i="3"/>
  <c r="J744" i="3"/>
  <c r="J743" i="3"/>
  <c r="I744" i="3"/>
  <c r="I743" i="3"/>
  <c r="K742" i="3"/>
  <c r="K814" i="3" s="1"/>
  <c r="K741" i="3"/>
  <c r="K740" i="3"/>
  <c r="K830" i="3" s="1"/>
  <c r="K739" i="3"/>
  <c r="K738" i="3"/>
  <c r="K810" i="3" s="1"/>
  <c r="K737" i="3"/>
  <c r="K736" i="3"/>
  <c r="K826" i="3" s="1"/>
  <c r="K735" i="3"/>
  <c r="K753" i="3" s="1"/>
  <c r="K734" i="3"/>
  <c r="K806" i="3" s="1"/>
  <c r="K733" i="3"/>
  <c r="K732" i="3"/>
  <c r="K822" i="3" s="1"/>
  <c r="K731" i="3"/>
  <c r="K749" i="3" s="1"/>
  <c r="K730" i="3"/>
  <c r="K802" i="3" s="1"/>
  <c r="K729" i="3"/>
  <c r="E995" i="3"/>
  <c r="D995" i="3"/>
  <c r="E977" i="3"/>
  <c r="D977" i="3"/>
  <c r="E959" i="3"/>
  <c r="D959" i="3"/>
  <c r="E941" i="3"/>
  <c r="D941" i="3"/>
  <c r="E923" i="3"/>
  <c r="D923" i="3"/>
  <c r="E905" i="3"/>
  <c r="D905" i="3"/>
  <c r="E887" i="3"/>
  <c r="D887" i="3"/>
  <c r="E869" i="3"/>
  <c r="D869" i="3"/>
  <c r="E851" i="3"/>
  <c r="D851" i="3"/>
  <c r="E833" i="3"/>
  <c r="D833" i="3"/>
  <c r="E815" i="3"/>
  <c r="D815" i="3"/>
  <c r="E797" i="3"/>
  <c r="D797" i="3"/>
  <c r="E779" i="3"/>
  <c r="D779" i="3"/>
  <c r="E761" i="3"/>
  <c r="D761" i="3"/>
  <c r="E743" i="3"/>
  <c r="D743" i="3"/>
  <c r="Q1437" i="3" l="1"/>
  <c r="Q1441" i="3"/>
  <c r="Q1429" i="3"/>
  <c r="P1437" i="3"/>
  <c r="P1441" i="3"/>
  <c r="Q1445" i="3"/>
  <c r="S1445" i="3" s="1"/>
  <c r="Q1447" i="3"/>
  <c r="P1445" i="3"/>
  <c r="R1445" i="3" s="1"/>
  <c r="P1447" i="3"/>
  <c r="Q1301" i="3"/>
  <c r="K1568" i="3"/>
  <c r="K1563" i="3"/>
  <c r="K1707" i="3"/>
  <c r="K1725" i="3"/>
  <c r="K1689" i="3"/>
  <c r="K1671" i="3"/>
  <c r="K1653" i="3"/>
  <c r="K1635" i="3"/>
  <c r="K1617" i="3"/>
  <c r="K1599" i="3"/>
  <c r="K1565" i="3"/>
  <c r="K1727" i="3"/>
  <c r="K1691" i="3"/>
  <c r="K1709" i="3"/>
  <c r="K1673" i="3"/>
  <c r="K1655" i="3"/>
  <c r="K1637" i="3"/>
  <c r="K1619" i="3"/>
  <c r="K1601" i="3"/>
  <c r="K1567" i="3"/>
  <c r="K1711" i="3"/>
  <c r="K1729" i="3"/>
  <c r="K1693" i="3"/>
  <c r="K1675" i="3"/>
  <c r="K1657" i="3"/>
  <c r="K1639" i="3"/>
  <c r="K1621" i="3"/>
  <c r="K1603" i="3"/>
  <c r="K1569" i="3"/>
  <c r="K1731" i="3"/>
  <c r="K1695" i="3"/>
  <c r="K1713" i="3"/>
  <c r="K1677" i="3"/>
  <c r="K1659" i="3"/>
  <c r="K1641" i="3"/>
  <c r="K1623" i="3"/>
  <c r="K1605" i="3"/>
  <c r="K1571" i="3"/>
  <c r="K1715" i="3"/>
  <c r="K1733" i="3"/>
  <c r="K1697" i="3"/>
  <c r="K1679" i="3"/>
  <c r="K1661" i="3"/>
  <c r="K1643" i="3"/>
  <c r="K1625" i="3"/>
  <c r="K1607" i="3"/>
  <c r="K1589" i="3"/>
  <c r="K1573" i="3"/>
  <c r="K1735" i="3"/>
  <c r="K1699" i="3"/>
  <c r="K1717" i="3"/>
  <c r="K1681" i="3"/>
  <c r="K1663" i="3"/>
  <c r="K1645" i="3"/>
  <c r="K1627" i="3"/>
  <c r="K1609" i="3"/>
  <c r="K1591" i="3"/>
  <c r="K1575" i="3"/>
  <c r="K1719" i="3"/>
  <c r="K1683" i="3"/>
  <c r="K1737" i="3"/>
  <c r="K1701" i="3"/>
  <c r="K1665" i="3"/>
  <c r="K1647" i="3"/>
  <c r="K1629" i="3"/>
  <c r="K1611" i="3"/>
  <c r="K1593" i="3"/>
  <c r="K1581" i="3"/>
  <c r="K1583" i="3"/>
  <c r="K1585" i="3"/>
  <c r="K1587" i="3"/>
  <c r="K1670" i="3"/>
  <c r="K1652" i="3"/>
  <c r="K1634" i="3"/>
  <c r="K1616" i="3"/>
  <c r="K1598" i="3"/>
  <c r="K1672" i="3"/>
  <c r="K1654" i="3"/>
  <c r="K1636" i="3"/>
  <c r="K1618" i="3"/>
  <c r="K1600" i="3"/>
  <c r="K1674" i="3"/>
  <c r="K1656" i="3"/>
  <c r="K1638" i="3"/>
  <c r="K1620" i="3"/>
  <c r="K1602" i="3"/>
  <c r="K1676" i="3"/>
  <c r="K1658" i="3"/>
  <c r="K1640" i="3"/>
  <c r="K1622" i="3"/>
  <c r="K1604" i="3"/>
  <c r="K1678" i="3"/>
  <c r="K1660" i="3"/>
  <c r="K1642" i="3"/>
  <c r="K1624" i="3"/>
  <c r="K1606" i="3"/>
  <c r="K1588" i="3"/>
  <c r="K1680" i="3"/>
  <c r="K1662" i="3"/>
  <c r="K1644" i="3"/>
  <c r="K1626" i="3"/>
  <c r="K1608" i="3"/>
  <c r="K1590" i="3"/>
  <c r="K1664" i="3"/>
  <c r="K1646" i="3"/>
  <c r="K1628" i="3"/>
  <c r="K1610" i="3"/>
  <c r="K1592" i="3"/>
  <c r="K1564" i="3"/>
  <c r="K1572" i="3"/>
  <c r="K1724" i="3"/>
  <c r="K1706" i="3"/>
  <c r="K1688" i="3"/>
  <c r="K1726" i="3"/>
  <c r="K1708" i="3"/>
  <c r="K1690" i="3"/>
  <c r="K1728" i="3"/>
  <c r="K1710" i="3"/>
  <c r="K1692" i="3"/>
  <c r="K1730" i="3"/>
  <c r="K1712" i="3"/>
  <c r="K1694" i="3"/>
  <c r="K1732" i="3"/>
  <c r="K1714" i="3"/>
  <c r="K1696" i="3"/>
  <c r="K1734" i="3"/>
  <c r="K1716" i="3"/>
  <c r="K1698" i="3"/>
  <c r="K1736" i="3"/>
  <c r="K1718" i="3"/>
  <c r="K1700" i="3"/>
  <c r="K1682" i="3"/>
  <c r="K1562" i="3"/>
  <c r="K1566" i="3"/>
  <c r="K1570" i="3"/>
  <c r="K1574" i="3"/>
  <c r="K1772" i="3"/>
  <c r="K1770" i="3"/>
  <c r="K1768" i="3"/>
  <c r="K1766" i="3"/>
  <c r="K1764" i="3"/>
  <c r="K1762" i="3"/>
  <c r="K1760" i="3"/>
  <c r="K1773" i="3"/>
  <c r="K1771" i="3"/>
  <c r="K1769" i="3"/>
  <c r="K1767" i="3"/>
  <c r="K1765" i="3"/>
  <c r="K1763" i="3"/>
  <c r="K1761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784" i="3"/>
  <c r="K804" i="3"/>
  <c r="K824" i="3"/>
  <c r="K1316" i="3"/>
  <c r="K772" i="3"/>
  <c r="K792" i="3"/>
  <c r="K812" i="3"/>
  <c r="K832" i="3"/>
  <c r="K1312" i="3"/>
  <c r="K1320" i="3"/>
  <c r="K1310" i="3"/>
  <c r="K1314" i="3"/>
  <c r="K1318" i="3"/>
  <c r="K1322" i="3"/>
  <c r="K1330" i="3"/>
  <c r="K1334" i="3"/>
  <c r="K1338" i="3"/>
  <c r="K1346" i="3"/>
  <c r="K1350" i="3"/>
  <c r="K1354" i="3"/>
  <c r="K1358" i="3"/>
  <c r="K1366" i="3"/>
  <c r="K1370" i="3"/>
  <c r="K1374" i="3"/>
  <c r="K1382" i="3"/>
  <c r="K1386" i="3"/>
  <c r="K1390" i="3"/>
  <c r="K1394" i="3"/>
  <c r="K1402" i="3"/>
  <c r="K1406" i="3"/>
  <c r="K1410" i="3"/>
  <c r="K1418" i="3"/>
  <c r="K1422" i="3"/>
  <c r="K1426" i="3"/>
  <c r="K1430" i="3"/>
  <c r="K1328" i="3"/>
  <c r="K1332" i="3"/>
  <c r="K1336" i="3"/>
  <c r="K1340" i="3"/>
  <c r="K1348" i="3"/>
  <c r="K1352" i="3"/>
  <c r="K1356" i="3"/>
  <c r="K1364" i="3"/>
  <c r="K1368" i="3"/>
  <c r="K1372" i="3"/>
  <c r="K1376" i="3"/>
  <c r="K1384" i="3"/>
  <c r="K1388" i="3"/>
  <c r="K1392" i="3"/>
  <c r="K1400" i="3"/>
  <c r="K1404" i="3"/>
  <c r="K1408" i="3"/>
  <c r="K1412" i="3"/>
  <c r="K1420" i="3"/>
  <c r="K1424" i="3"/>
  <c r="K1428" i="3"/>
  <c r="K1291" i="3"/>
  <c r="N1291" i="3" s="1"/>
  <c r="K1293" i="3"/>
  <c r="N1293" i="3" s="1"/>
  <c r="K1295" i="3"/>
  <c r="N1295" i="3" s="1"/>
  <c r="K1297" i="3"/>
  <c r="N1297" i="3" s="1"/>
  <c r="K1299" i="3"/>
  <c r="N1299" i="3" s="1"/>
  <c r="K1301" i="3"/>
  <c r="N1301" i="3" s="1"/>
  <c r="P1301" i="3" s="1"/>
  <c r="K1303" i="3"/>
  <c r="N1303" i="3" s="1"/>
  <c r="K1309" i="3"/>
  <c r="K1311" i="3"/>
  <c r="K1313" i="3"/>
  <c r="K1315" i="3"/>
  <c r="K1317" i="3"/>
  <c r="K1319" i="3"/>
  <c r="N1319" i="3" s="1"/>
  <c r="K1321" i="3"/>
  <c r="K1327" i="3"/>
  <c r="K1329" i="3"/>
  <c r="K1331" i="3"/>
  <c r="K1333" i="3"/>
  <c r="K1335" i="3"/>
  <c r="K1337" i="3"/>
  <c r="K1339" i="3"/>
  <c r="K1345" i="3"/>
  <c r="K1347" i="3"/>
  <c r="K1349" i="3"/>
  <c r="K1351" i="3"/>
  <c r="K1353" i="3"/>
  <c r="K1355" i="3"/>
  <c r="K1357" i="3"/>
  <c r="K1363" i="3"/>
  <c r="K1365" i="3"/>
  <c r="K1367" i="3"/>
  <c r="K1369" i="3"/>
  <c r="K1371" i="3"/>
  <c r="K1373" i="3"/>
  <c r="K1375" i="3"/>
  <c r="K1381" i="3"/>
  <c r="K1383" i="3"/>
  <c r="K1385" i="3"/>
  <c r="K1387" i="3"/>
  <c r="K1389" i="3"/>
  <c r="K1391" i="3"/>
  <c r="K1393" i="3"/>
  <c r="K1399" i="3"/>
  <c r="K1401" i="3"/>
  <c r="K1403" i="3"/>
  <c r="K1405" i="3"/>
  <c r="K1407" i="3"/>
  <c r="K1409" i="3"/>
  <c r="K1411" i="3"/>
  <c r="K768" i="3"/>
  <c r="K776" i="3"/>
  <c r="K788" i="3"/>
  <c r="K796" i="3"/>
  <c r="K808" i="3"/>
  <c r="K820" i="3"/>
  <c r="K828" i="3"/>
  <c r="K766" i="3"/>
  <c r="K770" i="3"/>
  <c r="K774" i="3"/>
  <c r="K778" i="3"/>
  <c r="K786" i="3"/>
  <c r="K790" i="3"/>
  <c r="K794" i="3"/>
  <c r="K999" i="3"/>
  <c r="K981" i="3"/>
  <c r="K963" i="3"/>
  <c r="K945" i="3"/>
  <c r="K927" i="3"/>
  <c r="K909" i="3"/>
  <c r="K891" i="3"/>
  <c r="K873" i="3"/>
  <c r="K855" i="3"/>
  <c r="K837" i="3"/>
  <c r="K819" i="3"/>
  <c r="K801" i="3"/>
  <c r="K783" i="3"/>
  <c r="K765" i="3"/>
  <c r="K1001" i="3"/>
  <c r="K983" i="3"/>
  <c r="K965" i="3"/>
  <c r="K947" i="3"/>
  <c r="K929" i="3"/>
  <c r="K911" i="3"/>
  <c r="K893" i="3"/>
  <c r="K875" i="3"/>
  <c r="K857" i="3"/>
  <c r="K839" i="3"/>
  <c r="K821" i="3"/>
  <c r="K803" i="3"/>
  <c r="K785" i="3"/>
  <c r="K767" i="3"/>
  <c r="K1003" i="3"/>
  <c r="K985" i="3"/>
  <c r="K967" i="3"/>
  <c r="K949" i="3"/>
  <c r="K931" i="3"/>
  <c r="K913" i="3"/>
  <c r="K895" i="3"/>
  <c r="K877" i="3"/>
  <c r="K859" i="3"/>
  <c r="K841" i="3"/>
  <c r="K823" i="3"/>
  <c r="K805" i="3"/>
  <c r="K787" i="3"/>
  <c r="K769" i="3"/>
  <c r="K1005" i="3"/>
  <c r="K987" i="3"/>
  <c r="K969" i="3"/>
  <c r="K951" i="3"/>
  <c r="K933" i="3"/>
  <c r="K915" i="3"/>
  <c r="K897" i="3"/>
  <c r="K879" i="3"/>
  <c r="K861" i="3"/>
  <c r="K843" i="3"/>
  <c r="K825" i="3"/>
  <c r="K807" i="3"/>
  <c r="K789" i="3"/>
  <c r="K771" i="3"/>
  <c r="K1007" i="3"/>
  <c r="K989" i="3"/>
  <c r="K971" i="3"/>
  <c r="K953" i="3"/>
  <c r="K935" i="3"/>
  <c r="K917" i="3"/>
  <c r="K899" i="3"/>
  <c r="K881" i="3"/>
  <c r="K863" i="3"/>
  <c r="K845" i="3"/>
  <c r="K827" i="3"/>
  <c r="K809" i="3"/>
  <c r="K791" i="3"/>
  <c r="K773" i="3"/>
  <c r="K1009" i="3"/>
  <c r="K991" i="3"/>
  <c r="K973" i="3"/>
  <c r="K955" i="3"/>
  <c r="K937" i="3"/>
  <c r="K919" i="3"/>
  <c r="K901" i="3"/>
  <c r="K883" i="3"/>
  <c r="K865" i="3"/>
  <c r="K847" i="3"/>
  <c r="K829" i="3"/>
  <c r="K811" i="3"/>
  <c r="K793" i="3"/>
  <c r="K775" i="3"/>
  <c r="K757" i="3"/>
  <c r="K1011" i="3"/>
  <c r="K993" i="3"/>
  <c r="K975" i="3"/>
  <c r="K957" i="3"/>
  <c r="K939" i="3"/>
  <c r="K921" i="3"/>
  <c r="K903" i="3"/>
  <c r="K885" i="3"/>
  <c r="K867" i="3"/>
  <c r="K849" i="3"/>
  <c r="K831" i="3"/>
  <c r="K813" i="3"/>
  <c r="K795" i="3"/>
  <c r="K777" i="3"/>
  <c r="K759" i="3"/>
  <c r="K747" i="3"/>
  <c r="K751" i="3"/>
  <c r="K755" i="3"/>
  <c r="K1000" i="3"/>
  <c r="K982" i="3"/>
  <c r="K964" i="3"/>
  <c r="K946" i="3"/>
  <c r="K928" i="3"/>
  <c r="K910" i="3"/>
  <c r="K1002" i="3"/>
  <c r="K984" i="3"/>
  <c r="K966" i="3"/>
  <c r="K948" i="3"/>
  <c r="K930" i="3"/>
  <c r="K912" i="3"/>
  <c r="K1004" i="3"/>
  <c r="K986" i="3"/>
  <c r="K968" i="3"/>
  <c r="K950" i="3"/>
  <c r="K932" i="3"/>
  <c r="K914" i="3"/>
  <c r="K1006" i="3"/>
  <c r="K988" i="3"/>
  <c r="K970" i="3"/>
  <c r="K952" i="3"/>
  <c r="K934" i="3"/>
  <c r="K916" i="3"/>
  <c r="K1008" i="3"/>
  <c r="K990" i="3"/>
  <c r="K972" i="3"/>
  <c r="K954" i="3"/>
  <c r="K936" i="3"/>
  <c r="K918" i="3"/>
  <c r="K1010" i="3"/>
  <c r="K992" i="3"/>
  <c r="K974" i="3"/>
  <c r="K956" i="3"/>
  <c r="K938" i="3"/>
  <c r="K920" i="3"/>
  <c r="K1012" i="3"/>
  <c r="K994" i="3"/>
  <c r="K976" i="3"/>
  <c r="K958" i="3"/>
  <c r="K940" i="3"/>
  <c r="K922" i="3"/>
  <c r="K904" i="3"/>
  <c r="K748" i="3"/>
  <c r="K750" i="3"/>
  <c r="K752" i="3"/>
  <c r="K754" i="3"/>
  <c r="K756" i="3"/>
  <c r="K758" i="3"/>
  <c r="K760" i="3"/>
  <c r="K838" i="3"/>
  <c r="K840" i="3"/>
  <c r="K842" i="3"/>
  <c r="K844" i="3"/>
  <c r="K846" i="3"/>
  <c r="K848" i="3"/>
  <c r="K850" i="3"/>
  <c r="K856" i="3"/>
  <c r="K858" i="3"/>
  <c r="K860" i="3"/>
  <c r="K862" i="3"/>
  <c r="K864" i="3"/>
  <c r="K866" i="3"/>
  <c r="K868" i="3"/>
  <c r="K874" i="3"/>
  <c r="K876" i="3"/>
  <c r="K878" i="3"/>
  <c r="K880" i="3"/>
  <c r="K882" i="3"/>
  <c r="K884" i="3"/>
  <c r="K886" i="3"/>
  <c r="K892" i="3"/>
  <c r="K894" i="3"/>
  <c r="K896" i="3"/>
  <c r="K898" i="3"/>
  <c r="K900" i="3"/>
  <c r="K902" i="3"/>
  <c r="E683" i="2"/>
  <c r="D683" i="2"/>
  <c r="E677" i="2"/>
  <c r="D677" i="2"/>
  <c r="I682" i="2"/>
  <c r="I681" i="2"/>
  <c r="E681" i="2"/>
  <c r="D681" i="2"/>
  <c r="E675" i="2"/>
  <c r="D675" i="2"/>
  <c r="O654" i="2"/>
  <c r="O653" i="2"/>
  <c r="O650" i="2"/>
  <c r="O649" i="2"/>
  <c r="I652" i="2"/>
  <c r="I651" i="2"/>
  <c r="I648" i="2"/>
  <c r="I647" i="2"/>
  <c r="H651" i="2"/>
  <c r="H647" i="2"/>
  <c r="E651" i="2"/>
  <c r="E647" i="2"/>
  <c r="D647" i="2"/>
  <c r="D651" i="2"/>
  <c r="E653" i="2"/>
  <c r="D635" i="2"/>
  <c r="D639" i="2" s="1"/>
  <c r="D653" i="2" s="1"/>
  <c r="D657" i="2" s="1"/>
  <c r="D663" i="2" s="1"/>
  <c r="D631" i="2"/>
  <c r="D627" i="2"/>
  <c r="D623" i="2"/>
  <c r="D619" i="2"/>
  <c r="D615" i="2"/>
  <c r="D611" i="2"/>
  <c r="D607" i="2"/>
  <c r="D603" i="2"/>
  <c r="D599" i="2"/>
  <c r="D595" i="2"/>
  <c r="D591" i="2"/>
  <c r="D587" i="2"/>
  <c r="D583" i="2"/>
  <c r="E579" i="2"/>
  <c r="E583" i="2"/>
  <c r="O549" i="2"/>
  <c r="O548" i="2"/>
  <c r="Q548" i="2" s="1"/>
  <c r="O547" i="2"/>
  <c r="O546" i="2"/>
  <c r="Q546" i="2" s="1"/>
  <c r="O553" i="2"/>
  <c r="O552" i="2"/>
  <c r="Q552" i="2" s="1"/>
  <c r="O537" i="2"/>
  <c r="O536" i="2"/>
  <c r="Q536" i="2" s="1"/>
  <c r="O533" i="2"/>
  <c r="O532" i="2"/>
  <c r="O529" i="2"/>
  <c r="O528" i="2"/>
  <c r="Q528" i="2" s="1"/>
  <c r="E522" i="2"/>
  <c r="E520" i="2"/>
  <c r="D522" i="2"/>
  <c r="D520" i="2"/>
  <c r="O519" i="2"/>
  <c r="O518" i="2"/>
  <c r="Q518" i="2" s="1"/>
  <c r="O515" i="2"/>
  <c r="O514" i="2"/>
  <c r="Q514" i="2" s="1"/>
  <c r="E514" i="2"/>
  <c r="E528" i="2" s="1"/>
  <c r="E532" i="2" s="1"/>
  <c r="E536" i="2" s="1"/>
  <c r="E540" i="2" s="1"/>
  <c r="E546" i="2" s="1"/>
  <c r="E552" i="2" s="1"/>
  <c r="E556" i="2" s="1"/>
  <c r="E512" i="2"/>
  <c r="E526" i="2" s="1"/>
  <c r="E530" i="2" s="1"/>
  <c r="E534" i="2" s="1"/>
  <c r="E538" i="2" s="1"/>
  <c r="E544" i="2" s="1"/>
  <c r="E550" i="2" s="1"/>
  <c r="E554" i="2" s="1"/>
  <c r="D514" i="2"/>
  <c r="D528" i="2" s="1"/>
  <c r="D532" i="2" s="1"/>
  <c r="D536" i="2" s="1"/>
  <c r="D540" i="2" s="1"/>
  <c r="D546" i="2" s="1"/>
  <c r="D552" i="2" s="1"/>
  <c r="D556" i="2" s="1"/>
  <c r="D512" i="2"/>
  <c r="D526" i="2" s="1"/>
  <c r="D530" i="2" s="1"/>
  <c r="D534" i="2" s="1"/>
  <c r="D538" i="2" s="1"/>
  <c r="D544" i="2" s="1"/>
  <c r="D550" i="2" s="1"/>
  <c r="D554" i="2" s="1"/>
  <c r="E510" i="2"/>
  <c r="D510" i="2"/>
  <c r="E508" i="2"/>
  <c r="D508" i="2"/>
  <c r="I509" i="2"/>
  <c r="I555" i="2" s="1"/>
  <c r="I508" i="2"/>
  <c r="D352" i="2"/>
  <c r="D350" i="2"/>
  <c r="D402" i="2"/>
  <c r="D400" i="2"/>
  <c r="D398" i="2"/>
  <c r="D396" i="2"/>
  <c r="D394" i="2"/>
  <c r="D392" i="2"/>
  <c r="D390" i="2"/>
  <c r="D388" i="2"/>
  <c r="D386" i="2"/>
  <c r="D384" i="2"/>
  <c r="D382" i="2"/>
  <c r="D380" i="2"/>
  <c r="D378" i="2"/>
  <c r="D376" i="2"/>
  <c r="D374" i="2"/>
  <c r="D372" i="2"/>
  <c r="D370" i="2"/>
  <c r="D368" i="2"/>
  <c r="D366" i="2"/>
  <c r="D364" i="2"/>
  <c r="D362" i="2"/>
  <c r="D360" i="2"/>
  <c r="D358" i="2"/>
  <c r="D356" i="2"/>
  <c r="D348" i="2"/>
  <c r="D346" i="2"/>
  <c r="D344" i="2"/>
  <c r="D342" i="2"/>
  <c r="E402" i="2"/>
  <c r="E400" i="2"/>
  <c r="E398" i="2"/>
  <c r="E396" i="2"/>
  <c r="E394" i="2"/>
  <c r="E392" i="2"/>
  <c r="E390" i="2"/>
  <c r="E388" i="2"/>
  <c r="E386" i="2"/>
  <c r="E384" i="2"/>
  <c r="E382" i="2"/>
  <c r="E380" i="2"/>
  <c r="E378" i="2"/>
  <c r="E376" i="2"/>
  <c r="E374" i="2"/>
  <c r="E372" i="2"/>
  <c r="E370" i="2"/>
  <c r="E368" i="2"/>
  <c r="E366" i="2"/>
  <c r="E364" i="2"/>
  <c r="E362" i="2"/>
  <c r="E360" i="2"/>
  <c r="E358" i="2"/>
  <c r="E356" i="2"/>
  <c r="E352" i="2"/>
  <c r="E350" i="2"/>
  <c r="E348" i="2"/>
  <c r="E346" i="2"/>
  <c r="E342" i="2"/>
  <c r="O344" i="2"/>
  <c r="Q344" i="2" s="1"/>
  <c r="I342" i="2"/>
  <c r="I343" i="2"/>
  <c r="O345" i="2"/>
  <c r="Q345" i="2" s="1"/>
  <c r="T1445" i="3" l="1"/>
  <c r="I554" i="2"/>
  <c r="R510" i="2"/>
  <c r="I512" i="2"/>
  <c r="R514" i="2" s="1"/>
  <c r="I513" i="2"/>
  <c r="D518" i="2"/>
  <c r="E518" i="2"/>
  <c r="I517" i="2"/>
  <c r="I521" i="2"/>
  <c r="I527" i="2"/>
  <c r="I531" i="2"/>
  <c r="I535" i="2"/>
  <c r="I551" i="2"/>
  <c r="I539" i="2"/>
  <c r="I545" i="2"/>
  <c r="D645" i="2"/>
  <c r="D516" i="2"/>
  <c r="E516" i="2"/>
  <c r="I516" i="2"/>
  <c r="I520" i="2"/>
  <c r="R524" i="2" s="1"/>
  <c r="I526" i="2"/>
  <c r="I530" i="2"/>
  <c r="I534" i="2"/>
  <c r="I550" i="2"/>
  <c r="R552" i="2" s="1"/>
  <c r="S552" i="2" s="1"/>
  <c r="I538" i="2"/>
  <c r="R542" i="2" s="1"/>
  <c r="S542" i="2" s="1"/>
  <c r="I544" i="2"/>
  <c r="R548" i="2" s="1"/>
  <c r="S548" i="2" s="1"/>
  <c r="D649" i="2"/>
  <c r="R556" i="2" l="1"/>
  <c r="S556" i="2" s="1"/>
  <c r="R558" i="2"/>
  <c r="S558" i="2" s="1"/>
  <c r="I676" i="2"/>
  <c r="I675" i="2"/>
  <c r="E649" i="2"/>
  <c r="O636" i="2"/>
  <c r="O635" i="2"/>
  <c r="O632" i="2"/>
  <c r="O631" i="2"/>
  <c r="O628" i="2"/>
  <c r="O627" i="2"/>
  <c r="O624" i="2"/>
  <c r="O623" i="2"/>
  <c r="O620" i="2"/>
  <c r="O619" i="2"/>
  <c r="O616" i="2"/>
  <c r="O615" i="2"/>
  <c r="O612" i="2"/>
  <c r="O611" i="2"/>
  <c r="O608" i="2"/>
  <c r="O607" i="2"/>
  <c r="O604" i="2"/>
  <c r="O603" i="2"/>
  <c r="O600" i="2"/>
  <c r="O599" i="2"/>
  <c r="O596" i="2"/>
  <c r="O595" i="2"/>
  <c r="O592" i="2"/>
  <c r="O591" i="2"/>
  <c r="O588" i="2"/>
  <c r="O587" i="2"/>
  <c r="O584" i="2"/>
  <c r="O583" i="2"/>
  <c r="I634" i="2"/>
  <c r="I633" i="2"/>
  <c r="I630" i="2"/>
  <c r="I629" i="2"/>
  <c r="I626" i="2"/>
  <c r="I625" i="2"/>
  <c r="I622" i="2"/>
  <c r="I621" i="2"/>
  <c r="I618" i="2"/>
  <c r="I617" i="2"/>
  <c r="I614" i="2"/>
  <c r="I613" i="2"/>
  <c r="I610" i="2"/>
  <c r="I609" i="2"/>
  <c r="I606" i="2"/>
  <c r="I605" i="2"/>
  <c r="I602" i="2"/>
  <c r="I601" i="2"/>
  <c r="I598" i="2"/>
  <c r="I597" i="2"/>
  <c r="I594" i="2"/>
  <c r="I593" i="2"/>
  <c r="I590" i="2"/>
  <c r="I589" i="2"/>
  <c r="I586" i="2"/>
  <c r="I585" i="2"/>
  <c r="I582" i="2"/>
  <c r="I581" i="2"/>
  <c r="E633" i="2"/>
  <c r="D633" i="2"/>
  <c r="E629" i="2"/>
  <c r="D629" i="2"/>
  <c r="E625" i="2"/>
  <c r="D625" i="2"/>
  <c r="E621" i="2"/>
  <c r="D621" i="2"/>
  <c r="E617" i="2"/>
  <c r="D617" i="2"/>
  <c r="E613" i="2"/>
  <c r="D613" i="2"/>
  <c r="E609" i="2"/>
  <c r="D609" i="2"/>
  <c r="E605" i="2"/>
  <c r="D605" i="2"/>
  <c r="E601" i="2"/>
  <c r="D601" i="2"/>
  <c r="E597" i="2"/>
  <c r="D597" i="2"/>
  <c r="E593" i="2"/>
  <c r="D593" i="2"/>
  <c r="E589" i="2"/>
  <c r="D589" i="2"/>
  <c r="E585" i="2"/>
  <c r="D585" i="2"/>
  <c r="D581" i="2"/>
  <c r="E581" i="2"/>
  <c r="E663" i="2"/>
  <c r="E657" i="2"/>
  <c r="E645" i="2"/>
  <c r="E639" i="2"/>
  <c r="E635" i="2"/>
  <c r="E631" i="2"/>
  <c r="E627" i="2"/>
  <c r="E623" i="2"/>
  <c r="E619" i="2"/>
  <c r="E615" i="2"/>
  <c r="E611" i="2"/>
  <c r="E607" i="2"/>
  <c r="E603" i="2"/>
  <c r="E599" i="2"/>
  <c r="E595" i="2"/>
  <c r="E591" i="2"/>
  <c r="E587" i="2"/>
  <c r="E344" i="2"/>
  <c r="O403" i="2"/>
  <c r="O402" i="2"/>
  <c r="O399" i="2"/>
  <c r="O398" i="2"/>
  <c r="O395" i="2"/>
  <c r="O394" i="2"/>
  <c r="O391" i="2"/>
  <c r="O390" i="2"/>
  <c r="O387" i="2"/>
  <c r="O386" i="2"/>
  <c r="O383" i="2"/>
  <c r="O382" i="2"/>
  <c r="O379" i="2"/>
  <c r="Q379" i="2" s="1"/>
  <c r="O378" i="2"/>
  <c r="Q378" i="2" s="1"/>
  <c r="O375" i="2"/>
  <c r="Q375" i="2" s="1"/>
  <c r="O374" i="2"/>
  <c r="Q374" i="2" s="1"/>
  <c r="O371" i="2"/>
  <c r="Q371" i="2" s="1"/>
  <c r="O370" i="2"/>
  <c r="Q370" i="2" s="1"/>
  <c r="O367" i="2"/>
  <c r="Q367" i="2" s="1"/>
  <c r="O366" i="2"/>
  <c r="Q366" i="2" s="1"/>
  <c r="O363" i="2"/>
  <c r="Q363" i="2" s="1"/>
  <c r="O362" i="2"/>
  <c r="Q362" i="2" s="1"/>
  <c r="O359" i="2"/>
  <c r="Q359" i="2" s="1"/>
  <c r="O358" i="2"/>
  <c r="Q358" i="2" s="1"/>
  <c r="O353" i="2"/>
  <c r="Q353" i="2" s="1"/>
  <c r="O352" i="2"/>
  <c r="Q352" i="2" s="1"/>
  <c r="O349" i="2"/>
  <c r="Q349" i="2" s="1"/>
  <c r="O348" i="2"/>
  <c r="Q348" i="2" s="1"/>
  <c r="I401" i="2"/>
  <c r="I400" i="2"/>
  <c r="I397" i="2"/>
  <c r="I396" i="2"/>
  <c r="I393" i="2"/>
  <c r="I392" i="2"/>
  <c r="I389" i="2"/>
  <c r="I388" i="2"/>
  <c r="I385" i="2"/>
  <c r="I384" i="2"/>
  <c r="I381" i="2"/>
  <c r="I380" i="2"/>
  <c r="I377" i="2"/>
  <c r="I376" i="2"/>
  <c r="I373" i="2"/>
  <c r="I372" i="2"/>
  <c r="I369" i="2"/>
  <c r="I368" i="2"/>
  <c r="I365" i="2"/>
  <c r="I364" i="2"/>
  <c r="I361" i="2"/>
  <c r="I360" i="2"/>
  <c r="I357" i="2"/>
  <c r="I356" i="2"/>
  <c r="I351" i="2"/>
  <c r="I350" i="2"/>
  <c r="I347" i="2"/>
  <c r="I346" i="2"/>
</calcChain>
</file>

<file path=xl/sharedStrings.xml><?xml version="1.0" encoding="utf-8"?>
<sst xmlns="http://schemas.openxmlformats.org/spreadsheetml/2006/main" count="20305" uniqueCount="844">
  <si>
    <t>Номер</t>
  </si>
  <si>
    <t>Наименование организации</t>
  </si>
  <si>
    <t>Муниципальное образование</t>
  </si>
  <si>
    <t>Компонент на теплоноситель/ холодную воду, руб./куб. м</t>
  </si>
  <si>
    <t>Примечание</t>
  </si>
  <si>
    <t xml:space="preserve">Компонент на тепловую энергию (одноставочный), руб./Гкал </t>
  </si>
  <si>
    <t>Дата</t>
  </si>
  <si>
    <t>Дата окончания действия тарифа</t>
  </si>
  <si>
    <t>Дата вступления тарифа в действие</t>
  </si>
  <si>
    <t>Муниципальный район / городской округ</t>
  </si>
  <si>
    <t>Экономически обоснованный тариф на услуги  в сфере горячего водоснабжения для ресурсоснабжающей организации (без НДС)</t>
  </si>
  <si>
    <t>Компонент на тепловую энергию (одноставочный), руб./Гкал</t>
  </si>
  <si>
    <t>Используется при расчете субсидий для ресурсоснабжающих организаций</t>
  </si>
  <si>
    <t>Реквизиты приказа ЛенРТК об установлении тарифов</t>
  </si>
  <si>
    <t xml:space="preserve">Редакции приказа ЛенРТК об установлении тарифов </t>
  </si>
  <si>
    <t>Тариф на тепловую энергию для населения (с НДС), руб./Гкал</t>
  </si>
  <si>
    <t>вода</t>
  </si>
  <si>
    <t>отборный пар давлением свыше 13,0 кг/см2</t>
  </si>
  <si>
    <t>острый и редуцированный пар</t>
  </si>
  <si>
    <t>Экономически обоснованные тарифы на тепловую энергию для ресурсоснабжающей организации (без НДС), руб./Гкал</t>
  </si>
  <si>
    <t>Кингисеппский</t>
  </si>
  <si>
    <t>Ивангородское городское поселение</t>
  </si>
  <si>
    <t>ОАО "Леноблтеплоэнерго"</t>
  </si>
  <si>
    <t>-</t>
  </si>
  <si>
    <t>Кингисеппское городское поселение</t>
  </si>
  <si>
    <t>Большелуцкое сельское поселение</t>
  </si>
  <si>
    <t>Усть-Лужское сельское поселение</t>
  </si>
  <si>
    <t>Куземкинское сельское поселение</t>
  </si>
  <si>
    <t>ООО "Коммунэнерго"</t>
  </si>
  <si>
    <t>Тарифы НДС не облагаются</t>
  </si>
  <si>
    <t xml:space="preserve"> Большелуцкое сельское поселение</t>
  </si>
  <si>
    <t xml:space="preserve"> Пустомержское сельское поселение</t>
  </si>
  <si>
    <t>Вистинское сельское поселение</t>
  </si>
  <si>
    <t>ООО "Мир Техники"</t>
  </si>
  <si>
    <t>Фалилеевское сельское поселение</t>
  </si>
  <si>
    <t>Котельское сельское поселение</t>
  </si>
  <si>
    <t>Пустомержское сельское поселение</t>
  </si>
  <si>
    <t>ООО "Управляющая компания"Коммунальные сети"</t>
  </si>
  <si>
    <t>Опольевское сельское поселение</t>
  </si>
  <si>
    <t>Лодейнопольский</t>
  </si>
  <si>
    <t>Сланцевский</t>
  </si>
  <si>
    <t xml:space="preserve"> Сланцевское городское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</si>
  <si>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</si>
  <si>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</si>
  <si>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</si>
  <si>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ООО "АКВАТЕРМ"</t>
  </si>
  <si>
    <t>Лужский</t>
  </si>
  <si>
    <t>Лужское городское поселение</t>
  </si>
  <si>
    <t>Всеволожский</t>
  </si>
  <si>
    <t>Всеволожский муниципальный район</t>
  </si>
  <si>
    <t>Кингисеппский муниципальный район</t>
  </si>
  <si>
    <t>Ломоносовский</t>
  </si>
  <si>
    <t xml:space="preserve"> Ломоносовский муниципальный район</t>
  </si>
  <si>
    <t>Приозерский</t>
  </si>
  <si>
    <t>Приозерский муниципальный район</t>
  </si>
  <si>
    <t>Выборгский</t>
  </si>
  <si>
    <t xml:space="preserve"> Выборгский муниципальный район</t>
  </si>
  <si>
    <t>Кировский</t>
  </si>
  <si>
    <t xml:space="preserve"> Кировский муниципальный район</t>
  </si>
  <si>
    <t>Тосненский</t>
  </si>
  <si>
    <t>Тосненский муниципальный район</t>
  </si>
  <si>
    <t>Тихвинский</t>
  </si>
  <si>
    <t>Гатчинский</t>
  </si>
  <si>
    <t xml:space="preserve"> Гатчинский муниципальный район</t>
  </si>
  <si>
    <t>Гатчинский муниципальный район</t>
  </si>
  <si>
    <t>Волховский</t>
  </si>
  <si>
    <t>Лодейнопольский муниципальный район</t>
  </si>
  <si>
    <t>Романовское сельское поселение</t>
  </si>
  <si>
    <t>тариф с инвест. составляющей</t>
  </si>
  <si>
    <t>тарифы НДС не облагаются</t>
  </si>
  <si>
    <t>ООО "КоммунЭнерго"</t>
  </si>
  <si>
    <t>Лужское</t>
  </si>
  <si>
    <t>Выборгский муниципальный район</t>
  </si>
  <si>
    <t>Кировский муниципальный район</t>
  </si>
  <si>
    <t>Ломоносовский муниципальный район</t>
  </si>
  <si>
    <t>Назиевское городское поселение</t>
  </si>
  <si>
    <t>МУП "НазияКомСервис"</t>
  </si>
  <si>
    <t>Шумское сельское поселение</t>
  </si>
  <si>
    <t>Шлиссельбургское городское поселение</t>
  </si>
  <si>
    <t>Приладожское городское поселение</t>
  </si>
  <si>
    <t>Павловское городское поселение</t>
  </si>
  <si>
    <t>ОАО "Павловский завод"</t>
  </si>
  <si>
    <t>Мгинское городское поселение</t>
  </si>
  <si>
    <t>ОАО "РЖД" (Октябрьская дирекция по тепловодоснабжению - СП Центральной дирекции по тепловодоснабжению - филиала ОАО "РЖД")</t>
  </si>
  <si>
    <t>Кировское городское поселение</t>
  </si>
  <si>
    <t xml:space="preserve"> -</t>
  </si>
  <si>
    <t>ООО "Производственная Тепло Энерго Сбытовая Компания"</t>
  </si>
  <si>
    <t xml:space="preserve">Мгинское  городское поселение        </t>
  </si>
  <si>
    <t xml:space="preserve">Синявинское  городское поселение    </t>
  </si>
  <si>
    <t>Суховское сельское поселение</t>
  </si>
  <si>
    <t>Отрадненское городское поселение</t>
  </si>
  <si>
    <t>ООО "Промэнерго"</t>
  </si>
  <si>
    <t>ООО "Энергоинвест"</t>
  </si>
  <si>
    <t>МУП «Низино»</t>
  </si>
  <si>
    <t>ООО "Лемэк"</t>
  </si>
  <si>
    <t>Скребловское сельское поселение</t>
  </si>
  <si>
    <t>Оредежское сельское поселение</t>
  </si>
  <si>
    <t>ГУП "Водоканал Санкт-Петербурга"</t>
  </si>
  <si>
    <t>Торковичское сельское поселение</t>
  </si>
  <si>
    <t>Заклинское сельское поселение</t>
  </si>
  <si>
    <t>Мшинское сельское поселение</t>
  </si>
  <si>
    <t>Толмачевское городское поселение</t>
  </si>
  <si>
    <t>ОАО "Ленэнерго"</t>
  </si>
  <si>
    <t>ОАО "Толмачевский завод ЖБ и МК"</t>
  </si>
  <si>
    <t>ООО "Лужское тепло"</t>
  </si>
  <si>
    <t>Волошовское сельское поселение</t>
  </si>
  <si>
    <t>Дзержинское сельское поселение</t>
  </si>
  <si>
    <t>Осьминское сельское поселение</t>
  </si>
  <si>
    <t>Серебрянское сельское поселение</t>
  </si>
  <si>
    <t>Тесовское сельское поселение</t>
  </si>
  <si>
    <t>ЯмТесовское сельское поселение</t>
  </si>
  <si>
    <t>ООО "Петербургтеплоэнерго"</t>
  </si>
  <si>
    <t>Ретюнское сельское поселение</t>
  </si>
  <si>
    <t>Володарское сельское поселение</t>
  </si>
  <si>
    <t>ООО "Тепловые системы"</t>
  </si>
  <si>
    <t>ООО "Теплострой Плюс"</t>
  </si>
  <si>
    <t>Подпорожский</t>
  </si>
  <si>
    <t>ЗАО "Сосновоагропромтехника"</t>
  </si>
  <si>
    <t>ОАО "Тепловые сети"</t>
  </si>
  <si>
    <t>Сосновоборский городской округ</t>
  </si>
  <si>
    <t>ОАО "УЖКХ Тихвинского района"</t>
  </si>
  <si>
    <t>ООО "Тихвин Дом"</t>
  </si>
  <si>
    <t>Ульяновское городское поселение</t>
  </si>
  <si>
    <t>ГКУ ЛО "Объект № 58 Правительства Ленинградской области"</t>
  </si>
  <si>
    <t>Тельмановское сельское поселение</t>
  </si>
  <si>
    <t>ГУП "ТЭК СПб"</t>
  </si>
  <si>
    <t>Любанское городское поселение</t>
  </si>
  <si>
    <t>Тосненское городское поселение</t>
  </si>
  <si>
    <t>Никольское городское поселение</t>
  </si>
  <si>
    <t>Красноборское городское поселение</t>
  </si>
  <si>
    <t>Форносовское городское поселение</t>
  </si>
  <si>
    <t>Рябовское городское поселение</t>
  </si>
  <si>
    <t>Нурминское сельское поселение</t>
  </si>
  <si>
    <t>Трубникоборское сельское поселение</t>
  </si>
  <si>
    <t>Федоровское сельское поселение</t>
  </si>
  <si>
    <t>Шапкинское сельское поселение</t>
  </si>
  <si>
    <t>ФГОУ СПО «Лисинский лесной колледж»</t>
  </si>
  <si>
    <t>Федеральное казенное учреждение  "Исправительная колония № 3" Управления Федеральной службы исполнения наказаний России по г. Санкт-Петербургу и Ленинградской области</t>
  </si>
  <si>
    <t>ГУП "Водоканал СПб"</t>
  </si>
  <si>
    <t>ООО "Теплострой плюс"</t>
  </si>
  <si>
    <t>ООО "Тепловые Системы"</t>
  </si>
  <si>
    <t>Бокситогорское городское поселение</t>
  </si>
  <si>
    <t xml:space="preserve">ОАО «РУСАЛ Бокситогорский глинозем» </t>
  </si>
  <si>
    <t>Пикалевское городское поселение</t>
  </si>
  <si>
    <t>Свирьстройское городское поселение</t>
  </si>
  <si>
    <t>1</t>
  </si>
  <si>
    <t>Всеволожский МР</t>
  </si>
  <si>
    <t>Волосовский МР</t>
  </si>
  <si>
    <t>Волховский МР</t>
  </si>
  <si>
    <t>Выборгский МР</t>
  </si>
  <si>
    <t>Киришский МР</t>
  </si>
  <si>
    <t>Кингисеппский МР</t>
  </si>
  <si>
    <t>Кировский МР</t>
  </si>
  <si>
    <t>Ломоносовский МР</t>
  </si>
  <si>
    <t>11</t>
  </si>
  <si>
    <t>Лодейнопольский МР</t>
  </si>
  <si>
    <t>Лужский МР</t>
  </si>
  <si>
    <t>Подпорожский МР</t>
  </si>
  <si>
    <t>Приозерский МР</t>
  </si>
  <si>
    <t>Сланцевский МР</t>
  </si>
  <si>
    <t>Тосненский МР</t>
  </si>
  <si>
    <t>тарифы  НДС не облагаются</t>
  </si>
  <si>
    <t>ООО "Леноблтеплоснаб"</t>
  </si>
  <si>
    <t>Иссадское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</si>
  <si>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</si>
  <si>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</si>
  <si>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</si>
  <si>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</si>
  <si>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Кисельнинское сельское поселение</t>
  </si>
  <si>
    <t>Сясьстройское городское поселение</t>
  </si>
  <si>
    <t>Бокситогорский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</si>
  <si>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</si>
  <si>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</si>
  <si>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</si>
  <si>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Самойловское сельское поселение</t>
  </si>
  <si>
    <t>Климовское сельское поселение</t>
  </si>
  <si>
    <t>Волховское городское поселение</t>
  </si>
  <si>
    <t>Киришский</t>
  </si>
  <si>
    <t>Киришское городское поселение</t>
  </si>
  <si>
    <t>МП "Жилищное хозяйство"</t>
  </si>
  <si>
    <t>Пчевжинское сельское поселение</t>
  </si>
  <si>
    <t>МУП "УЖКХ МО Виллозское СП"</t>
  </si>
  <si>
    <t xml:space="preserve"> Низинское сельское поселение</t>
  </si>
  <si>
    <t xml:space="preserve"> Русско-Высоцкое сельское поселение</t>
  </si>
  <si>
    <t>Сосновоборское муниципальное унитарное предприятие "Теплоснабжающее предприятие"</t>
  </si>
  <si>
    <t>Сланцевское городское поселение</t>
  </si>
  <si>
    <t>Светогорское городское поселение</t>
  </si>
  <si>
    <t>ЗАО «Интернешнл Пейпер»</t>
  </si>
  <si>
    <t>ОАО «Сясьский целлюлозно – бумажный комбинат»</t>
  </si>
  <si>
    <t>Коммунарское городское поселение</t>
  </si>
  <si>
    <t>Новодевяткинское сельское поселение</t>
  </si>
  <si>
    <t>Муринское сельское поселение</t>
  </si>
  <si>
    <t>Заневское сельское поселение</t>
  </si>
  <si>
    <t>Кусинское сельское поселение</t>
  </si>
  <si>
    <t>Лебяженское городское поселение</t>
  </si>
  <si>
    <t xml:space="preserve">Бокситогорский  </t>
  </si>
  <si>
    <t>МУП "Низино"</t>
  </si>
  <si>
    <t xml:space="preserve">ОАО «Территориальная генерирующая компания №1» филиал "Невский" </t>
  </si>
  <si>
    <t>ЗАО "Нева Энергия" (филиал в г.Сланцы)</t>
  </si>
  <si>
    <t>Колтушское сельское поселение</t>
  </si>
  <si>
    <t>ЗАО "Агрофирма "Выборжец"</t>
  </si>
  <si>
    <t>МП "Северное Ремонтно-эксплуатационное предприятие"</t>
  </si>
  <si>
    <t>ОАО "Всеволожские тепловые сети"</t>
  </si>
  <si>
    <t xml:space="preserve"> Заневское сельское поселение</t>
  </si>
  <si>
    <t>ООО "СМЭУ Заневка"</t>
  </si>
  <si>
    <t>ООО "Энергогазмонтаж"</t>
  </si>
  <si>
    <t>Всеволожское городское поселение</t>
  </si>
  <si>
    <t xml:space="preserve"> Муринское сельское поселение</t>
  </si>
  <si>
    <t>ФГУП "НИИ "Поиск"</t>
  </si>
  <si>
    <t>Федеральное государственное учреждение науки Институт физиологии им.И. П. Павлова Российской академии наук</t>
  </si>
  <si>
    <t>МП "Агалатово-Сервис"</t>
  </si>
  <si>
    <t>МУП "Романовские Коммунальные системы"</t>
  </si>
  <si>
    <t xml:space="preserve"> Куйвозовское сельское поселение</t>
  </si>
  <si>
    <t>ООО "ГТМ-котлосервис"</t>
  </si>
  <si>
    <t xml:space="preserve"> Куйвозовское</t>
  </si>
  <si>
    <t>Токсовское городское поселение</t>
  </si>
  <si>
    <t>Бугровское сельское поселение</t>
  </si>
  <si>
    <t>МУП "Бугровские Тепловые сети"</t>
  </si>
  <si>
    <t>ОАО "ЖилКомЭнерго"</t>
  </si>
  <si>
    <t xml:space="preserve"> Свердловское городское поселение</t>
  </si>
  <si>
    <t xml:space="preserve"> Дубровское сельское поселение</t>
  </si>
  <si>
    <t>ЗАО "ЖЭК"</t>
  </si>
  <si>
    <t xml:space="preserve"> Щегловское сельское поселение</t>
  </si>
  <si>
    <t xml:space="preserve"> Рахьинское городское поселение</t>
  </si>
  <si>
    <t>Кузьмоловское городское поселение</t>
  </si>
  <si>
    <t>ООО "Аква Норд-Вест"</t>
  </si>
  <si>
    <t>Лесколовское СП</t>
  </si>
  <si>
    <t>ООО "ГТМ - Теплосервис"</t>
  </si>
  <si>
    <t>ГУП "Топливно-энергетический комплекс Санкт-Петербурга"</t>
  </si>
  <si>
    <t>Свердловское сельское поселение</t>
  </si>
  <si>
    <t>ООО "Олтон +"</t>
  </si>
  <si>
    <t>Морозовское городское поселение</t>
  </si>
  <si>
    <t>ООО "Флагман"</t>
  </si>
  <si>
    <t xml:space="preserve">Рахьинское городское поселение
</t>
  </si>
  <si>
    <t>Сертоловское городское поселение</t>
  </si>
  <si>
    <t>ООО "АНВ СЕРТОЛОВО"</t>
  </si>
  <si>
    <t>Куйвозовское сельское поселение</t>
  </si>
  <si>
    <t>Лесколовское СП котельная 22</t>
  </si>
  <si>
    <t xml:space="preserve"> Сертоловское ГП</t>
  </si>
  <si>
    <t>ООО "Цементно-бетонные изделия"</t>
  </si>
  <si>
    <t>Юкковское сельское поселение</t>
  </si>
  <si>
    <t>ООО "Строительно-монтажное эксплуатационное управление "Заневка"</t>
  </si>
  <si>
    <t>Агалатовское сельское поселение</t>
  </si>
  <si>
    <t>Волосовский</t>
  </si>
  <si>
    <t>Лесколовское сельское поселение (котельная 22)</t>
  </si>
  <si>
    <t>Лесколовское сельское поселение</t>
  </si>
  <si>
    <t>ОАО "Тепловые сети" филиал "Волосовские коммунальные системы"</t>
  </si>
  <si>
    <t>МУКП "Свердловские коммунальные системы"</t>
  </si>
  <si>
    <t>Рощинское городское поселение</t>
  </si>
  <si>
    <t>ГП "Рощинское дорожное ремонтно-эксплуатационное управление"</t>
  </si>
  <si>
    <t>Рощинское городское поселение" Выборгского муниципального района</t>
  </si>
  <si>
    <t>Советское городское поселение</t>
  </si>
  <si>
    <t>ООО "Выборгская лесопромышленная корпорация"</t>
  </si>
  <si>
    <t>Выборгское городское поселение
Выборгский район</t>
  </si>
  <si>
    <t>ЗАО "Термо-Лайн"</t>
  </si>
  <si>
    <t>Выборгское городское поселение</t>
  </si>
  <si>
    <t>Первомайское сельское поселение</t>
  </si>
  <si>
    <t xml:space="preserve">Рощинское городское поселение </t>
  </si>
  <si>
    <t>ООО " Ольшаники"</t>
  </si>
  <si>
    <t>ОАО " Птицефабрика Ударник"</t>
  </si>
  <si>
    <t xml:space="preserve">Волховский
</t>
  </si>
  <si>
    <t>Староладожское сельское поселение</t>
  </si>
  <si>
    <t>Большеколпанское сельское поселение</t>
  </si>
  <si>
    <t>Город Гатчина</t>
  </si>
  <si>
    <t>СЗПК-филиал ОАО "ЭЛТЕЗА" (СЗПК)</t>
  </si>
  <si>
    <t>ГУП  "Топливно-энергетический комплекс Санкт-Петербурга"</t>
  </si>
  <si>
    <t>МУП "Тепловые сети" г. Гатчина</t>
  </si>
  <si>
    <t xml:space="preserve"> Город Гатчина</t>
  </si>
  <si>
    <t>ФГБУ Петербургский институт ядерной физики им. Б.П.Константинова РАН (Орлова роща)</t>
  </si>
  <si>
    <t xml:space="preserve">ОАО "ЭЛТЕЗА" филиал СЗПК </t>
  </si>
  <si>
    <t xml:space="preserve">ФГБУ "Петербургский институт ядерной физики им. Б.П.Константинова" </t>
  </si>
  <si>
    <t>МП "Северное ремонтно-эксплуатационное предприятие"</t>
  </si>
  <si>
    <t>МУП "Бугровские тепловые сети"</t>
  </si>
  <si>
    <t>МУП "Романовские коммунальные системы"</t>
  </si>
  <si>
    <t>Город Всеволожск</t>
  </si>
  <si>
    <t>Щегловское сельское поселение</t>
  </si>
  <si>
    <t>ООО "ГТМ - Теплосервис" котельная N 22</t>
  </si>
  <si>
    <t>Кузьмоловское сельское поселение</t>
  </si>
  <si>
    <t>Приморское городское поселение</t>
  </si>
  <si>
    <t>ООО "Светогорское жилищно-коммунальное хозяйство"</t>
  </si>
  <si>
    <t>Город Коммунар</t>
  </si>
  <si>
    <t>МП МО Город Коммунар "Жилищно-коммунальная служба"</t>
  </si>
  <si>
    <t>Таицкое городское поселение</t>
  </si>
  <si>
    <t>ОАО "РЖД" (Октябрьская дирекция по тепловодоснабжению - структурное подразделение  Центральной дирекции по тепловодоснабжению - филиала ОАО "РЖД")</t>
  </si>
  <si>
    <t>ОАО "Газпромтеплоэнерго"</t>
  </si>
  <si>
    <t>ООО "ОблСервис"</t>
  </si>
  <si>
    <t>ООО "ПАРИТЕТЪ"</t>
  </si>
  <si>
    <t>ООО Управляющая компания ''ОАЗИС''</t>
  </si>
  <si>
    <t>ООО "Энерго-Ресурс"</t>
  </si>
  <si>
    <t>д.Бор Борского сельского поселения</t>
  </si>
  <si>
    <t>АО "Газпром теплоэнерго"</t>
  </si>
  <si>
    <t>ООО "ТК Северная"</t>
  </si>
  <si>
    <t>ООО "ГРАНД"</t>
  </si>
  <si>
    <t>Невско-ладожский район водных путей и судоходства - филиал ФБУ "Администрация Волго-Балтийского
бассейна внутренних  водных путей"</t>
  </si>
  <si>
    <t xml:space="preserve"> МУП «Приладожскжилкомхоз» </t>
  </si>
  <si>
    <t>АО "Газпром теплоэнерго" филиал в Ленинградской области</t>
  </si>
  <si>
    <t>ОАО "Усть-Лужский Контейнерный Терминал"</t>
  </si>
  <si>
    <t>Лодейнопольское городское поселение</t>
  </si>
  <si>
    <t>ООО "Полар-Инвест"</t>
  </si>
  <si>
    <t>ОАО «Ленинградская областная тепло-энергетическая компания»</t>
  </si>
  <si>
    <t>ООО "ВОДОКАНАЛ"</t>
  </si>
  <si>
    <t>АО "Газпром Теплоэнерго"</t>
  </si>
  <si>
    <t>ООО "ГТМ-теплосервис"</t>
  </si>
  <si>
    <t>Рахьинское городское поселение кот 34</t>
  </si>
  <si>
    <t>Рахьинское городское поселение кот 35</t>
  </si>
  <si>
    <t>Рахьинское городское поселение кот 47</t>
  </si>
  <si>
    <t>Лесколовское сельское поселение, кроме котельной 22</t>
  </si>
  <si>
    <t xml:space="preserve">Лодейнопольский </t>
  </si>
  <si>
    <t xml:space="preserve">Киришский </t>
  </si>
  <si>
    <t xml:space="preserve">Гатчинский </t>
  </si>
  <si>
    <t xml:space="preserve">Всеволожский </t>
  </si>
  <si>
    <t>Гатчинский МР</t>
  </si>
  <si>
    <t>Бокситогорский МР</t>
  </si>
  <si>
    <t xml:space="preserve">Сланцевский  </t>
  </si>
  <si>
    <t>Лидское сельское поселение (бывшее Подборовское сельское поселение)</t>
  </si>
  <si>
    <t xml:space="preserve">ФГБУ "Петербургский институт ядерной физики им.Б.П.Константинова" </t>
  </si>
  <si>
    <t>ООО "ЖИЛСЕРВИС"</t>
  </si>
  <si>
    <t>ООО "Теплодом"</t>
  </si>
  <si>
    <t>ООО "Светогорское ЖКХ"</t>
  </si>
  <si>
    <t>ООО "Дубровская ТЭЦ"</t>
  </si>
  <si>
    <t xml:space="preserve">ООО "Теплосеть Санкт-Петербурга" </t>
  </si>
  <si>
    <t>АО "КНАУФ ПЕТРОБОРД"</t>
  </si>
  <si>
    <t>ООО «Сланцы»</t>
  </si>
  <si>
    <t>АО «Российский концерн по производству электрической и тепловой энергии на атомных станциях» филиал «Ленинградская атомная станция»</t>
  </si>
  <si>
    <t>филиал ПАО «Вторая генерирующая компания оптового рынка электрической энергии» «Киришская ГРЭС»</t>
  </si>
  <si>
    <t>Свердловское городское поселение</t>
  </si>
  <si>
    <t>Тариф на коллекторах источника тепловой энергии</t>
  </si>
  <si>
    <t>Муниципальное  унитарное предприятие Подпорожского городского поселения "Комбинат благоустройства"</t>
  </si>
  <si>
    <t>ООО "БИОТЕПЛОСНАБ"</t>
  </si>
  <si>
    <t>ООО"Паритет"</t>
  </si>
  <si>
    <t>АО "Коммунальные системы Гатчинского района"</t>
  </si>
  <si>
    <t>Министерство обороны, прочие потребители и население</t>
  </si>
  <si>
    <t>ЗАО "ТЕРМО-ЛАЙН"</t>
  </si>
  <si>
    <t>АО "Пикалевские тепловые сети"</t>
  </si>
  <si>
    <t>Город Пикалево</t>
  </si>
  <si>
    <t>Колтушское сельское поселение (дер.Разметелево, дер.Хапо-Ое)</t>
  </si>
  <si>
    <t>Колтушское сельское поселение (пос.Воейково, дер. Старая)</t>
  </si>
  <si>
    <t>ООО "Новая водная ассоциация"</t>
  </si>
  <si>
    <t>ООО "ПРОДЭКС-ЭНЕРГОСЕРВИС"</t>
  </si>
  <si>
    <t>ООО "ГТМ - Теплосервис" (кроме котельной N 22)</t>
  </si>
  <si>
    <t>Колтушское сельское поселение (дер.Разметелево)</t>
  </si>
  <si>
    <t>Колтушское сельское поселение (пос. Воейково)</t>
  </si>
  <si>
    <t>ООО "ТК "Мурино"</t>
  </si>
  <si>
    <t xml:space="preserve"> Выскатское сельское поселение</t>
  </si>
  <si>
    <t>ООО "С-КЛАД"</t>
  </si>
  <si>
    <t>ООО "Тепло сервис"</t>
  </si>
  <si>
    <t>Муринское, Заневское, Новодевяткинское</t>
  </si>
  <si>
    <t>ООО "ТЕПЛОЭНЕРГО"</t>
  </si>
  <si>
    <t>Центральный банк Российской Федерации (Пансионат с лечением «Зеленый бор» Отделения по Ленинградской области Северо-Западного главного управления Центрального банка Российской Федерации)</t>
  </si>
  <si>
    <t>ООО "Балтийский дом"</t>
  </si>
  <si>
    <t>Сиверское городское поселение</t>
  </si>
  <si>
    <t>Государственное казенное учереждение здравоохранения Ленинградской области "Дружносельская психиатрическая больница"</t>
  </si>
  <si>
    <t>274-п</t>
  </si>
  <si>
    <t>Веревское сельское поселение</t>
  </si>
  <si>
    <t>322-п</t>
  </si>
  <si>
    <t>278-п</t>
  </si>
  <si>
    <t>ООО "Бис Мелиорд Трейд"</t>
  </si>
  <si>
    <t>ООО "Ленжилэксплуатация"</t>
  </si>
  <si>
    <t xml:space="preserve">Приморское городское поселение </t>
  </si>
  <si>
    <t>Для потребителей СМУП "ТСП", получающих тепловую энергию через тепловые сети ООО "ГРАНД"</t>
  </si>
  <si>
    <t>Синявинское городское поселение</t>
  </si>
  <si>
    <t>Новоладожское городское поселение</t>
  </si>
  <si>
    <t xml:space="preserve">АО «Ленинградская областная тепло-энергетическая компания» </t>
  </si>
  <si>
    <t>ООО "ЭнергоИнвест"</t>
  </si>
  <si>
    <t xml:space="preserve">Каменногорское городское поселение </t>
  </si>
  <si>
    <t>Селезневское сельское поселение</t>
  </si>
  <si>
    <t>АО "НПО "Поиск"</t>
  </si>
  <si>
    <t>Заневское городское поселение</t>
  </si>
  <si>
    <t>ООО "ЖилКомТеплоЭнерго"</t>
  </si>
  <si>
    <t>ООО «Тепловые сети и котельные»</t>
  </si>
  <si>
    <t>ООО «Сертоловский топливно-энергетический комплекс»</t>
  </si>
  <si>
    <t>Тариф с инвестиционной составляющей</t>
  </si>
  <si>
    <t>Тариф на услугу по передаче тепловой энергии</t>
  </si>
  <si>
    <t>Тарифы  НДС не облагаются</t>
  </si>
  <si>
    <t xml:space="preserve"> Гостицкое сельское поселение</t>
  </si>
  <si>
    <t>Тарифы с учетом инвестиционной составляющей</t>
  </si>
  <si>
    <t>Алеховщинское сельское поселение</t>
  </si>
  <si>
    <t>Янегское сельское поселение</t>
  </si>
  <si>
    <t>Тариф с инвест.составляющей</t>
  </si>
  <si>
    <t>Тарифы на услугу по передаче тепловой энергии</t>
  </si>
  <si>
    <t>Тарифы через тепловую сеть</t>
  </si>
  <si>
    <t>Тарифы на коллекторах ТЭЦ</t>
  </si>
  <si>
    <t>Пчевское сельское поселение</t>
  </si>
  <si>
    <t>Глажевское сельское поселение</t>
  </si>
  <si>
    <t>Будогощское городское поселение</t>
  </si>
  <si>
    <t>Сяськелевское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</si>
  <si>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</si>
  <si>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</si>
  <si>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</si>
  <si>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</si>
  <si>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</si>
  <si>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</si>
  <si>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</si>
  <si>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</si>
  <si>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</si>
  <si>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Сусанинское сельское поселение</t>
  </si>
  <si>
    <t>Тариф с инвест. составляющей</t>
  </si>
  <si>
    <t>ООО Управляющая компания "Новоантропшино"</t>
  </si>
  <si>
    <t>Высоцкое 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</si>
  <si>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</si>
  <si>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</si>
  <si>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</si>
  <si>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</si>
  <si>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Усадищенское сельское поселение</t>
  </si>
  <si>
    <t>Хваловское сельское поселение</t>
  </si>
  <si>
    <t>Бережковское сельское поселение</t>
  </si>
  <si>
    <t>Вындиноостровское сельское поселение</t>
  </si>
  <si>
    <t>Беседское сельское поселение</t>
  </si>
  <si>
    <t xml:space="preserve">Губаницкое сельское поселение </t>
  </si>
  <si>
    <t>Зимитицкое сельское поселение</t>
  </si>
  <si>
    <t>Изварское сельское поселение</t>
  </si>
  <si>
    <t xml:space="preserve">Каложицкое сельское поселение </t>
  </si>
  <si>
    <t>Кикеринское сельское поселение</t>
  </si>
  <si>
    <t xml:space="preserve">Клопицкое сельское поселение </t>
  </si>
  <si>
    <t xml:space="preserve"> Курское сельское поселение </t>
  </si>
  <si>
    <t xml:space="preserve">Рабитицкое сельское поселение </t>
  </si>
  <si>
    <t>Сабское сельское поселение</t>
  </si>
  <si>
    <t xml:space="preserve">Сельцовское сельское поселение </t>
  </si>
  <si>
    <t>Терпилицкое сельское поселение</t>
  </si>
  <si>
    <t xml:space="preserve"> Большеврудское сельское поселение</t>
  </si>
  <si>
    <t xml:space="preserve">С наружной сетью горячего водоснабжения, с изолированными стояками, с полотенцесушителями
</t>
  </si>
  <si>
    <t xml:space="preserve">С наружной сетью горячего водоснабжения, с изолированными стояками, без полотенцесушителей
</t>
  </si>
  <si>
    <t xml:space="preserve">С наружной сетью горячего водоснабжения, с неизолированными стояками, с полотенцесушителями
</t>
  </si>
  <si>
    <t xml:space="preserve">С наружной сетью горячего водоснабжения, с неизолированными стояками, без полотенцесушителей
</t>
  </si>
  <si>
    <t>Без наружной сети горячего водоснабжения, с изолированными стояками, с полотенцесушителями</t>
  </si>
  <si>
    <t xml:space="preserve">Без наружной сети горячего водоснабжения, с изолированными стояками, без полотенцесушителей
</t>
  </si>
  <si>
    <t xml:space="preserve">Без наружной сети горячего водоснабжения, с неизолированными стояками, с полотенцесушителями
</t>
  </si>
  <si>
    <t xml:space="preserve">Без наружной сети горячего водоснабжения, с неизолированными стояками, без полотенцесушителей
</t>
  </si>
  <si>
    <t>ООО "Колтушские тепловые сети"</t>
  </si>
  <si>
    <t>ООО ЖилКомТеплоЭнерго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</si>
  <si>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</si>
  <si>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</si>
  <si>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</si>
  <si>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</si>
  <si>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Калитинское сельское поселение</t>
  </si>
  <si>
    <t>Каложицкое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</si>
  <si>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</si>
  <si>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</si>
  <si>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</si>
  <si>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</si>
  <si>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АО "ГАТЧИНСКИЙ КОМБИКОРМОВЫЙ ЗАВОД"</t>
  </si>
  <si>
    <t>449-п</t>
  </si>
  <si>
    <t xml:space="preserve"> Большеколпанское сельское поселение</t>
  </si>
  <si>
    <t>453-п</t>
  </si>
  <si>
    <t>Одноставочный тариф на тепловую энергию для оказания услуги по отоплению</t>
  </si>
  <si>
    <t>Одноставочный тариф на тепловую энергию для оказания услуги по отоплению. Тарифы налогом на добавленную стоимость не облагаются, организация применяет упрощенную систему налогообложения в соответствии со статьей 346.11 главы 26.2 части II Налогового кодекса Российской Федерации</t>
  </si>
  <si>
    <t>Одноставочный тариф на тепловую энергию для оказания услуги по ГВС в жилых домах, оборудованных ИТП</t>
  </si>
  <si>
    <t>ФГКУ "Пограничное управление ФСБ РФ по городу СПБ и ЛО"</t>
  </si>
  <si>
    <t>ФГБУ "ЦЖКУ" МО РФ</t>
  </si>
  <si>
    <t xml:space="preserve">ОАО "ЛОТЭК" </t>
  </si>
  <si>
    <t>447-п</t>
  </si>
  <si>
    <t>котельная № 16 ЛОГКУЗ "Свирская психиатрическая больница"</t>
  </si>
  <si>
    <t>Одноставочный тариф на тепловую энергию для оказания услуги по ГВС в жилых домах, оборудованных ИТП (ВСО-ООО "ЛенОблВод-Инвест")</t>
  </si>
  <si>
    <t>Одноставочный тариф на тепловую энергию для оказания услуги по ГВС в жилых домах, оборудованных ИТП (ВСО-ООО "СМЭУ "Заневка")</t>
  </si>
  <si>
    <t>Одноставочный тариф на тепловую энергию для оказания услуги по ГВС в жилых домах, оборудованных ИТП (ВСО-ООО "КУДРОВО-ГРАД")</t>
  </si>
  <si>
    <t>Одноставочный тариф на тепловую энергию для оказания услуги по ГВС в жилых домах, оборудованных ИТП (ВСО-ООО "УК "Мурино")</t>
  </si>
  <si>
    <t>Одноставочный тариф на тепловую энергию для оказания услуги по ГВС в жилых домах, оборудованных ИТП (ВСО-ООО "Новая водная ассоциация")</t>
  </si>
  <si>
    <t>Аннинское городское поселение</t>
  </si>
  <si>
    <t xml:space="preserve"> Ропшинское сельское поселение</t>
  </si>
  <si>
    <t>Всеволожское городское поселение, Колтушское сельское поселение</t>
  </si>
  <si>
    <t>Услуги по передаче тепловой энергии</t>
  </si>
  <si>
    <t>Тарифы налогом на добавленную стоимость не облагаются</t>
  </si>
  <si>
    <t>Одноставочный тариф на тепловую энергию для оказания услуги по ГВС в жилых домах, оборудованных ИТП. Тарифы налогом на добавленную стоимость не облагаются, организация применяет упрощенную систему налогообложения в соответствии со статьей 346.11 главы 26.2 части II Налогового кодекса Российской Федерации</t>
  </si>
  <si>
    <t>Одноставочный тариф на тепловую энергию для оказания услуги по отоплению. Тарифы налогом на добавленную стоимость не облагаются, организация применяет упрощенную систему налогообложения в соответствии со статьей 346.11 главы 26.2 части II Налогового кодек</t>
  </si>
  <si>
    <t>Одноставочный тариф на тепловую энергию для оказания услуги по ГВС в жилых домах, оборудованных ИТП. Тарифы налогом на добавленную стоимость не облагаются, организация применяет упрощенную систему налогообложения в соответствии со статьей 346.11 главы 26.</t>
  </si>
  <si>
    <t xml:space="preserve"> Заневское городское поселение</t>
  </si>
  <si>
    <t>ООО "Тепловая Компания Северная"</t>
  </si>
  <si>
    <t>ООО "Алгоритм  Девелопмент"</t>
  </si>
  <si>
    <t>ООО "Алгоритм Девелопмент"</t>
  </si>
  <si>
    <t>МУП "Ефимовские тепловые сети"</t>
  </si>
  <si>
    <t>Одноставочный тариф на тепловую энергию для оказания услуги по ГВС в жилых домах, оборудованных ИТП((без наружной сети горячего водоснабжения, с неизолированными стояками, с полотенцесушителями)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</si>
  <si>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</t>
  </si>
  <si>
    <t>ООО "ГЕФЕСТ"</t>
  </si>
  <si>
    <t>Агалатовское сельское поселение (деревня Елизаветинка)</t>
  </si>
  <si>
    <t>452-п</t>
  </si>
  <si>
    <t>676-п</t>
  </si>
  <si>
    <t>20.12.2018 Приказ № 534-п</t>
  </si>
  <si>
    <t>407-п</t>
  </si>
  <si>
    <t>422-п</t>
  </si>
  <si>
    <t>673-п</t>
  </si>
  <si>
    <t>от 20.12.2018 Приказ №555-п</t>
  </si>
  <si>
    <t>565-п</t>
  </si>
  <si>
    <t>417-п</t>
  </si>
  <si>
    <t>406-п</t>
  </si>
  <si>
    <t>420-п</t>
  </si>
  <si>
    <t>677-п</t>
  </si>
  <si>
    <t>19.12.2018 Приказ № 460-п</t>
  </si>
  <si>
    <t>536-п</t>
  </si>
  <si>
    <t>485-п</t>
  </si>
  <si>
    <t>от 07.02.2019 Приказ № 35-п</t>
  </si>
  <si>
    <t>550-п</t>
  </si>
  <si>
    <t>от 17.12.2018 Приказ № 433-п</t>
  </si>
  <si>
    <t>551-п</t>
  </si>
  <si>
    <t>421-п</t>
  </si>
  <si>
    <t xml:space="preserve">ООО «Промэнерго»
</t>
  </si>
  <si>
    <t xml:space="preserve"> Лебяженское городское поселение </t>
  </si>
  <si>
    <t xml:space="preserve"> Аннинское городское поселение </t>
  </si>
  <si>
    <t xml:space="preserve"> Оржицкое сельское поселение </t>
  </si>
  <si>
    <t xml:space="preserve"> Пениковское сельское поселение </t>
  </si>
  <si>
    <t xml:space="preserve"> Ропшинское сельское поселение </t>
  </si>
  <si>
    <t>МУП "Теплосеть Сосново"</t>
  </si>
  <si>
    <t>ООО "ГЭФЕСТ"</t>
  </si>
  <si>
    <t>МУП "Агенство услуг Ромашкинского поселения"</t>
  </si>
  <si>
    <t>МУП"Теплосеть Плодовое"</t>
  </si>
  <si>
    <t>Город Гатчина, кроме потребителей получающих тепловую энрегию от котельной ра сельское поселениеоложенной по адресу г. Гатчина, ул. Киргетова д. 21 а</t>
  </si>
  <si>
    <t>ЛО городское поселение "Рощинское дорожное ремонтно-эксплуатационное управление"</t>
  </si>
  <si>
    <t>Подпорожское городское поселение</t>
  </si>
  <si>
    <t xml:space="preserve"> Никольское городское поселение</t>
  </si>
  <si>
    <t>Важинское городское поселение</t>
  </si>
  <si>
    <t>Вознесенское городское поселение</t>
  </si>
  <si>
    <t>Кузнечнинское городское поселение</t>
  </si>
  <si>
    <t>Приозерское городское поселение</t>
  </si>
  <si>
    <t>город Всеволожск (Промзона кирпичный завод )</t>
  </si>
  <si>
    <t>Свердловское городское поселение (д. Новосаратовка, район Уткина заводь )</t>
  </si>
  <si>
    <t xml:space="preserve"> Бегуницкое сельское поселение </t>
  </si>
  <si>
    <t>Волосовское городское  поселение</t>
  </si>
  <si>
    <t xml:space="preserve">Калитинское сельское поселение </t>
  </si>
  <si>
    <t>Селивановское сельское поселение</t>
  </si>
  <si>
    <t>Высоцкое городское поселение</t>
  </si>
  <si>
    <t>Глебычевское сельское поселение</t>
  </si>
  <si>
    <t>Город Гатчина, для потребителей получающих тепловую энрегию от котельной ра сельское поселениеоложенной по адресу г. Гатчина, ул. Киргетова д. 21 а</t>
  </si>
  <si>
    <t xml:space="preserve">Отрадненское городское поселение  </t>
  </si>
  <si>
    <t xml:space="preserve">Мгинское городское поселение </t>
  </si>
  <si>
    <t xml:space="preserve">Павловское городское поселение </t>
  </si>
  <si>
    <t xml:space="preserve">Кировское городское поселение                </t>
  </si>
  <si>
    <t xml:space="preserve">Путиловское сельское поселение     </t>
  </si>
  <si>
    <t xml:space="preserve"> Большеижорское городское поселение  </t>
  </si>
  <si>
    <t xml:space="preserve"> Горбунковское сельское поселение </t>
  </si>
  <si>
    <t xml:space="preserve"> Кипенское сельское поселение  </t>
  </si>
  <si>
    <t xml:space="preserve"> Копорское сельское поселение </t>
  </si>
  <si>
    <t xml:space="preserve"> Лаголовское сельское поселение  </t>
  </si>
  <si>
    <t xml:space="preserve"> Лопухинское сельское поселение </t>
  </si>
  <si>
    <t>Винницкое сельское поселение</t>
  </si>
  <si>
    <t xml:space="preserve"> Сосновское сельское поселение
ул Связи, д7,9,11,13, Типографский пер.11</t>
  </si>
  <si>
    <t xml:space="preserve"> Сосновское сельское поселение
ул.Академическая, д.1,2,3,1,14</t>
  </si>
  <si>
    <t xml:space="preserve"> Сосновское сельское поселение
п. Платформа 69 км</t>
  </si>
  <si>
    <t>Красноозерное сельское поселение</t>
  </si>
  <si>
    <t>Мичуринское сельское поселение</t>
  </si>
  <si>
    <t>Мельниковское сельское поселение</t>
  </si>
  <si>
    <t>Ромашкинское сельское поселение</t>
  </si>
  <si>
    <t>Плодовское сельское поселение</t>
  </si>
  <si>
    <t>Сосновское сельское поселение</t>
  </si>
  <si>
    <t xml:space="preserve"> Севастьяновское сельское поселение</t>
  </si>
  <si>
    <t>Ларионовское сельское поселение</t>
  </si>
  <si>
    <t>Петровское сельское поселение</t>
  </si>
  <si>
    <t>Запорожское сельское поселение</t>
  </si>
  <si>
    <t xml:space="preserve"> Раздольевское сельское поселение</t>
  </si>
  <si>
    <t>Тихвинский МР</t>
  </si>
  <si>
    <t xml:space="preserve">Борское сельское поселение
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</si>
  <si>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</si>
  <si>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</si>
  <si>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</si>
  <si>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</si>
  <si>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</si>
  <si>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Цвылевское сельское поселение</t>
  </si>
  <si>
    <t>Шугозерское сельское поселение</t>
  </si>
  <si>
    <t xml:space="preserve"> Тихвинское городское поселение</t>
  </si>
  <si>
    <t xml:space="preserve">Тосненское городское поселение </t>
  </si>
  <si>
    <t xml:space="preserve">  Лисинское сельское поселение  </t>
  </si>
  <si>
    <r>
      <t>отборный пар давлением от 1,2 до 2,5 кг/см</t>
    </r>
    <r>
      <rPr>
        <vertAlign val="superscript"/>
        <sz val="11"/>
        <rFont val="Times New Roman"/>
        <family val="1"/>
        <charset val="204"/>
      </rPr>
      <t>2</t>
    </r>
  </si>
  <si>
    <r>
      <t>отборный пар давлением от 2,5 до 7,0 кг/см</t>
    </r>
    <r>
      <rPr>
        <vertAlign val="superscript"/>
        <sz val="11"/>
        <rFont val="Times New Roman"/>
        <family val="1"/>
        <charset val="204"/>
      </rPr>
      <t>2</t>
    </r>
  </si>
  <si>
    <r>
      <t>отборный пар давлением от 7,0 до 13,0 кг/см</t>
    </r>
    <r>
      <rPr>
        <vertAlign val="superscript"/>
        <sz val="11"/>
        <rFont val="Times New Roman"/>
        <family val="1"/>
        <charset val="204"/>
      </rPr>
      <t>2</t>
    </r>
  </si>
  <si>
    <t xml:space="preserve">ОАО  "Территориальная генерирующая компания №1 " филиал "Невский" </t>
  </si>
  <si>
    <t>ОАО  "Ленинградская областная тепло-энергетическая компания "</t>
  </si>
  <si>
    <t>ООО  "Сертоловский топливно-энергетический комплекс "</t>
  </si>
  <si>
    <t>ООО  "Тепловые сети и котельные "</t>
  </si>
  <si>
    <t>Центральный банк Российской Федерации (Пансионат с лечением  "Зеленый бор " Отделения по Ленинградской области Северо-Западного главного управления Центрального банка Российской Федерации)</t>
  </si>
  <si>
    <t xml:space="preserve"> ООО "ТЕПЛОЭНЕРГО"</t>
  </si>
  <si>
    <t xml:space="preserve"> Мрозовское городское поселение</t>
  </si>
  <si>
    <t xml:space="preserve">     Громовское сельское поселение</t>
  </si>
  <si>
    <t>Новоладожское   сельское поселение</t>
  </si>
  <si>
    <t>АО "Выборгтеплоэнрего"</t>
  </si>
  <si>
    <t>555-п</t>
  </si>
  <si>
    <t>Рождественское  сельское поселение</t>
  </si>
  <si>
    <t xml:space="preserve">АО "ГАТЧИНСКИЙ КОМБИКОРМОВЫЙ ЗАВОД"
</t>
  </si>
  <si>
    <t xml:space="preserve">Город Коммунар
</t>
  </si>
  <si>
    <t>от 20.12.2018 Приказ № 540-п</t>
  </si>
  <si>
    <t>от 19.12.2018 Приказ №460-п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</si>
  <si>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</si>
  <si>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</si>
  <si>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</si>
  <si>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</si>
  <si>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</si>
  <si>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</si>
  <si>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</si>
  <si>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</si>
  <si>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</si>
  <si>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</si>
  <si>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Раздольевское сельское поселение</t>
  </si>
  <si>
    <t>МО "Сосновское  СП" ул.Академическая, д.1,2,3,1,14</t>
  </si>
  <si>
    <t>МО" Сосновское СП"  Первомайская, у, ул.Молодежная, ул.Связи,пер.Типографский,</t>
  </si>
  <si>
    <t>Мельниковскоесельское поселение</t>
  </si>
  <si>
    <t xml:space="preserve"> Красноозерное сельское поселение</t>
  </si>
  <si>
    <t>Приозерское  городское поселение</t>
  </si>
  <si>
    <t>Громовское сельское поселение</t>
  </si>
  <si>
    <t>Плодовское  сельское поселение</t>
  </si>
  <si>
    <t>Выскатское сельское поселение</t>
  </si>
  <si>
    <t>Гостицкое сельское поселение</t>
  </si>
  <si>
    <t>ООО "Коммун Энерго"</t>
  </si>
  <si>
    <t>Тихвинское городское поселение</t>
  </si>
  <si>
    <t>Тарифные решения ЛенРТК по ГВС на 2019 год</t>
  </si>
  <si>
    <t>Тарифные решения ЛенРТК по отоплению на 2019 год</t>
  </si>
  <si>
    <t>Доможировское сельское поселение</t>
  </si>
  <si>
    <t>542-п</t>
  </si>
  <si>
    <t>271-п</t>
  </si>
  <si>
    <t>228-п</t>
  </si>
  <si>
    <t>680-п</t>
  </si>
  <si>
    <t>266-п</t>
  </si>
  <si>
    <t>364-п</t>
  </si>
  <si>
    <t>451-п</t>
  </si>
  <si>
    <t>416-п</t>
  </si>
  <si>
    <t>19.12.2018 №453-п</t>
  </si>
  <si>
    <t>324-п</t>
  </si>
  <si>
    <t>273-п</t>
  </si>
  <si>
    <t>07.12.2018 №319-п</t>
  </si>
  <si>
    <t>492-п</t>
  </si>
  <si>
    <t>493-п</t>
  </si>
  <si>
    <t>07.12.2018 №318-п</t>
  </si>
  <si>
    <t>317-п</t>
  </si>
  <si>
    <t>556-п</t>
  </si>
  <si>
    <t>529-п</t>
  </si>
  <si>
    <t>20.12.2018 №556-п</t>
  </si>
  <si>
    <t>477-п</t>
  </si>
  <si>
    <t>13.12.2018 №359-п</t>
  </si>
  <si>
    <t>423-п</t>
  </si>
  <si>
    <t>07.12.2018 №315-п</t>
  </si>
  <si>
    <t>397-п</t>
  </si>
  <si>
    <t>д. Ларьян, д. Мозолево Борского сельского поселения</t>
  </si>
  <si>
    <t xml:space="preserve">ООО «Пикалевский глиноземный завод» </t>
  </si>
  <si>
    <t>560-п</t>
  </si>
  <si>
    <t>562-п</t>
  </si>
  <si>
    <t>Тариф на коллекторах ТЭЦ</t>
  </si>
  <si>
    <t>Тариф на т/э, отпускаемую из тепловой сети</t>
  </si>
  <si>
    <t>506-п</t>
  </si>
  <si>
    <t>566-п</t>
  </si>
  <si>
    <t>505-п</t>
  </si>
  <si>
    <t>20.12.2018 №559-п</t>
  </si>
  <si>
    <t>459-п</t>
  </si>
  <si>
    <t>687-п</t>
  </si>
  <si>
    <t>Тарифы на тепловую энергию на коллекторах источника МУКП "СКС", поставляемую ООО "Ленстрой", оказывающему услуги по передаче т/э, приобретающему ее в целях компансации потерь в тепловых сетях</t>
  </si>
  <si>
    <t>ООО "Ленстрой"</t>
  </si>
  <si>
    <t>374-п</t>
  </si>
  <si>
    <t>683-п</t>
  </si>
  <si>
    <t>472-п</t>
  </si>
  <si>
    <t>19.12.2018 г.№449-п</t>
  </si>
  <si>
    <t>19.12.2018 № 449</t>
  </si>
  <si>
    <t>684-п</t>
  </si>
  <si>
    <t>267-п</t>
  </si>
  <si>
    <t>365-п</t>
  </si>
  <si>
    <t>265-п</t>
  </si>
  <si>
    <t>Важинское  сельское поселение</t>
  </si>
  <si>
    <t>не оказывают услуги горячего водоснабжения</t>
  </si>
  <si>
    <t>429-п</t>
  </si>
  <si>
    <t xml:space="preserve"> Сосновское сельское поселение 
ул. Никитина, д.32,ул.Лесная,ул. Ленинградская, ул. Первомайская, ул. Пионерская, ул.Строителей, ул.Механизаторов, ул. Молодежная, ул.Связи д,3.3 а,пер.Типографский д.3,7,5,9, Сосновый пер.д.5, д.Снегиревка, д.Кривко
</t>
  </si>
  <si>
    <t>685-п</t>
  </si>
  <si>
    <t>554-п</t>
  </si>
  <si>
    <t>270-п</t>
  </si>
  <si>
    <t>358-п</t>
  </si>
  <si>
    <t>427-п</t>
  </si>
  <si>
    <t>557-п</t>
  </si>
  <si>
    <t>13.12.2018 № 361-п</t>
  </si>
  <si>
    <t>133-п</t>
  </si>
  <si>
    <t>13.12.2018 №361-п, 29.12.2018 №705-п</t>
  </si>
  <si>
    <t>13.12.2018 №363-п</t>
  </si>
  <si>
    <t>481-п</t>
  </si>
  <si>
    <t>362-п</t>
  </si>
  <si>
    <t>419-п</t>
  </si>
  <si>
    <t>418-п</t>
  </si>
  <si>
    <t>29.12.2018 №705-п</t>
  </si>
  <si>
    <t>16.01.2019 №2</t>
  </si>
  <si>
    <t>16.01.2019 №2,14.02.2018 №41-п</t>
  </si>
  <si>
    <t>14.02.2019 №41-п</t>
  </si>
  <si>
    <t>276-п</t>
  </si>
  <si>
    <t>688-п</t>
  </si>
  <si>
    <t>480-п</t>
  </si>
  <si>
    <t>20.12.2018 №552-п</t>
  </si>
  <si>
    <t>440-п</t>
  </si>
  <si>
    <t>462-п</t>
  </si>
  <si>
    <t>488-п</t>
  </si>
  <si>
    <t>19.12.2018 №444-п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</si>
  <si>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</si>
  <si>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полотенцесушителями), руб./Гкал</t>
  </si>
  <si>
    <t>473-п</t>
  </si>
  <si>
    <t>ООО "Энергия"</t>
  </si>
  <si>
    <t>325-п</t>
  </si>
  <si>
    <t>471-п</t>
  </si>
  <si>
    <t>19.12.2018 №450-п</t>
  </si>
  <si>
    <t>281-п</t>
  </si>
  <si>
    <t>07.12.2018 №323-п</t>
  </si>
  <si>
    <t>468-п</t>
  </si>
  <si>
    <t>478-п</t>
  </si>
  <si>
    <t>479-п</t>
  </si>
  <si>
    <t>07.12.2018 №328</t>
  </si>
  <si>
    <t>01.02.2019 №28-п</t>
  </si>
  <si>
    <t>19.12.2018 №446</t>
  </si>
  <si>
    <t>469-п</t>
  </si>
  <si>
    <t>520-п</t>
  </si>
  <si>
    <t>19.12.2018 №456</t>
  </si>
  <si>
    <t>328-п</t>
  </si>
  <si>
    <t>19.12.2018 №457-п</t>
  </si>
  <si>
    <t>535-п</t>
  </si>
  <si>
    <t>310-п</t>
  </si>
  <si>
    <t>07.12.2018 №314</t>
  </si>
  <si>
    <t>497-п</t>
  </si>
  <si>
    <t>19.12.2018 №448-п</t>
  </si>
  <si>
    <t>19.12.2018 №445</t>
  </si>
  <si>
    <t>232-п</t>
  </si>
  <si>
    <t>268-п</t>
  </si>
  <si>
    <t>678-п</t>
  </si>
  <si>
    <t>538-п</t>
  </si>
  <si>
    <t>229-п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</si>
  <si>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</si>
  <si>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</t>
  </si>
  <si>
    <t>463-п</t>
  </si>
  <si>
    <t>9-п</t>
  </si>
  <si>
    <t>466-п</t>
  </si>
  <si>
    <t>326-п</t>
  </si>
  <si>
    <t>443-п</t>
  </si>
  <si>
    <t>231-п</t>
  </si>
  <si>
    <t>277-п</t>
  </si>
  <si>
    <t>413-п</t>
  </si>
  <si>
    <t>545-п</t>
  </si>
  <si>
    <t>ЛО ГП "Волосовское ДРСУ"</t>
  </si>
  <si>
    <t>674-п</t>
  </si>
  <si>
    <t>438-п</t>
  </si>
  <si>
    <t>226-п</t>
  </si>
  <si>
    <t>ООО "ЛЕНТЕПЛО""</t>
  </si>
  <si>
    <t>698-п</t>
  </si>
  <si>
    <t>475-п</t>
  </si>
  <si>
    <t>403-п</t>
  </si>
  <si>
    <t>410-п</t>
  </si>
  <si>
    <t>224-п</t>
  </si>
  <si>
    <t>230-п</t>
  </si>
  <si>
    <t>675-п</t>
  </si>
  <si>
    <t>474-п</t>
  </si>
  <si>
    <t>470-п</t>
  </si>
  <si>
    <t>227-п</t>
  </si>
  <si>
    <t>401-п</t>
  </si>
  <si>
    <t>681-п</t>
  </si>
  <si>
    <t>Самойловское сельское поселение (бывшее Анисимовское сельское поселение)</t>
  </si>
  <si>
    <t>558-п</t>
  </si>
  <si>
    <t>686-п</t>
  </si>
  <si>
    <t>679-п</t>
  </si>
  <si>
    <t xml:space="preserve"> Виллозское городское поселение</t>
  </si>
  <si>
    <t>Виллозское городское поселение</t>
  </si>
  <si>
    <t xml:space="preserve"> Гостилицкое сельское поселение 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</si>
  <si>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полотенцесушителей,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</si>
  <si>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без полотенцесушителей,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</si>
  <si>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полотенцесушителями, руб./Гкал</t>
  </si>
  <si>
    <t>321-п</t>
  </si>
  <si>
    <t>320-п</t>
  </si>
  <si>
    <t>Тарифы на тепловую энергию на коллекторах источника тепловой энергии</t>
  </si>
  <si>
    <t>482-п</t>
  </si>
  <si>
    <t>431-п</t>
  </si>
  <si>
    <t>483-п</t>
  </si>
  <si>
    <t>424-п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</si>
  <si>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без полотенцесушителей),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</si>
  <si>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полотенцесушителей), руб./Гкал</t>
  </si>
  <si>
    <t>07.12.2018 №313-п</t>
  </si>
  <si>
    <t>292-п</t>
  </si>
  <si>
    <t>682-п</t>
  </si>
  <si>
    <t>484-п</t>
  </si>
  <si>
    <t>19.12.2018 №476-п</t>
  </si>
  <si>
    <t>19.12.2018 №491-п</t>
  </si>
  <si>
    <t>507-п</t>
  </si>
  <si>
    <t>458-п</t>
  </si>
  <si>
    <t>400-п</t>
  </si>
  <si>
    <t>461-п</t>
  </si>
  <si>
    <t>13.12.2018 №360-п</t>
  </si>
  <si>
    <t>377-п</t>
  </si>
  <si>
    <t>20.12.2018 №537-п</t>
  </si>
  <si>
    <t>496-п</t>
  </si>
  <si>
    <t>Низинское сельское поселение</t>
  </si>
  <si>
    <t>07.12.2018 №321-п</t>
  </si>
  <si>
    <t>295-п</t>
  </si>
  <si>
    <t>07.12.2018 №320-п</t>
  </si>
  <si>
    <t>393-п</t>
  </si>
  <si>
    <t xml:space="preserve"> 14.02.2019 №41-п </t>
  </si>
  <si>
    <t>АО "Инженерно-энергетический комплекс"</t>
  </si>
  <si>
    <t>АО "ЛОТЭК"</t>
  </si>
  <si>
    <t>АО "Ленинградская областная тепло-энергетическая компания"</t>
  </si>
  <si>
    <t>20.12.2018 №549-п</t>
  </si>
  <si>
    <t>20.12.2018 №539-п</t>
  </si>
  <si>
    <t>564-п</t>
  </si>
  <si>
    <t>334-п</t>
  </si>
  <si>
    <t>20.12.2018 №547-п</t>
  </si>
  <si>
    <t>1 026,42</t>
  </si>
  <si>
    <t>1 056,78</t>
  </si>
  <si>
    <t>543-п</t>
  </si>
  <si>
    <t>544-п</t>
  </si>
  <si>
    <t>553-п</t>
  </si>
  <si>
    <t>01.02.2019  №31-п</t>
  </si>
  <si>
    <t>541-п</t>
  </si>
  <si>
    <t>563-п</t>
  </si>
  <si>
    <t>546-п</t>
  </si>
  <si>
    <t>14.12.2018 №398-п</t>
  </si>
  <si>
    <t>567-п</t>
  </si>
  <si>
    <t>19.12.2018 №436-п</t>
  </si>
  <si>
    <t>435-п</t>
  </si>
  <si>
    <t>14.12.2018 № 399-п</t>
  </si>
  <si>
    <t>439-п</t>
  </si>
  <si>
    <t>238-п</t>
  </si>
  <si>
    <t>19.12.2018 № 437-п</t>
  </si>
  <si>
    <t>405-п</t>
  </si>
  <si>
    <t>241-п</t>
  </si>
  <si>
    <t>19.12.2018 №442-п</t>
  </si>
  <si>
    <t>570-п</t>
  </si>
  <si>
    <t>14.12.2018 № 412-п</t>
  </si>
  <si>
    <t>569-п</t>
  </si>
  <si>
    <t>455-п</t>
  </si>
  <si>
    <t>19.12.2018 № 486-п</t>
  </si>
  <si>
    <t>568-п</t>
  </si>
  <si>
    <t>ФГУП "РОСМОРПОРТ"</t>
  </si>
  <si>
    <t>699-п</t>
  </si>
  <si>
    <t>ООО "Астра"</t>
  </si>
  <si>
    <t>487-п</t>
  </si>
  <si>
    <t>14.12.2018 № 409-п</t>
  </si>
  <si>
    <t>508-п</t>
  </si>
  <si>
    <t>19.12.2018 №486-п</t>
  </si>
  <si>
    <t>402-п</t>
  </si>
  <si>
    <t>193-п</t>
  </si>
  <si>
    <t>14.12.2018 № 411-п</t>
  </si>
  <si>
    <t>404-п</t>
  </si>
  <si>
    <t>26-п</t>
  </si>
  <si>
    <t>ОАО "ЛОТЭК"</t>
  </si>
  <si>
    <t>63,44</t>
  </si>
  <si>
    <t>07.02.2019 № 37                                                  14.02.2019 № 41</t>
  </si>
  <si>
    <t>25.01.2019 № 9</t>
  </si>
  <si>
    <t>01.02.2019 № 29</t>
  </si>
  <si>
    <t>441-п</t>
  </si>
  <si>
    <t xml:space="preserve">МУП МО Тельмановское сельское поселение Тосненского муниципального района «ЗЕЛЕНЫЙ ГОРОД»   </t>
  </si>
  <si>
    <t>25.02.2019 № 45-п</t>
  </si>
  <si>
    <t>69-п</t>
  </si>
  <si>
    <t>Экономически обоснованные тарифы на тепловую энергию для РСО (без НДС), руб./Гкал</t>
  </si>
  <si>
    <t>14.06.2019 №113-п</t>
  </si>
  <si>
    <t>с 01.07.2019 тарифы налогом на добавленную стоимость не облагаются</t>
  </si>
  <si>
    <t>14.06.2019 №113п</t>
  </si>
  <si>
    <t>Муринское городское поселение</t>
  </si>
  <si>
    <t>ООО "Газпром теплоэнерго Северо-Запад"</t>
  </si>
  <si>
    <t>119-п</t>
  </si>
  <si>
    <t>28.06.2019 №120-п</t>
  </si>
  <si>
    <t>Одноставочный тариф на тепловую энергию для оказания услуги по отоплению (с 28.06.2019 услуги оказывает ООО "Газпром теплоэнерго Северо-Запад")</t>
  </si>
  <si>
    <t>Одноставочный тариф на тепловую энергию для оказания услуги по ГВС в жилых домах, оборудованных ИТП (с 28.06.2019 услуги оказывает ООО "Газпром теплоэнерго Северо-Запад")</t>
  </si>
  <si>
    <t>С 28.06.2019 услуги оказывает ООО "Газпром теплоэнерго Северо-Запад"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</si>
</sst>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2">
    <xf numFmtId="0" fontId="0" fillId="0" borderId="0" xfId="0"/>
    <xf numFmtId="0" fontId="2" fillId="0" borderId="0" xfId="0" applyFont="1" applyFill="1" applyAlignment="1">
      <alignment vertical="center"/>
    </xf>
    <xf numFmtId="164" fontId="2" fillId="0" borderId="0" xfId="1" applyFont="1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/>
    <xf numFmtId="164" fontId="2" fillId="0" borderId="0" xfId="1" applyFont="1" applyFill="1"/>
    <xf numFmtId="2" fontId="2" fillId="0" borderId="0" xfId="0" applyNumberFormat="1" applyFont="1" applyFill="1"/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 wrapText="1"/>
    </xf>
    <xf numFmtId="164" fontId="2" fillId="0" borderId="0" xfId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1" applyNumberFormat="1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" fontId="2" fillId="0" borderId="0" xfId="1" applyNumberFormat="1" applyFont="1" applyFill="1"/>
    <xf numFmtId="1" fontId="2" fillId="0" borderId="0" xfId="1" applyNumberFormat="1" applyFont="1" applyFill="1"/>
    <xf numFmtId="4" fontId="2" fillId="0" borderId="0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64" fontId="2" fillId="0" borderId="0" xfId="1" applyFont="1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43" fontId="2" fillId="0" borderId="0" xfId="0" applyNumberFormat="1" applyFont="1" applyFill="1" applyAlignment="1">
      <alignment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0" xfId="0" applyNumberFormat="1" applyFont="1" applyFill="1"/>
    <xf numFmtId="1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64" fontId="2" fillId="0" borderId="0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43" xfId="7"/>
    <cellStyle name="Обычный 44" xfId="5"/>
    <cellStyle name="Обычный 45" xfId="3"/>
    <cellStyle name="Обычный 47" xfId="8"/>
    <cellStyle name="Обычный 48" xfId="4"/>
    <cellStyle name="Обычный 49" xfId="9"/>
    <cellStyle name="Обычный 50" xfId="6"/>
    <cellStyle name="Обычный 52" xfId="2"/>
    <cellStyle name="Обычный 54" xfId="10"/>
    <cellStyle name="Финансовый" xfId="1" builtinId="3"/>
  </cellStyles>
  <dxfs count="0"/>
  <tableStyles count="0" defaultTableStyle="TableStyleMedium2" defaultPivotStyle="PivotStyleLight16"/>
  <colors>
    <mruColors>
      <color rgb="FFFFFFCC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_kopkov\Desktop\&#1058;&#1072;&#1088;&#1080;&#1092;&#1099;%20&#1087;&#1086;%20&#1090;&#1077;&#1087;&#1083;&#1091;%20&#1085;&#1072;%202019%20&#1075;.%20&#1057;&#1042;&#1054;&#1044;%20%20&#1087;&#1086;%20&#1089;&#1086;&#1089;&#1090;&#1086;&#1103;&#1085;&#1080;&#1102;%20&#1085;&#1072;%20&#1092;&#1077;&#1074;&#1088;&#1072;&#1083;&#1100;%202019%20&#1040;&#1085;&#1090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"/>
      <sheetName val="ГВС"/>
    </sheetNames>
    <sheetDataSet>
      <sheetData sheetId="0">
        <row r="108">
          <cell r="D108">
            <v>42723</v>
          </cell>
          <cell r="E108" t="str">
            <v>488-п</v>
          </cell>
          <cell r="H108" t="str">
            <v>19.12.2018 №444-п</v>
          </cell>
        </row>
        <row r="110">
          <cell r="D110">
            <v>43454</v>
          </cell>
          <cell r="E110" t="str">
            <v>680-п</v>
          </cell>
        </row>
        <row r="118">
          <cell r="D118">
            <v>43453</v>
          </cell>
          <cell r="E118" t="str">
            <v>473-п</v>
          </cell>
        </row>
        <row r="120">
          <cell r="D120">
            <v>43453</v>
          </cell>
          <cell r="E120" t="str">
            <v>473-п</v>
          </cell>
        </row>
        <row r="122">
          <cell r="D122">
            <v>43454</v>
          </cell>
          <cell r="E122" t="str">
            <v>680-п</v>
          </cell>
        </row>
        <row r="130">
          <cell r="D130">
            <v>43441</v>
          </cell>
          <cell r="E130" t="str">
            <v>325-п</v>
          </cell>
        </row>
        <row r="132">
          <cell r="D132">
            <v>43454</v>
          </cell>
          <cell r="E132" t="str">
            <v>680-п</v>
          </cell>
        </row>
        <row r="134">
          <cell r="D134">
            <v>42723</v>
          </cell>
          <cell r="E134" t="str">
            <v>471-п</v>
          </cell>
          <cell r="H134" t="str">
            <v>19.12.2018 №450-п</v>
          </cell>
        </row>
        <row r="136">
          <cell r="D136">
            <v>43454</v>
          </cell>
          <cell r="E136" t="str">
            <v>680-п</v>
          </cell>
        </row>
        <row r="184">
          <cell r="D184">
            <v>42723</v>
          </cell>
          <cell r="E184" t="str">
            <v>479-п</v>
          </cell>
          <cell r="H184" t="str">
            <v>07.12.2018 №328</v>
          </cell>
        </row>
        <row r="185">
          <cell r="H185" t="str">
            <v>01.02.2019 №28-п</v>
          </cell>
        </row>
        <row r="187">
          <cell r="D187">
            <v>43454</v>
          </cell>
          <cell r="E187" t="str">
            <v>680-п</v>
          </cell>
        </row>
        <row r="229">
          <cell r="D229">
            <v>43453</v>
          </cell>
          <cell r="E229" t="str">
            <v>469-п</v>
          </cell>
        </row>
        <row r="231">
          <cell r="D231">
            <v>43454</v>
          </cell>
          <cell r="E231" t="str">
            <v>680-п</v>
          </cell>
        </row>
        <row r="293">
          <cell r="D293">
            <v>43454</v>
          </cell>
          <cell r="E293" t="str">
            <v>535-п</v>
          </cell>
        </row>
        <row r="295">
          <cell r="D295">
            <v>43454</v>
          </cell>
          <cell r="E295" t="str">
            <v>680-п</v>
          </cell>
        </row>
        <row r="303">
          <cell r="D303">
            <v>43453</v>
          </cell>
          <cell r="E303" t="str">
            <v>497-п</v>
          </cell>
          <cell r="H303" t="str">
            <v>19.12.2018 №448-п</v>
          </cell>
        </row>
        <row r="305">
          <cell r="D305">
            <v>43454</v>
          </cell>
          <cell r="E305" t="str">
            <v>680-п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Z1431"/>
  <sheetViews>
    <sheetView zoomScale="70" zoomScaleNormal="70" zoomScaleSheetLayoutView="70" zoomScalePageLayoutView="80" workbookViewId="0">
      <pane ySplit="3" topLeftCell="A819" activePane="bottomLeft" state="frozen"/>
      <selection pane="bottomLeft" activeCell="S843" sqref="S843"/>
    </sheetView>
  </sheetViews>
  <sheetFormatPr defaultColWidth="9.140625" defaultRowHeight="15" outlineLevelRow="1" x14ac:dyDescent="0.25"/>
  <cols>
    <col min="1" max="1" width="22.28515625" style="1" customWidth="1"/>
    <col min="2" max="3" width="34" style="46" customWidth="1"/>
    <col min="4" max="4" width="12.28515625" style="1" customWidth="1"/>
    <col min="5" max="5" width="11.7109375" style="1" customWidth="1"/>
    <col min="6" max="6" width="14.7109375" style="1" customWidth="1"/>
    <col min="7" max="7" width="13.85546875" style="1" customWidth="1"/>
    <col min="8" max="8" width="19.140625" style="46" customWidth="1"/>
    <col min="9" max="9" width="11.5703125" style="47" customWidth="1"/>
    <col min="10" max="13" width="9.5703125" style="48" hidden="1" customWidth="1"/>
    <col min="14" max="14" width="8.7109375" style="48" hidden="1" customWidth="1"/>
    <col min="15" max="15" width="14.85546875" style="47" customWidth="1"/>
    <col min="16" max="16" width="64.5703125" style="49" customWidth="1"/>
    <col min="17" max="17" width="12.140625" style="1" bestFit="1" customWidth="1"/>
    <col min="18" max="18" width="12.42578125" style="1" bestFit="1" customWidth="1"/>
    <col min="19" max="19" width="21.85546875" style="2" customWidth="1"/>
    <col min="20" max="20" width="13.42578125" style="1" customWidth="1"/>
    <col min="21" max="16384" width="9.140625" style="1"/>
  </cols>
  <sheetData>
    <row r="1" spans="1:19" ht="30.75" customHeight="1" x14ac:dyDescent="0.25">
      <c r="A1" s="189" t="s">
        <v>601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9" ht="90" customHeight="1" x14ac:dyDescent="0.25">
      <c r="A2" s="149" t="s">
        <v>9</v>
      </c>
      <c r="B2" s="168" t="s">
        <v>2</v>
      </c>
      <c r="C2" s="168" t="s">
        <v>1</v>
      </c>
      <c r="D2" s="168" t="s">
        <v>13</v>
      </c>
      <c r="E2" s="168"/>
      <c r="F2" s="168" t="s">
        <v>8</v>
      </c>
      <c r="G2" s="149" t="s">
        <v>7</v>
      </c>
      <c r="H2" s="149" t="s">
        <v>14</v>
      </c>
      <c r="I2" s="192" t="s">
        <v>19</v>
      </c>
      <c r="J2" s="192"/>
      <c r="K2" s="192"/>
      <c r="L2" s="192"/>
      <c r="M2" s="192"/>
      <c r="N2" s="192"/>
      <c r="O2" s="191" t="s">
        <v>15</v>
      </c>
      <c r="P2" s="146" t="s">
        <v>4</v>
      </c>
    </row>
    <row r="3" spans="1:19" ht="67.5" customHeight="1" x14ac:dyDescent="0.25">
      <c r="A3" s="151"/>
      <c r="B3" s="168"/>
      <c r="C3" s="168"/>
      <c r="D3" s="3" t="s">
        <v>6</v>
      </c>
      <c r="E3" s="3" t="s">
        <v>0</v>
      </c>
      <c r="F3" s="168"/>
      <c r="G3" s="151"/>
      <c r="H3" s="151"/>
      <c r="I3" s="73" t="s">
        <v>16</v>
      </c>
      <c r="J3" s="5" t="s">
        <v>559</v>
      </c>
      <c r="K3" s="5" t="s">
        <v>560</v>
      </c>
      <c r="L3" s="5" t="s">
        <v>561</v>
      </c>
      <c r="M3" s="5" t="s">
        <v>17</v>
      </c>
      <c r="N3" s="5" t="s">
        <v>18</v>
      </c>
      <c r="O3" s="191"/>
      <c r="P3" s="147"/>
    </row>
    <row r="4" spans="1:19" s="10" customFormat="1" ht="18.95" customHeight="1" collapsed="1" x14ac:dyDescent="0.25">
      <c r="A4" s="6" t="s">
        <v>145</v>
      </c>
      <c r="B4" s="6" t="s">
        <v>312</v>
      </c>
      <c r="C4" s="7"/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8"/>
      <c r="P4" s="9"/>
      <c r="S4" s="11"/>
    </row>
    <row r="5" spans="1:19" s="17" customFormat="1" ht="18.95" customHeight="1" outlineLevel="1" x14ac:dyDescent="0.25">
      <c r="A5" s="146" t="s">
        <v>170</v>
      </c>
      <c r="B5" s="146" t="s">
        <v>334</v>
      </c>
      <c r="C5" s="193" t="s">
        <v>333</v>
      </c>
      <c r="D5" s="137">
        <v>42723</v>
      </c>
      <c r="E5" s="137" t="s">
        <v>633</v>
      </c>
      <c r="F5" s="12">
        <v>43466</v>
      </c>
      <c r="G5" s="12">
        <v>43646</v>
      </c>
      <c r="H5" s="149" t="s">
        <v>762</v>
      </c>
      <c r="I5" s="13">
        <v>1162.1099999999999</v>
      </c>
      <c r="J5" s="72" t="s">
        <v>23</v>
      </c>
      <c r="K5" s="72" t="s">
        <v>23</v>
      </c>
      <c r="L5" s="5" t="s">
        <v>23</v>
      </c>
      <c r="M5" s="5" t="s">
        <v>23</v>
      </c>
      <c r="N5" s="5" t="s">
        <v>23</v>
      </c>
      <c r="O5" s="73" t="s">
        <v>23</v>
      </c>
      <c r="P5" s="16"/>
      <c r="S5" s="18"/>
    </row>
    <row r="6" spans="1:19" s="17" customFormat="1" ht="18.95" customHeight="1" outlineLevel="1" x14ac:dyDescent="0.25">
      <c r="A6" s="148"/>
      <c r="B6" s="148"/>
      <c r="C6" s="194"/>
      <c r="D6" s="141"/>
      <c r="E6" s="141"/>
      <c r="F6" s="12">
        <v>43647</v>
      </c>
      <c r="G6" s="12">
        <v>43830</v>
      </c>
      <c r="H6" s="151"/>
      <c r="I6" s="13">
        <v>1184.6400000000001</v>
      </c>
      <c r="J6" s="72" t="s">
        <v>23</v>
      </c>
      <c r="K6" s="72" t="s">
        <v>23</v>
      </c>
      <c r="L6" s="5" t="s">
        <v>23</v>
      </c>
      <c r="M6" s="5" t="s">
        <v>23</v>
      </c>
      <c r="N6" s="5" t="s">
        <v>23</v>
      </c>
      <c r="O6" s="73" t="s">
        <v>23</v>
      </c>
      <c r="P6" s="16"/>
      <c r="S6" s="18"/>
    </row>
    <row r="7" spans="1:19" s="17" customFormat="1" ht="18.95" customHeight="1" outlineLevel="1" x14ac:dyDescent="0.25">
      <c r="A7" s="148"/>
      <c r="B7" s="148"/>
      <c r="C7" s="194"/>
      <c r="D7" s="137">
        <v>43819</v>
      </c>
      <c r="E7" s="137" t="s">
        <v>738</v>
      </c>
      <c r="F7" s="12">
        <v>43466</v>
      </c>
      <c r="G7" s="12">
        <v>43646</v>
      </c>
      <c r="H7" s="149"/>
      <c r="I7" s="73" t="s">
        <v>23</v>
      </c>
      <c r="J7" s="72" t="s">
        <v>23</v>
      </c>
      <c r="K7" s="72" t="s">
        <v>23</v>
      </c>
      <c r="L7" s="5" t="s">
        <v>23</v>
      </c>
      <c r="M7" s="5" t="s">
        <v>23</v>
      </c>
      <c r="N7" s="5" t="s">
        <v>23</v>
      </c>
      <c r="O7" s="13">
        <v>1394.53</v>
      </c>
      <c r="P7" s="16"/>
      <c r="S7" s="18"/>
    </row>
    <row r="8" spans="1:19" s="17" customFormat="1" ht="18.95" customHeight="1" outlineLevel="1" x14ac:dyDescent="0.25">
      <c r="A8" s="147"/>
      <c r="B8" s="147"/>
      <c r="C8" s="194"/>
      <c r="D8" s="141"/>
      <c r="E8" s="141"/>
      <c r="F8" s="12">
        <v>43647</v>
      </c>
      <c r="G8" s="12">
        <v>43830</v>
      </c>
      <c r="H8" s="151"/>
      <c r="I8" s="73" t="s">
        <v>23</v>
      </c>
      <c r="J8" s="72" t="s">
        <v>23</v>
      </c>
      <c r="K8" s="72" t="s">
        <v>23</v>
      </c>
      <c r="L8" s="5" t="s">
        <v>23</v>
      </c>
      <c r="M8" s="5" t="s">
        <v>23</v>
      </c>
      <c r="N8" s="5" t="s">
        <v>23</v>
      </c>
      <c r="O8" s="13">
        <v>1421.57</v>
      </c>
      <c r="P8" s="16"/>
      <c r="S8" s="18"/>
    </row>
    <row r="9" spans="1:19" s="17" customFormat="1" ht="18.95" customHeight="1" outlineLevel="1" x14ac:dyDescent="0.25">
      <c r="A9" s="146" t="s">
        <v>170</v>
      </c>
      <c r="B9" s="146" t="s">
        <v>175</v>
      </c>
      <c r="C9" s="194"/>
      <c r="D9" s="137">
        <v>42723</v>
      </c>
      <c r="E9" s="137" t="s">
        <v>633</v>
      </c>
      <c r="F9" s="12">
        <v>43466</v>
      </c>
      <c r="G9" s="12">
        <v>43646</v>
      </c>
      <c r="H9" s="149" t="s">
        <v>762</v>
      </c>
      <c r="I9" s="13">
        <v>1162.1099999999999</v>
      </c>
      <c r="J9" s="72" t="s">
        <v>23</v>
      </c>
      <c r="K9" s="72" t="s">
        <v>23</v>
      </c>
      <c r="L9" s="5" t="s">
        <v>23</v>
      </c>
      <c r="M9" s="5" t="s">
        <v>23</v>
      </c>
      <c r="N9" s="5" t="s">
        <v>23</v>
      </c>
      <c r="O9" s="73" t="s">
        <v>23</v>
      </c>
      <c r="P9" s="16"/>
      <c r="S9" s="18"/>
    </row>
    <row r="10" spans="1:19" s="17" customFormat="1" ht="18.95" customHeight="1" outlineLevel="1" x14ac:dyDescent="0.25">
      <c r="A10" s="148"/>
      <c r="B10" s="148"/>
      <c r="C10" s="194"/>
      <c r="D10" s="141"/>
      <c r="E10" s="141"/>
      <c r="F10" s="12">
        <v>43647</v>
      </c>
      <c r="G10" s="12">
        <v>43830</v>
      </c>
      <c r="H10" s="151"/>
      <c r="I10" s="13">
        <v>1184.6400000000001</v>
      </c>
      <c r="J10" s="72" t="s">
        <v>23</v>
      </c>
      <c r="K10" s="72" t="s">
        <v>23</v>
      </c>
      <c r="L10" s="5" t="s">
        <v>23</v>
      </c>
      <c r="M10" s="5" t="s">
        <v>23</v>
      </c>
      <c r="N10" s="5" t="s">
        <v>23</v>
      </c>
      <c r="O10" s="73" t="s">
        <v>23</v>
      </c>
      <c r="P10" s="16"/>
      <c r="S10" s="18"/>
    </row>
    <row r="11" spans="1:19" s="17" customFormat="1" ht="18.95" customHeight="1" outlineLevel="1" x14ac:dyDescent="0.25">
      <c r="A11" s="148"/>
      <c r="B11" s="148"/>
      <c r="C11" s="194"/>
      <c r="D11" s="137">
        <v>43819</v>
      </c>
      <c r="E11" s="137" t="s">
        <v>738</v>
      </c>
      <c r="F11" s="12">
        <v>43466</v>
      </c>
      <c r="G11" s="12">
        <v>43646</v>
      </c>
      <c r="H11" s="149"/>
      <c r="I11" s="73" t="s">
        <v>23</v>
      </c>
      <c r="J11" s="72" t="s">
        <v>23</v>
      </c>
      <c r="K11" s="72" t="s">
        <v>23</v>
      </c>
      <c r="L11" s="5" t="s">
        <v>23</v>
      </c>
      <c r="M11" s="5" t="s">
        <v>23</v>
      </c>
      <c r="N11" s="5" t="s">
        <v>23</v>
      </c>
      <c r="O11" s="13">
        <v>1394.53</v>
      </c>
      <c r="P11" s="16"/>
      <c r="S11" s="18"/>
    </row>
    <row r="12" spans="1:19" s="17" customFormat="1" ht="18.95" customHeight="1" outlineLevel="1" x14ac:dyDescent="0.25">
      <c r="A12" s="147"/>
      <c r="B12" s="147"/>
      <c r="C12" s="194"/>
      <c r="D12" s="141"/>
      <c r="E12" s="141"/>
      <c r="F12" s="12">
        <v>43647</v>
      </c>
      <c r="G12" s="12">
        <v>43830</v>
      </c>
      <c r="H12" s="151"/>
      <c r="I12" s="73" t="s">
        <v>23</v>
      </c>
      <c r="J12" s="72" t="s">
        <v>23</v>
      </c>
      <c r="K12" s="72" t="s">
        <v>23</v>
      </c>
      <c r="L12" s="5" t="s">
        <v>23</v>
      </c>
      <c r="M12" s="5" t="s">
        <v>23</v>
      </c>
      <c r="N12" s="5" t="s">
        <v>23</v>
      </c>
      <c r="O12" s="13">
        <v>1421.57</v>
      </c>
      <c r="P12" s="16"/>
      <c r="S12" s="18"/>
    </row>
    <row r="13" spans="1:19" s="17" customFormat="1" ht="18.95" customHeight="1" outlineLevel="1" x14ac:dyDescent="0.25">
      <c r="A13" s="146" t="s">
        <v>170</v>
      </c>
      <c r="B13" s="146" t="s">
        <v>739</v>
      </c>
      <c r="C13" s="194"/>
      <c r="D13" s="137">
        <v>42723</v>
      </c>
      <c r="E13" s="137" t="s">
        <v>764</v>
      </c>
      <c r="F13" s="12">
        <v>43466</v>
      </c>
      <c r="G13" s="12">
        <v>43646</v>
      </c>
      <c r="H13" s="149" t="s">
        <v>763</v>
      </c>
      <c r="I13" s="13">
        <v>4083.64</v>
      </c>
      <c r="J13" s="72" t="s">
        <v>23</v>
      </c>
      <c r="K13" s="72" t="s">
        <v>23</v>
      </c>
      <c r="L13" s="5" t="s">
        <v>23</v>
      </c>
      <c r="M13" s="5" t="s">
        <v>23</v>
      </c>
      <c r="N13" s="5" t="s">
        <v>23</v>
      </c>
      <c r="O13" s="73" t="s">
        <v>23</v>
      </c>
      <c r="P13" s="16"/>
      <c r="S13" s="18"/>
    </row>
    <row r="14" spans="1:19" s="17" customFormat="1" ht="18.95" customHeight="1" outlineLevel="1" x14ac:dyDescent="0.25">
      <c r="A14" s="148"/>
      <c r="B14" s="148"/>
      <c r="C14" s="194"/>
      <c r="D14" s="141"/>
      <c r="E14" s="141"/>
      <c r="F14" s="12">
        <v>43647</v>
      </c>
      <c r="G14" s="12">
        <v>43830</v>
      </c>
      <c r="H14" s="151"/>
      <c r="I14" s="13">
        <v>4138.2299999999996</v>
      </c>
      <c r="J14" s="72" t="s">
        <v>23</v>
      </c>
      <c r="K14" s="72" t="s">
        <v>23</v>
      </c>
      <c r="L14" s="5" t="s">
        <v>23</v>
      </c>
      <c r="M14" s="5" t="s">
        <v>23</v>
      </c>
      <c r="N14" s="5" t="s">
        <v>23</v>
      </c>
      <c r="O14" s="73" t="s">
        <v>23</v>
      </c>
      <c r="P14" s="16"/>
      <c r="S14" s="18"/>
    </row>
    <row r="15" spans="1:19" s="17" customFormat="1" ht="18.95" customHeight="1" outlineLevel="1" x14ac:dyDescent="0.25">
      <c r="A15" s="148"/>
      <c r="B15" s="148"/>
      <c r="C15" s="194"/>
      <c r="D15" s="137">
        <v>43819</v>
      </c>
      <c r="E15" s="137" t="s">
        <v>738</v>
      </c>
      <c r="F15" s="12">
        <v>43466</v>
      </c>
      <c r="G15" s="12">
        <v>43646</v>
      </c>
      <c r="H15" s="149"/>
      <c r="I15" s="73" t="s">
        <v>23</v>
      </c>
      <c r="J15" s="72" t="s">
        <v>23</v>
      </c>
      <c r="K15" s="72" t="s">
        <v>23</v>
      </c>
      <c r="L15" s="5" t="s">
        <v>23</v>
      </c>
      <c r="M15" s="5" t="s">
        <v>23</v>
      </c>
      <c r="N15" s="5" t="s">
        <v>23</v>
      </c>
      <c r="O15" s="13">
        <v>2633.29</v>
      </c>
      <c r="P15" s="16"/>
      <c r="S15" s="18"/>
    </row>
    <row r="16" spans="1:19" s="17" customFormat="1" ht="18.95" customHeight="1" outlineLevel="1" x14ac:dyDescent="0.25">
      <c r="A16" s="147"/>
      <c r="B16" s="147"/>
      <c r="C16" s="194"/>
      <c r="D16" s="141"/>
      <c r="E16" s="141"/>
      <c r="F16" s="12">
        <v>43647</v>
      </c>
      <c r="G16" s="12">
        <v>43830</v>
      </c>
      <c r="H16" s="151"/>
      <c r="I16" s="73" t="s">
        <v>23</v>
      </c>
      <c r="J16" s="72" t="s">
        <v>23</v>
      </c>
      <c r="K16" s="72" t="s">
        <v>23</v>
      </c>
      <c r="L16" s="5" t="s">
        <v>23</v>
      </c>
      <c r="M16" s="5" t="s">
        <v>23</v>
      </c>
      <c r="N16" s="5" t="s">
        <v>23</v>
      </c>
      <c r="O16" s="13">
        <v>2633.29</v>
      </c>
      <c r="P16" s="16"/>
      <c r="R16" s="19"/>
      <c r="S16" s="18"/>
    </row>
    <row r="17" spans="1:19" s="17" customFormat="1" ht="18.95" customHeight="1" outlineLevel="1" x14ac:dyDescent="0.25">
      <c r="A17" s="146" t="s">
        <v>170</v>
      </c>
      <c r="B17" s="146" t="s">
        <v>314</v>
      </c>
      <c r="C17" s="194"/>
      <c r="D17" s="137">
        <v>42723</v>
      </c>
      <c r="E17" s="137" t="s">
        <v>764</v>
      </c>
      <c r="F17" s="12">
        <v>43466</v>
      </c>
      <c r="G17" s="12">
        <v>43646</v>
      </c>
      <c r="H17" s="149" t="s">
        <v>763</v>
      </c>
      <c r="I17" s="13">
        <v>4083.64</v>
      </c>
      <c r="J17" s="72" t="s">
        <v>23</v>
      </c>
      <c r="K17" s="72" t="s">
        <v>23</v>
      </c>
      <c r="L17" s="5" t="s">
        <v>23</v>
      </c>
      <c r="M17" s="5" t="s">
        <v>23</v>
      </c>
      <c r="N17" s="5" t="s">
        <v>23</v>
      </c>
      <c r="O17" s="73" t="s">
        <v>23</v>
      </c>
      <c r="P17" s="16"/>
      <c r="S17" s="18"/>
    </row>
    <row r="18" spans="1:19" s="17" customFormat="1" ht="18.95" customHeight="1" outlineLevel="1" x14ac:dyDescent="0.25">
      <c r="A18" s="148"/>
      <c r="B18" s="148"/>
      <c r="C18" s="194"/>
      <c r="D18" s="141"/>
      <c r="E18" s="141"/>
      <c r="F18" s="12">
        <v>43647</v>
      </c>
      <c r="G18" s="12">
        <v>43830</v>
      </c>
      <c r="H18" s="151"/>
      <c r="I18" s="13">
        <v>4138.2299999999996</v>
      </c>
      <c r="J18" s="72" t="s">
        <v>23</v>
      </c>
      <c r="K18" s="72" t="s">
        <v>23</v>
      </c>
      <c r="L18" s="5" t="s">
        <v>23</v>
      </c>
      <c r="M18" s="5" t="s">
        <v>23</v>
      </c>
      <c r="N18" s="5" t="s">
        <v>23</v>
      </c>
      <c r="O18" s="73" t="s">
        <v>23</v>
      </c>
      <c r="P18" s="16"/>
      <c r="S18" s="18"/>
    </row>
    <row r="19" spans="1:19" s="17" customFormat="1" ht="18.95" customHeight="1" outlineLevel="1" x14ac:dyDescent="0.25">
      <c r="A19" s="148"/>
      <c r="B19" s="148"/>
      <c r="C19" s="194"/>
      <c r="D19" s="137">
        <v>43819</v>
      </c>
      <c r="E19" s="137" t="s">
        <v>738</v>
      </c>
      <c r="F19" s="12">
        <v>43466</v>
      </c>
      <c r="G19" s="12">
        <v>43646</v>
      </c>
      <c r="H19" s="149"/>
      <c r="I19" s="73" t="s">
        <v>23</v>
      </c>
      <c r="J19" s="72" t="s">
        <v>23</v>
      </c>
      <c r="K19" s="72" t="s">
        <v>23</v>
      </c>
      <c r="L19" s="5" t="s">
        <v>23</v>
      </c>
      <c r="M19" s="5" t="s">
        <v>23</v>
      </c>
      <c r="N19" s="5" t="s">
        <v>23</v>
      </c>
      <c r="O19" s="13">
        <v>2518.7800000000002</v>
      </c>
      <c r="P19" s="16"/>
      <c r="S19" s="18"/>
    </row>
    <row r="20" spans="1:19" s="17" customFormat="1" ht="18.95" customHeight="1" outlineLevel="1" x14ac:dyDescent="0.25">
      <c r="A20" s="147"/>
      <c r="B20" s="147"/>
      <c r="C20" s="195"/>
      <c r="D20" s="141"/>
      <c r="E20" s="141"/>
      <c r="F20" s="12">
        <v>43647</v>
      </c>
      <c r="G20" s="12">
        <v>43830</v>
      </c>
      <c r="H20" s="151"/>
      <c r="I20" s="73" t="s">
        <v>23</v>
      </c>
      <c r="J20" s="72" t="s">
        <v>23</v>
      </c>
      <c r="K20" s="72" t="s">
        <v>23</v>
      </c>
      <c r="L20" s="5" t="s">
        <v>23</v>
      </c>
      <c r="M20" s="5" t="s">
        <v>23</v>
      </c>
      <c r="N20" s="5" t="s">
        <v>23</v>
      </c>
      <c r="O20" s="13">
        <v>2518.7800000000002</v>
      </c>
      <c r="P20" s="16"/>
      <c r="R20" s="19"/>
      <c r="S20" s="18"/>
    </row>
    <row r="21" spans="1:19" s="17" customFormat="1" ht="18.95" customHeight="1" outlineLevel="1" x14ac:dyDescent="0.25">
      <c r="A21" s="146" t="s">
        <v>170</v>
      </c>
      <c r="B21" s="146" t="s">
        <v>171</v>
      </c>
      <c r="C21" s="146" t="s">
        <v>290</v>
      </c>
      <c r="D21" s="137">
        <v>42723</v>
      </c>
      <c r="E21" s="137" t="s">
        <v>689</v>
      </c>
      <c r="F21" s="12">
        <v>43466</v>
      </c>
      <c r="G21" s="12">
        <v>43646</v>
      </c>
      <c r="H21" s="149" t="s">
        <v>795</v>
      </c>
      <c r="I21" s="13">
        <v>3273.55</v>
      </c>
      <c r="J21" s="72" t="s">
        <v>23</v>
      </c>
      <c r="K21" s="72" t="s">
        <v>23</v>
      </c>
      <c r="L21" s="5" t="s">
        <v>23</v>
      </c>
      <c r="M21" s="5" t="s">
        <v>23</v>
      </c>
      <c r="N21" s="5" t="s">
        <v>23</v>
      </c>
      <c r="O21" s="73" t="s">
        <v>23</v>
      </c>
      <c r="P21" s="16"/>
      <c r="S21" s="18"/>
    </row>
    <row r="22" spans="1:19" s="17" customFormat="1" ht="18.95" customHeight="1" outlineLevel="1" x14ac:dyDescent="0.25">
      <c r="A22" s="148"/>
      <c r="B22" s="148"/>
      <c r="C22" s="148"/>
      <c r="D22" s="141"/>
      <c r="E22" s="141"/>
      <c r="F22" s="12">
        <v>43647</v>
      </c>
      <c r="G22" s="12">
        <v>43830</v>
      </c>
      <c r="H22" s="151"/>
      <c r="I22" s="13">
        <v>3410.16</v>
      </c>
      <c r="J22" s="72" t="s">
        <v>23</v>
      </c>
      <c r="K22" s="72" t="s">
        <v>23</v>
      </c>
      <c r="L22" s="5" t="s">
        <v>23</v>
      </c>
      <c r="M22" s="5" t="s">
        <v>23</v>
      </c>
      <c r="N22" s="5" t="s">
        <v>23</v>
      </c>
      <c r="O22" s="73" t="s">
        <v>23</v>
      </c>
      <c r="P22" s="16"/>
      <c r="S22" s="18"/>
    </row>
    <row r="23" spans="1:19" s="17" customFormat="1" ht="18.95" customHeight="1" outlineLevel="1" x14ac:dyDescent="0.25">
      <c r="A23" s="148"/>
      <c r="B23" s="148"/>
      <c r="C23" s="148"/>
      <c r="D23" s="137">
        <v>43454</v>
      </c>
      <c r="E23" s="137" t="s">
        <v>796</v>
      </c>
      <c r="F23" s="12">
        <v>43466</v>
      </c>
      <c r="G23" s="12">
        <v>43646</v>
      </c>
      <c r="H23" s="149"/>
      <c r="I23" s="73" t="s">
        <v>23</v>
      </c>
      <c r="J23" s="72" t="s">
        <v>23</v>
      </c>
      <c r="K23" s="72" t="s">
        <v>23</v>
      </c>
      <c r="L23" s="5" t="s">
        <v>23</v>
      </c>
      <c r="M23" s="5" t="s">
        <v>23</v>
      </c>
      <c r="N23" s="5" t="s">
        <v>23</v>
      </c>
      <c r="O23" s="13">
        <v>2102.91</v>
      </c>
      <c r="P23" s="16"/>
      <c r="S23" s="18"/>
    </row>
    <row r="24" spans="1:19" s="17" customFormat="1" ht="18.95" customHeight="1" outlineLevel="1" x14ac:dyDescent="0.25">
      <c r="A24" s="147"/>
      <c r="B24" s="147"/>
      <c r="C24" s="148"/>
      <c r="D24" s="141"/>
      <c r="E24" s="141"/>
      <c r="F24" s="12">
        <v>43647</v>
      </c>
      <c r="G24" s="12">
        <v>43830</v>
      </c>
      <c r="H24" s="151"/>
      <c r="I24" s="73" t="s">
        <v>23</v>
      </c>
      <c r="J24" s="72" t="s">
        <v>23</v>
      </c>
      <c r="K24" s="72" t="s">
        <v>23</v>
      </c>
      <c r="L24" s="5" t="s">
        <v>23</v>
      </c>
      <c r="M24" s="5" t="s">
        <v>23</v>
      </c>
      <c r="N24" s="5" t="s">
        <v>23</v>
      </c>
      <c r="O24" s="13">
        <v>2144.9699999999998</v>
      </c>
      <c r="P24" s="16"/>
      <c r="S24" s="18"/>
    </row>
    <row r="25" spans="1:19" s="17" customFormat="1" ht="18.95" customHeight="1" outlineLevel="1" x14ac:dyDescent="0.25">
      <c r="A25" s="146" t="s">
        <v>170</v>
      </c>
      <c r="B25" s="146" t="s">
        <v>289</v>
      </c>
      <c r="C25" s="148"/>
      <c r="D25" s="137">
        <v>42723</v>
      </c>
      <c r="E25" s="137" t="s">
        <v>689</v>
      </c>
      <c r="F25" s="12">
        <v>43466</v>
      </c>
      <c r="G25" s="12">
        <v>43646</v>
      </c>
      <c r="H25" s="149" t="s">
        <v>795</v>
      </c>
      <c r="I25" s="13">
        <v>3273.55</v>
      </c>
      <c r="J25" s="72" t="s">
        <v>23</v>
      </c>
      <c r="K25" s="72" t="s">
        <v>23</v>
      </c>
      <c r="L25" s="5" t="s">
        <v>23</v>
      </c>
      <c r="M25" s="5" t="s">
        <v>23</v>
      </c>
      <c r="N25" s="5" t="s">
        <v>23</v>
      </c>
      <c r="O25" s="73" t="s">
        <v>23</v>
      </c>
      <c r="P25" s="16"/>
      <c r="S25" s="18"/>
    </row>
    <row r="26" spans="1:19" s="17" customFormat="1" ht="18.95" customHeight="1" outlineLevel="1" x14ac:dyDescent="0.25">
      <c r="A26" s="148"/>
      <c r="B26" s="148"/>
      <c r="C26" s="148"/>
      <c r="D26" s="141"/>
      <c r="E26" s="141"/>
      <c r="F26" s="12">
        <v>43647</v>
      </c>
      <c r="G26" s="12">
        <v>43830</v>
      </c>
      <c r="H26" s="151"/>
      <c r="I26" s="13">
        <v>3410.16</v>
      </c>
      <c r="J26" s="72" t="s">
        <v>23</v>
      </c>
      <c r="K26" s="72" t="s">
        <v>23</v>
      </c>
      <c r="L26" s="5" t="s">
        <v>23</v>
      </c>
      <c r="M26" s="5" t="s">
        <v>23</v>
      </c>
      <c r="N26" s="5" t="s">
        <v>23</v>
      </c>
      <c r="O26" s="73" t="s">
        <v>23</v>
      </c>
      <c r="P26" s="16"/>
      <c r="S26" s="18"/>
    </row>
    <row r="27" spans="1:19" s="17" customFormat="1" ht="18.95" customHeight="1" outlineLevel="1" x14ac:dyDescent="0.25">
      <c r="A27" s="148"/>
      <c r="B27" s="148"/>
      <c r="C27" s="148"/>
      <c r="D27" s="137">
        <v>43454</v>
      </c>
      <c r="E27" s="137" t="s">
        <v>796</v>
      </c>
      <c r="F27" s="12">
        <v>43466</v>
      </c>
      <c r="G27" s="12">
        <v>43646</v>
      </c>
      <c r="H27" s="149"/>
      <c r="I27" s="73" t="s">
        <v>23</v>
      </c>
      <c r="J27" s="72" t="s">
        <v>23</v>
      </c>
      <c r="K27" s="72" t="s">
        <v>23</v>
      </c>
      <c r="L27" s="5" t="s">
        <v>23</v>
      </c>
      <c r="M27" s="5" t="s">
        <v>23</v>
      </c>
      <c r="N27" s="5" t="s">
        <v>23</v>
      </c>
      <c r="O27" s="13">
        <v>2639.62</v>
      </c>
      <c r="P27" s="16"/>
      <c r="S27" s="18"/>
    </row>
    <row r="28" spans="1:19" s="17" customFormat="1" ht="18.95" customHeight="1" outlineLevel="1" x14ac:dyDescent="0.25">
      <c r="A28" s="147"/>
      <c r="B28" s="147"/>
      <c r="C28" s="148"/>
      <c r="D28" s="141"/>
      <c r="E28" s="141"/>
      <c r="F28" s="12">
        <v>43647</v>
      </c>
      <c r="G28" s="12">
        <v>43830</v>
      </c>
      <c r="H28" s="151"/>
      <c r="I28" s="73" t="s">
        <v>23</v>
      </c>
      <c r="J28" s="72" t="s">
        <v>23</v>
      </c>
      <c r="K28" s="72" t="s">
        <v>23</v>
      </c>
      <c r="L28" s="5" t="s">
        <v>23</v>
      </c>
      <c r="M28" s="5" t="s">
        <v>23</v>
      </c>
      <c r="N28" s="5" t="s">
        <v>23</v>
      </c>
      <c r="O28" s="13">
        <v>2639.62</v>
      </c>
      <c r="P28" s="16"/>
      <c r="S28" s="18"/>
    </row>
    <row r="29" spans="1:19" s="17" customFormat="1" ht="18.95" customHeight="1" outlineLevel="1" x14ac:dyDescent="0.25">
      <c r="A29" s="146" t="s">
        <v>170</v>
      </c>
      <c r="B29" s="146" t="s">
        <v>627</v>
      </c>
      <c r="C29" s="148"/>
      <c r="D29" s="137">
        <v>42723</v>
      </c>
      <c r="E29" s="137" t="s">
        <v>689</v>
      </c>
      <c r="F29" s="12">
        <v>43466</v>
      </c>
      <c r="G29" s="12">
        <v>43646</v>
      </c>
      <c r="H29" s="149" t="s">
        <v>795</v>
      </c>
      <c r="I29" s="13">
        <v>3273.55</v>
      </c>
      <c r="J29" s="72" t="s">
        <v>23</v>
      </c>
      <c r="K29" s="72" t="s">
        <v>23</v>
      </c>
      <c r="L29" s="5" t="s">
        <v>23</v>
      </c>
      <c r="M29" s="5" t="s">
        <v>23</v>
      </c>
      <c r="N29" s="5" t="s">
        <v>23</v>
      </c>
      <c r="O29" s="73" t="s">
        <v>23</v>
      </c>
      <c r="P29" s="16"/>
      <c r="S29" s="18"/>
    </row>
    <row r="30" spans="1:19" s="17" customFormat="1" ht="18.95" customHeight="1" outlineLevel="1" x14ac:dyDescent="0.25">
      <c r="A30" s="148"/>
      <c r="B30" s="148"/>
      <c r="C30" s="148"/>
      <c r="D30" s="141"/>
      <c r="E30" s="141"/>
      <c r="F30" s="12">
        <v>43647</v>
      </c>
      <c r="G30" s="12">
        <v>43830</v>
      </c>
      <c r="H30" s="151"/>
      <c r="I30" s="13">
        <v>3410.16</v>
      </c>
      <c r="J30" s="72" t="s">
        <v>23</v>
      </c>
      <c r="K30" s="72" t="s">
        <v>23</v>
      </c>
      <c r="L30" s="5" t="s">
        <v>23</v>
      </c>
      <c r="M30" s="5" t="s">
        <v>23</v>
      </c>
      <c r="N30" s="5" t="s">
        <v>23</v>
      </c>
      <c r="O30" s="73" t="s">
        <v>23</v>
      </c>
      <c r="P30" s="16"/>
      <c r="S30" s="18"/>
    </row>
    <row r="31" spans="1:19" s="17" customFormat="1" ht="18.95" customHeight="1" outlineLevel="1" x14ac:dyDescent="0.25">
      <c r="A31" s="148"/>
      <c r="B31" s="148"/>
      <c r="C31" s="148"/>
      <c r="D31" s="137">
        <v>43454</v>
      </c>
      <c r="E31" s="137" t="s">
        <v>796</v>
      </c>
      <c r="F31" s="12">
        <v>43466</v>
      </c>
      <c r="G31" s="12">
        <v>43646</v>
      </c>
      <c r="H31" s="149"/>
      <c r="I31" s="73" t="s">
        <v>23</v>
      </c>
      <c r="J31" s="72" t="s">
        <v>23</v>
      </c>
      <c r="K31" s="72" t="s">
        <v>23</v>
      </c>
      <c r="L31" s="5" t="s">
        <v>23</v>
      </c>
      <c r="M31" s="5" t="s">
        <v>23</v>
      </c>
      <c r="N31" s="5" t="s">
        <v>23</v>
      </c>
      <c r="O31" s="13">
        <v>2639.62</v>
      </c>
      <c r="P31" s="16"/>
      <c r="S31" s="18"/>
    </row>
    <row r="32" spans="1:19" s="17" customFormat="1" ht="18.95" customHeight="1" outlineLevel="1" x14ac:dyDescent="0.25">
      <c r="A32" s="147"/>
      <c r="B32" s="147"/>
      <c r="C32" s="148"/>
      <c r="D32" s="141"/>
      <c r="E32" s="141"/>
      <c r="F32" s="12">
        <v>43647</v>
      </c>
      <c r="G32" s="12">
        <v>43830</v>
      </c>
      <c r="H32" s="151"/>
      <c r="I32" s="15" t="s">
        <v>23</v>
      </c>
      <c r="J32" s="14" t="s">
        <v>23</v>
      </c>
      <c r="K32" s="14" t="s">
        <v>23</v>
      </c>
      <c r="L32" s="5" t="s">
        <v>23</v>
      </c>
      <c r="M32" s="5" t="s">
        <v>23</v>
      </c>
      <c r="N32" s="5" t="s">
        <v>23</v>
      </c>
      <c r="O32" s="13">
        <v>2639.62</v>
      </c>
      <c r="P32" s="16"/>
      <c r="S32" s="18"/>
    </row>
    <row r="33" spans="1:19" s="17" customFormat="1" ht="18.95" customHeight="1" outlineLevel="1" x14ac:dyDescent="0.25">
      <c r="A33" s="146" t="s">
        <v>170</v>
      </c>
      <c r="B33" s="146" t="s">
        <v>141</v>
      </c>
      <c r="C33" s="148"/>
      <c r="D33" s="137">
        <v>42723</v>
      </c>
      <c r="E33" s="137" t="s">
        <v>695</v>
      </c>
      <c r="F33" s="12">
        <v>43466</v>
      </c>
      <c r="G33" s="12">
        <v>43646</v>
      </c>
      <c r="H33" s="149" t="s">
        <v>797</v>
      </c>
      <c r="I33" s="13">
        <v>2019.3</v>
      </c>
      <c r="J33" s="14" t="s">
        <v>23</v>
      </c>
      <c r="K33" s="14" t="s">
        <v>23</v>
      </c>
      <c r="L33" s="5" t="s">
        <v>23</v>
      </c>
      <c r="M33" s="5" t="s">
        <v>23</v>
      </c>
      <c r="N33" s="5" t="s">
        <v>23</v>
      </c>
      <c r="O33" s="4" t="s">
        <v>23</v>
      </c>
      <c r="P33" s="16"/>
      <c r="S33" s="18"/>
    </row>
    <row r="34" spans="1:19" s="17" customFormat="1" ht="18.95" customHeight="1" outlineLevel="1" x14ac:dyDescent="0.25">
      <c r="A34" s="148"/>
      <c r="B34" s="148" t="s">
        <v>141</v>
      </c>
      <c r="C34" s="148"/>
      <c r="D34" s="141"/>
      <c r="E34" s="141"/>
      <c r="F34" s="12">
        <v>43647</v>
      </c>
      <c r="G34" s="12">
        <v>43830</v>
      </c>
      <c r="H34" s="147"/>
      <c r="I34" s="13">
        <v>2069.86</v>
      </c>
      <c r="J34" s="14" t="s">
        <v>23</v>
      </c>
      <c r="K34" s="14" t="s">
        <v>23</v>
      </c>
      <c r="L34" s="5" t="s">
        <v>23</v>
      </c>
      <c r="M34" s="5" t="s">
        <v>23</v>
      </c>
      <c r="N34" s="5" t="s">
        <v>23</v>
      </c>
      <c r="O34" s="4" t="s">
        <v>23</v>
      </c>
      <c r="P34" s="16"/>
      <c r="S34" s="18"/>
    </row>
    <row r="35" spans="1:19" s="17" customFormat="1" ht="18.95" customHeight="1" outlineLevel="1" x14ac:dyDescent="0.25">
      <c r="A35" s="148"/>
      <c r="B35" s="148"/>
      <c r="C35" s="148"/>
      <c r="D35" s="137">
        <v>43454</v>
      </c>
      <c r="E35" s="137" t="s">
        <v>796</v>
      </c>
      <c r="F35" s="12">
        <v>43466</v>
      </c>
      <c r="G35" s="12">
        <v>43646</v>
      </c>
      <c r="H35" s="149"/>
      <c r="I35" s="15" t="s">
        <v>23</v>
      </c>
      <c r="J35" s="14" t="s">
        <v>23</v>
      </c>
      <c r="K35" s="14" t="s">
        <v>23</v>
      </c>
      <c r="L35" s="5" t="s">
        <v>23</v>
      </c>
      <c r="M35" s="5" t="s">
        <v>23</v>
      </c>
      <c r="N35" s="5" t="s">
        <v>23</v>
      </c>
      <c r="O35" s="13">
        <v>1494.17</v>
      </c>
      <c r="P35" s="16"/>
      <c r="S35" s="18"/>
    </row>
    <row r="36" spans="1:19" s="17" customFormat="1" ht="18.95" customHeight="1" outlineLevel="1" x14ac:dyDescent="0.25">
      <c r="A36" s="147"/>
      <c r="B36" s="147"/>
      <c r="C36" s="147"/>
      <c r="D36" s="141"/>
      <c r="E36" s="141"/>
      <c r="F36" s="12">
        <v>43647</v>
      </c>
      <c r="G36" s="12">
        <v>43830</v>
      </c>
      <c r="H36" s="151"/>
      <c r="I36" s="15" t="s">
        <v>23</v>
      </c>
      <c r="J36" s="14" t="s">
        <v>23</v>
      </c>
      <c r="K36" s="14" t="s">
        <v>23</v>
      </c>
      <c r="L36" s="5" t="s">
        <v>23</v>
      </c>
      <c r="M36" s="5" t="s">
        <v>23</v>
      </c>
      <c r="N36" s="5" t="s">
        <v>23</v>
      </c>
      <c r="O36" s="13">
        <v>1524.06</v>
      </c>
      <c r="P36" s="16"/>
      <c r="S36" s="18"/>
    </row>
    <row r="37" spans="1:19" s="17" customFormat="1" ht="18.95" customHeight="1" outlineLevel="1" x14ac:dyDescent="0.25">
      <c r="A37" s="146" t="s">
        <v>170</v>
      </c>
      <c r="B37" s="146" t="s">
        <v>173</v>
      </c>
      <c r="C37" s="146" t="s">
        <v>469</v>
      </c>
      <c r="D37" s="137">
        <v>43453</v>
      </c>
      <c r="E37" s="137" t="s">
        <v>690</v>
      </c>
      <c r="F37" s="12">
        <v>43466</v>
      </c>
      <c r="G37" s="12">
        <v>43646</v>
      </c>
      <c r="H37" s="149"/>
      <c r="I37" s="13">
        <v>2711.23</v>
      </c>
      <c r="J37" s="14" t="s">
        <v>23</v>
      </c>
      <c r="K37" s="14" t="s">
        <v>23</v>
      </c>
      <c r="L37" s="5" t="s">
        <v>23</v>
      </c>
      <c r="M37" s="5" t="s">
        <v>23</v>
      </c>
      <c r="N37" s="5" t="s">
        <v>23</v>
      </c>
      <c r="O37" s="15" t="s">
        <v>23</v>
      </c>
      <c r="P37" s="16" t="s">
        <v>29</v>
      </c>
      <c r="S37" s="18"/>
    </row>
    <row r="38" spans="1:19" s="17" customFormat="1" ht="18.95" customHeight="1" outlineLevel="1" x14ac:dyDescent="0.25">
      <c r="A38" s="148"/>
      <c r="B38" s="148"/>
      <c r="C38" s="148"/>
      <c r="D38" s="141"/>
      <c r="E38" s="141"/>
      <c r="F38" s="12">
        <v>43647</v>
      </c>
      <c r="G38" s="12">
        <v>43830</v>
      </c>
      <c r="H38" s="151"/>
      <c r="I38" s="13">
        <v>2744.89</v>
      </c>
      <c r="J38" s="14" t="s">
        <v>23</v>
      </c>
      <c r="K38" s="14" t="s">
        <v>23</v>
      </c>
      <c r="L38" s="5" t="s">
        <v>23</v>
      </c>
      <c r="M38" s="5" t="s">
        <v>23</v>
      </c>
      <c r="N38" s="5" t="s">
        <v>23</v>
      </c>
      <c r="O38" s="15" t="s">
        <v>23</v>
      </c>
      <c r="P38" s="16"/>
      <c r="S38" s="18"/>
    </row>
    <row r="39" spans="1:19" s="17" customFormat="1" ht="18.95" customHeight="1" outlineLevel="1" x14ac:dyDescent="0.25">
      <c r="A39" s="148"/>
      <c r="B39" s="148"/>
      <c r="C39" s="148"/>
      <c r="D39" s="137">
        <v>43454</v>
      </c>
      <c r="E39" s="137" t="s">
        <v>738</v>
      </c>
      <c r="F39" s="12">
        <v>43466</v>
      </c>
      <c r="G39" s="12">
        <v>43646</v>
      </c>
      <c r="H39" s="149" t="s">
        <v>777</v>
      </c>
      <c r="I39" s="15" t="s">
        <v>23</v>
      </c>
      <c r="J39" s="14" t="s">
        <v>23</v>
      </c>
      <c r="K39" s="14" t="s">
        <v>23</v>
      </c>
      <c r="L39" s="5" t="s">
        <v>23</v>
      </c>
      <c r="M39" s="5" t="s">
        <v>23</v>
      </c>
      <c r="N39" s="5" t="s">
        <v>23</v>
      </c>
      <c r="O39" s="13">
        <v>2186.5100000000002</v>
      </c>
      <c r="P39" s="16"/>
      <c r="S39" s="18"/>
    </row>
    <row r="40" spans="1:19" s="17" customFormat="1" ht="18.95" customHeight="1" outlineLevel="1" x14ac:dyDescent="0.25">
      <c r="A40" s="147"/>
      <c r="B40" s="147"/>
      <c r="C40" s="148"/>
      <c r="D40" s="141"/>
      <c r="E40" s="141"/>
      <c r="F40" s="12">
        <v>43647</v>
      </c>
      <c r="G40" s="12">
        <v>43830</v>
      </c>
      <c r="H40" s="151"/>
      <c r="I40" s="15" t="s">
        <v>23</v>
      </c>
      <c r="J40" s="14" t="s">
        <v>23</v>
      </c>
      <c r="K40" s="14" t="s">
        <v>23</v>
      </c>
      <c r="L40" s="5" t="s">
        <v>23</v>
      </c>
      <c r="M40" s="5" t="s">
        <v>23</v>
      </c>
      <c r="N40" s="5" t="s">
        <v>23</v>
      </c>
      <c r="O40" s="13">
        <v>2230.2399999999998</v>
      </c>
      <c r="P40" s="16"/>
      <c r="S40" s="18"/>
    </row>
    <row r="41" spans="1:19" s="17" customFormat="1" ht="18.95" customHeight="1" outlineLevel="1" x14ac:dyDescent="0.25">
      <c r="A41" s="146" t="s">
        <v>170</v>
      </c>
      <c r="B41" s="146" t="s">
        <v>174</v>
      </c>
      <c r="C41" s="148"/>
      <c r="D41" s="137">
        <v>43453</v>
      </c>
      <c r="E41" s="137" t="s">
        <v>690</v>
      </c>
      <c r="F41" s="12">
        <v>43466</v>
      </c>
      <c r="G41" s="12">
        <v>43646</v>
      </c>
      <c r="H41" s="149"/>
      <c r="I41" s="13">
        <v>2711.23</v>
      </c>
      <c r="J41" s="14" t="s">
        <v>23</v>
      </c>
      <c r="K41" s="14" t="s">
        <v>23</v>
      </c>
      <c r="L41" s="5" t="s">
        <v>23</v>
      </c>
      <c r="M41" s="5" t="s">
        <v>23</v>
      </c>
      <c r="N41" s="5" t="s">
        <v>23</v>
      </c>
      <c r="O41" s="15" t="s">
        <v>23</v>
      </c>
      <c r="P41" s="16" t="s">
        <v>29</v>
      </c>
      <c r="S41" s="18"/>
    </row>
    <row r="42" spans="1:19" s="17" customFormat="1" ht="18.95" customHeight="1" outlineLevel="1" x14ac:dyDescent="0.25">
      <c r="A42" s="148"/>
      <c r="B42" s="148"/>
      <c r="C42" s="148"/>
      <c r="D42" s="141"/>
      <c r="E42" s="141"/>
      <c r="F42" s="12">
        <v>43647</v>
      </c>
      <c r="G42" s="12">
        <v>43830</v>
      </c>
      <c r="H42" s="151"/>
      <c r="I42" s="13">
        <v>2744.89</v>
      </c>
      <c r="J42" s="14" t="s">
        <v>23</v>
      </c>
      <c r="K42" s="14" t="s">
        <v>23</v>
      </c>
      <c r="L42" s="5" t="s">
        <v>23</v>
      </c>
      <c r="M42" s="5" t="s">
        <v>23</v>
      </c>
      <c r="N42" s="5" t="s">
        <v>23</v>
      </c>
      <c r="O42" s="15" t="s">
        <v>23</v>
      </c>
      <c r="P42" s="16"/>
      <c r="S42" s="18"/>
    </row>
    <row r="43" spans="1:19" s="17" customFormat="1" ht="18.95" customHeight="1" outlineLevel="1" x14ac:dyDescent="0.25">
      <c r="A43" s="148"/>
      <c r="B43" s="148"/>
      <c r="C43" s="148"/>
      <c r="D43" s="137">
        <v>43454</v>
      </c>
      <c r="E43" s="137" t="s">
        <v>738</v>
      </c>
      <c r="F43" s="12">
        <v>43466</v>
      </c>
      <c r="G43" s="12">
        <v>43646</v>
      </c>
      <c r="H43" s="149" t="s">
        <v>777</v>
      </c>
      <c r="I43" s="15" t="s">
        <v>23</v>
      </c>
      <c r="J43" s="14" t="s">
        <v>23</v>
      </c>
      <c r="K43" s="14" t="s">
        <v>23</v>
      </c>
      <c r="L43" s="5" t="s">
        <v>23</v>
      </c>
      <c r="M43" s="5" t="s">
        <v>23</v>
      </c>
      <c r="N43" s="5" t="s">
        <v>23</v>
      </c>
      <c r="O43" s="13">
        <v>2495.23</v>
      </c>
      <c r="P43" s="16"/>
      <c r="S43" s="18"/>
    </row>
    <row r="44" spans="1:19" s="17" customFormat="1" ht="18.95" customHeight="1" outlineLevel="1" x14ac:dyDescent="0.25">
      <c r="A44" s="147"/>
      <c r="B44" s="147"/>
      <c r="C44" s="147"/>
      <c r="D44" s="141"/>
      <c r="E44" s="141"/>
      <c r="F44" s="12">
        <v>43647</v>
      </c>
      <c r="G44" s="12">
        <v>43830</v>
      </c>
      <c r="H44" s="151"/>
      <c r="I44" s="15" t="s">
        <v>23</v>
      </c>
      <c r="J44" s="14" t="s">
        <v>23</v>
      </c>
      <c r="K44" s="14" t="s">
        <v>23</v>
      </c>
      <c r="L44" s="5" t="s">
        <v>23</v>
      </c>
      <c r="M44" s="5" t="s">
        <v>23</v>
      </c>
      <c r="N44" s="5" t="s">
        <v>23</v>
      </c>
      <c r="O44" s="13">
        <v>2545.13</v>
      </c>
      <c r="P44" s="16"/>
      <c r="S44" s="18"/>
    </row>
    <row r="45" spans="1:19" s="17" customFormat="1" ht="18.95" customHeight="1" outlineLevel="1" x14ac:dyDescent="0.25">
      <c r="A45" s="146" t="s">
        <v>195</v>
      </c>
      <c r="B45" s="146" t="s">
        <v>143</v>
      </c>
      <c r="C45" s="146" t="s">
        <v>628</v>
      </c>
      <c r="D45" s="137">
        <v>43454</v>
      </c>
      <c r="E45" s="137" t="s">
        <v>629</v>
      </c>
      <c r="F45" s="12">
        <v>43466</v>
      </c>
      <c r="G45" s="12">
        <v>43646</v>
      </c>
      <c r="H45" s="142"/>
      <c r="I45" s="13">
        <v>700.56</v>
      </c>
      <c r="J45" s="14" t="s">
        <v>23</v>
      </c>
      <c r="K45" s="14" t="s">
        <v>23</v>
      </c>
      <c r="L45" s="5" t="s">
        <v>23</v>
      </c>
      <c r="M45" s="5" t="s">
        <v>23</v>
      </c>
      <c r="N45" s="5" t="s">
        <v>23</v>
      </c>
      <c r="O45" s="15" t="s">
        <v>85</v>
      </c>
      <c r="P45" s="144" t="s">
        <v>631</v>
      </c>
      <c r="S45" s="18"/>
    </row>
    <row r="46" spans="1:19" s="17" customFormat="1" ht="18.95" customHeight="1" outlineLevel="1" x14ac:dyDescent="0.25">
      <c r="A46" s="147"/>
      <c r="B46" s="147"/>
      <c r="C46" s="147"/>
      <c r="D46" s="141"/>
      <c r="E46" s="141"/>
      <c r="F46" s="12">
        <v>43647</v>
      </c>
      <c r="G46" s="12">
        <v>43830</v>
      </c>
      <c r="H46" s="143"/>
      <c r="I46" s="13">
        <v>714.58</v>
      </c>
      <c r="J46" s="14" t="s">
        <v>23</v>
      </c>
      <c r="K46" s="14" t="s">
        <v>23</v>
      </c>
      <c r="L46" s="5" t="s">
        <v>23</v>
      </c>
      <c r="M46" s="5" t="s">
        <v>23</v>
      </c>
      <c r="N46" s="5" t="s">
        <v>23</v>
      </c>
      <c r="O46" s="15" t="s">
        <v>85</v>
      </c>
      <c r="P46" s="145"/>
      <c r="S46" s="18"/>
    </row>
    <row r="47" spans="1:19" s="17" customFormat="1" ht="18.95" customHeight="1" outlineLevel="1" x14ac:dyDescent="0.25">
      <c r="A47" s="146" t="s">
        <v>195</v>
      </c>
      <c r="B47" s="146" t="s">
        <v>141</v>
      </c>
      <c r="C47" s="146" t="s">
        <v>142</v>
      </c>
      <c r="D47" s="137">
        <v>43454</v>
      </c>
      <c r="E47" s="137" t="s">
        <v>630</v>
      </c>
      <c r="F47" s="12">
        <v>43466</v>
      </c>
      <c r="G47" s="12">
        <v>43646</v>
      </c>
      <c r="H47" s="142"/>
      <c r="I47" s="13">
        <v>769.06</v>
      </c>
      <c r="J47" s="14" t="s">
        <v>23</v>
      </c>
      <c r="K47" s="14" t="s">
        <v>23</v>
      </c>
      <c r="L47" s="5" t="s">
        <v>23</v>
      </c>
      <c r="M47" s="5" t="s">
        <v>23</v>
      </c>
      <c r="N47" s="5" t="s">
        <v>23</v>
      </c>
      <c r="O47" s="15" t="s">
        <v>85</v>
      </c>
      <c r="P47" s="144" t="s">
        <v>631</v>
      </c>
      <c r="S47" s="18"/>
    </row>
    <row r="48" spans="1:19" s="17" customFormat="1" ht="18.95" customHeight="1" outlineLevel="1" x14ac:dyDescent="0.25">
      <c r="A48" s="148"/>
      <c r="B48" s="148"/>
      <c r="C48" s="148"/>
      <c r="D48" s="138"/>
      <c r="E48" s="138"/>
      <c r="F48" s="12">
        <v>43647</v>
      </c>
      <c r="G48" s="12">
        <v>43830</v>
      </c>
      <c r="H48" s="143"/>
      <c r="I48" s="13">
        <v>784.44</v>
      </c>
      <c r="J48" s="14" t="s">
        <v>23</v>
      </c>
      <c r="K48" s="14" t="s">
        <v>23</v>
      </c>
      <c r="L48" s="5" t="s">
        <v>23</v>
      </c>
      <c r="M48" s="5" t="s">
        <v>23</v>
      </c>
      <c r="N48" s="5" t="s">
        <v>23</v>
      </c>
      <c r="O48" s="15" t="s">
        <v>85</v>
      </c>
      <c r="P48" s="145"/>
      <c r="S48" s="18"/>
    </row>
    <row r="49" spans="1:19" s="17" customFormat="1" ht="18.95" customHeight="1" outlineLevel="1" x14ac:dyDescent="0.25">
      <c r="A49" s="148"/>
      <c r="B49" s="148"/>
      <c r="C49" s="148"/>
      <c r="D49" s="138"/>
      <c r="E49" s="138"/>
      <c r="F49" s="12">
        <v>43466</v>
      </c>
      <c r="G49" s="12">
        <v>43646</v>
      </c>
      <c r="H49" s="71"/>
      <c r="I49" s="13">
        <v>789.63</v>
      </c>
      <c r="J49" s="72"/>
      <c r="K49" s="72"/>
      <c r="L49" s="5"/>
      <c r="M49" s="5"/>
      <c r="N49" s="5"/>
      <c r="O49" s="73"/>
      <c r="P49" s="144" t="s">
        <v>632</v>
      </c>
      <c r="S49" s="18"/>
    </row>
    <row r="50" spans="1:19" s="17" customFormat="1" ht="18.95" customHeight="1" outlineLevel="1" x14ac:dyDescent="0.25">
      <c r="A50" s="147"/>
      <c r="B50" s="147"/>
      <c r="C50" s="147"/>
      <c r="D50" s="141"/>
      <c r="E50" s="141"/>
      <c r="F50" s="12">
        <v>43647</v>
      </c>
      <c r="G50" s="12">
        <v>43830</v>
      </c>
      <c r="H50" s="71"/>
      <c r="I50" s="13">
        <v>805.24</v>
      </c>
      <c r="J50" s="72"/>
      <c r="K50" s="72"/>
      <c r="L50" s="5"/>
      <c r="M50" s="5"/>
      <c r="N50" s="5"/>
      <c r="O50" s="73"/>
      <c r="P50" s="145"/>
      <c r="S50" s="18"/>
    </row>
    <row r="51" spans="1:19" s="10" customFormat="1" ht="18.95" customHeight="1" x14ac:dyDescent="0.25">
      <c r="A51" s="6">
        <v>2</v>
      </c>
      <c r="B51" s="6" t="s">
        <v>146</v>
      </c>
      <c r="C51" s="7"/>
      <c r="D51" s="7"/>
      <c r="E51" s="7"/>
      <c r="F51" s="7"/>
      <c r="G51" s="7"/>
      <c r="H51" s="7"/>
      <c r="I51" s="8"/>
      <c r="J51" s="7"/>
      <c r="K51" s="7"/>
      <c r="L51" s="7"/>
      <c r="M51" s="7"/>
      <c r="N51" s="7"/>
      <c r="O51" s="8"/>
      <c r="P51" s="9"/>
      <c r="S51" s="11"/>
    </row>
    <row r="52" spans="1:19" s="17" customFormat="1" ht="18.95" customHeight="1" outlineLevel="1" x14ac:dyDescent="0.25">
      <c r="A52" s="146" t="s">
        <v>48</v>
      </c>
      <c r="B52" s="146" t="s">
        <v>49</v>
      </c>
      <c r="C52" s="146" t="s">
        <v>448</v>
      </c>
      <c r="D52" s="137">
        <v>43083</v>
      </c>
      <c r="E52" s="137" t="s">
        <v>608</v>
      </c>
      <c r="F52" s="12">
        <v>43466</v>
      </c>
      <c r="G52" s="12">
        <v>43646</v>
      </c>
      <c r="H52" s="142" t="s">
        <v>807</v>
      </c>
      <c r="I52" s="13">
        <v>2872.24</v>
      </c>
      <c r="J52" s="14" t="s">
        <v>23</v>
      </c>
      <c r="K52" s="14" t="s">
        <v>23</v>
      </c>
      <c r="L52" s="5" t="s">
        <v>23</v>
      </c>
      <c r="M52" s="5" t="s">
        <v>23</v>
      </c>
      <c r="N52" s="5" t="s">
        <v>23</v>
      </c>
      <c r="O52" s="4" t="s">
        <v>23</v>
      </c>
      <c r="P52" s="144" t="s">
        <v>331</v>
      </c>
      <c r="S52" s="18"/>
    </row>
    <row r="53" spans="1:19" s="17" customFormat="1" ht="18.95" customHeight="1" outlineLevel="1" x14ac:dyDescent="0.25">
      <c r="A53" s="148"/>
      <c r="B53" s="148"/>
      <c r="C53" s="148"/>
      <c r="D53" s="141"/>
      <c r="E53" s="141"/>
      <c r="F53" s="12">
        <v>43647</v>
      </c>
      <c r="G53" s="12">
        <v>43830</v>
      </c>
      <c r="H53" s="143"/>
      <c r="I53" s="13">
        <v>3270.55</v>
      </c>
      <c r="J53" s="14" t="s">
        <v>23</v>
      </c>
      <c r="K53" s="14" t="s">
        <v>23</v>
      </c>
      <c r="L53" s="5" t="s">
        <v>23</v>
      </c>
      <c r="M53" s="5" t="s">
        <v>23</v>
      </c>
      <c r="N53" s="5" t="s">
        <v>23</v>
      </c>
      <c r="O53" s="4" t="s">
        <v>23</v>
      </c>
      <c r="P53" s="158"/>
      <c r="S53" s="18"/>
    </row>
    <row r="54" spans="1:19" s="17" customFormat="1" ht="18.95" customHeight="1" outlineLevel="1" x14ac:dyDescent="0.25">
      <c r="A54" s="148"/>
      <c r="B54" s="148"/>
      <c r="C54" s="148"/>
      <c r="D54" s="137">
        <v>43454</v>
      </c>
      <c r="E54" s="137" t="s">
        <v>808</v>
      </c>
      <c r="F54" s="12">
        <v>43466</v>
      </c>
      <c r="G54" s="12">
        <v>43646</v>
      </c>
      <c r="H54" s="149"/>
      <c r="I54" s="15" t="s">
        <v>23</v>
      </c>
      <c r="J54" s="14" t="s">
        <v>23</v>
      </c>
      <c r="K54" s="14" t="s">
        <v>23</v>
      </c>
      <c r="L54" s="5" t="s">
        <v>23</v>
      </c>
      <c r="M54" s="5" t="s">
        <v>23</v>
      </c>
      <c r="N54" s="5" t="s">
        <v>23</v>
      </c>
      <c r="O54" s="13">
        <v>2794.23</v>
      </c>
      <c r="P54" s="158"/>
      <c r="Q54" s="17">
        <f>O54/1.2</f>
        <v>2328.5250000000001</v>
      </c>
      <c r="S54" s="18"/>
    </row>
    <row r="55" spans="1:19" s="17" customFormat="1" ht="18.95" customHeight="1" outlineLevel="1" x14ac:dyDescent="0.25">
      <c r="A55" s="148"/>
      <c r="B55" s="148"/>
      <c r="C55" s="147"/>
      <c r="D55" s="141"/>
      <c r="E55" s="141"/>
      <c r="F55" s="12">
        <v>43647</v>
      </c>
      <c r="G55" s="12">
        <v>43830</v>
      </c>
      <c r="H55" s="151"/>
      <c r="I55" s="15" t="s">
        <v>23</v>
      </c>
      <c r="J55" s="14" t="s">
        <v>23</v>
      </c>
      <c r="K55" s="14" t="s">
        <v>23</v>
      </c>
      <c r="L55" s="5" t="s">
        <v>23</v>
      </c>
      <c r="M55" s="5" t="s">
        <v>23</v>
      </c>
      <c r="N55" s="5" t="s">
        <v>23</v>
      </c>
      <c r="O55" s="13">
        <v>2794.23</v>
      </c>
      <c r="P55" s="145"/>
      <c r="Q55" s="17">
        <f>O55/1.2</f>
        <v>2328.5250000000001</v>
      </c>
      <c r="S55" s="18"/>
    </row>
    <row r="56" spans="1:19" s="17" customFormat="1" ht="18.95" customHeight="1" outlineLevel="1" x14ac:dyDescent="0.25">
      <c r="A56" s="146" t="s">
        <v>310</v>
      </c>
      <c r="B56" s="146" t="s">
        <v>190</v>
      </c>
      <c r="C56" s="146" t="s">
        <v>197</v>
      </c>
      <c r="D56" s="137">
        <v>43454</v>
      </c>
      <c r="E56" s="137" t="s">
        <v>633</v>
      </c>
      <c r="F56" s="12">
        <v>43466</v>
      </c>
      <c r="G56" s="12">
        <v>43646</v>
      </c>
      <c r="H56" s="142"/>
      <c r="I56" s="13">
        <v>1197.04</v>
      </c>
      <c r="J56" s="14" t="s">
        <v>23</v>
      </c>
      <c r="K56" s="14" t="s">
        <v>23</v>
      </c>
      <c r="L56" s="5" t="s">
        <v>23</v>
      </c>
      <c r="M56" s="5" t="s">
        <v>23</v>
      </c>
      <c r="N56" s="5" t="s">
        <v>23</v>
      </c>
      <c r="O56" s="15" t="s">
        <v>85</v>
      </c>
      <c r="P56" s="139"/>
      <c r="S56" s="18"/>
    </row>
    <row r="57" spans="1:19" s="17" customFormat="1" ht="18.95" customHeight="1" outlineLevel="1" x14ac:dyDescent="0.25">
      <c r="A57" s="148"/>
      <c r="B57" s="148"/>
      <c r="C57" s="148"/>
      <c r="D57" s="141"/>
      <c r="E57" s="141"/>
      <c r="F57" s="12">
        <v>43647</v>
      </c>
      <c r="G57" s="12">
        <v>43830</v>
      </c>
      <c r="H57" s="143"/>
      <c r="I57" s="13">
        <v>1243.5</v>
      </c>
      <c r="J57" s="14" t="s">
        <v>23</v>
      </c>
      <c r="K57" s="14" t="s">
        <v>23</v>
      </c>
      <c r="L57" s="5" t="s">
        <v>23</v>
      </c>
      <c r="M57" s="5" t="s">
        <v>23</v>
      </c>
      <c r="N57" s="5" t="s">
        <v>23</v>
      </c>
      <c r="O57" s="15" t="s">
        <v>85</v>
      </c>
      <c r="P57" s="140"/>
      <c r="S57" s="18"/>
    </row>
    <row r="58" spans="1:19" s="17" customFormat="1" ht="18.95" customHeight="1" outlineLevel="1" x14ac:dyDescent="0.25">
      <c r="A58" s="148"/>
      <c r="B58" s="148"/>
      <c r="C58" s="148"/>
      <c r="D58" s="137">
        <v>43454</v>
      </c>
      <c r="E58" s="137" t="s">
        <v>606</v>
      </c>
      <c r="F58" s="12">
        <v>43466</v>
      </c>
      <c r="G58" s="12">
        <v>43646</v>
      </c>
      <c r="H58" s="142"/>
      <c r="I58" s="15" t="s">
        <v>23</v>
      </c>
      <c r="J58" s="14" t="s">
        <v>23</v>
      </c>
      <c r="K58" s="14" t="s">
        <v>23</v>
      </c>
      <c r="L58" s="5" t="s">
        <v>23</v>
      </c>
      <c r="M58" s="5" t="s">
        <v>23</v>
      </c>
      <c r="N58" s="5" t="s">
        <v>23</v>
      </c>
      <c r="O58" s="13">
        <v>1436.45</v>
      </c>
      <c r="P58" s="144" t="s">
        <v>444</v>
      </c>
      <c r="Q58" s="17">
        <f t="shared" ref="Q58:Q119" si="0">O58/1.2</f>
        <v>1197.0416666666667</v>
      </c>
      <c r="S58" s="18"/>
    </row>
    <row r="59" spans="1:19" s="17" customFormat="1" ht="18.95" customHeight="1" outlineLevel="1" x14ac:dyDescent="0.25">
      <c r="A59" s="148"/>
      <c r="B59" s="148"/>
      <c r="C59" s="148"/>
      <c r="D59" s="138"/>
      <c r="E59" s="138"/>
      <c r="F59" s="12">
        <v>43647</v>
      </c>
      <c r="G59" s="12">
        <v>43830</v>
      </c>
      <c r="H59" s="143"/>
      <c r="I59" s="15" t="s">
        <v>23</v>
      </c>
      <c r="J59" s="14" t="s">
        <v>23</v>
      </c>
      <c r="K59" s="14" t="s">
        <v>23</v>
      </c>
      <c r="L59" s="5" t="s">
        <v>23</v>
      </c>
      <c r="M59" s="5" t="s">
        <v>23</v>
      </c>
      <c r="N59" s="5" t="s">
        <v>23</v>
      </c>
      <c r="O59" s="13">
        <v>1465.18</v>
      </c>
      <c r="P59" s="145"/>
      <c r="Q59" s="17">
        <f t="shared" si="0"/>
        <v>1220.9833333333333</v>
      </c>
      <c r="S59" s="18"/>
    </row>
    <row r="60" spans="1:19" s="17" customFormat="1" ht="18.95" customHeight="1" outlineLevel="1" x14ac:dyDescent="0.25">
      <c r="A60" s="148"/>
      <c r="B60" s="148"/>
      <c r="C60" s="148"/>
      <c r="D60" s="138"/>
      <c r="E60" s="138"/>
      <c r="F60" s="12">
        <v>43466</v>
      </c>
      <c r="G60" s="12">
        <v>43646</v>
      </c>
      <c r="H60" s="149"/>
      <c r="I60" s="15" t="s">
        <v>23</v>
      </c>
      <c r="J60" s="14" t="s">
        <v>23</v>
      </c>
      <c r="K60" s="14" t="s">
        <v>23</v>
      </c>
      <c r="L60" s="5" t="s">
        <v>23</v>
      </c>
      <c r="M60" s="5" t="s">
        <v>23</v>
      </c>
      <c r="N60" s="5" t="s">
        <v>23</v>
      </c>
      <c r="O60" s="13">
        <v>1200.8399999999999</v>
      </c>
      <c r="P60" s="144" t="s">
        <v>452</v>
      </c>
      <c r="Q60" s="17">
        <f t="shared" si="0"/>
        <v>1000.6999999999999</v>
      </c>
      <c r="S60" s="18"/>
    </row>
    <row r="61" spans="1:19" s="17" customFormat="1" ht="18.95" customHeight="1" outlineLevel="1" x14ac:dyDescent="0.25">
      <c r="A61" s="147"/>
      <c r="B61" s="147"/>
      <c r="C61" s="148"/>
      <c r="D61" s="141"/>
      <c r="E61" s="141"/>
      <c r="F61" s="12">
        <v>43647</v>
      </c>
      <c r="G61" s="12">
        <v>43830</v>
      </c>
      <c r="H61" s="151"/>
      <c r="I61" s="15" t="s">
        <v>23</v>
      </c>
      <c r="J61" s="14" t="s">
        <v>23</v>
      </c>
      <c r="K61" s="14" t="s">
        <v>23</v>
      </c>
      <c r="L61" s="5" t="s">
        <v>23</v>
      </c>
      <c r="M61" s="5" t="s">
        <v>23</v>
      </c>
      <c r="N61" s="5" t="s">
        <v>23</v>
      </c>
      <c r="O61" s="13">
        <v>1224.8599999999999</v>
      </c>
      <c r="P61" s="145"/>
      <c r="Q61" s="17">
        <f t="shared" si="0"/>
        <v>1020.7166666666666</v>
      </c>
      <c r="S61" s="18"/>
    </row>
    <row r="62" spans="1:19" s="17" customFormat="1" ht="18.95" customHeight="1" outlineLevel="1" x14ac:dyDescent="0.25">
      <c r="A62" s="146" t="s">
        <v>310</v>
      </c>
      <c r="B62" s="146" t="s">
        <v>191</v>
      </c>
      <c r="C62" s="146" t="s">
        <v>197</v>
      </c>
      <c r="D62" s="137">
        <v>43454</v>
      </c>
      <c r="E62" s="137" t="s">
        <v>633</v>
      </c>
      <c r="F62" s="12">
        <v>43466</v>
      </c>
      <c r="G62" s="12">
        <v>43646</v>
      </c>
      <c r="H62" s="142"/>
      <c r="I62" s="13">
        <v>1197.04</v>
      </c>
      <c r="J62" s="14" t="s">
        <v>23</v>
      </c>
      <c r="K62" s="14" t="s">
        <v>23</v>
      </c>
      <c r="L62" s="5" t="s">
        <v>23</v>
      </c>
      <c r="M62" s="5" t="s">
        <v>23</v>
      </c>
      <c r="N62" s="5" t="s">
        <v>23</v>
      </c>
      <c r="O62" s="15" t="s">
        <v>85</v>
      </c>
      <c r="P62" s="139"/>
      <c r="S62" s="18"/>
    </row>
    <row r="63" spans="1:19" s="17" customFormat="1" ht="18.95" customHeight="1" outlineLevel="1" x14ac:dyDescent="0.25">
      <c r="A63" s="148"/>
      <c r="B63" s="148"/>
      <c r="C63" s="148"/>
      <c r="D63" s="141"/>
      <c r="E63" s="141"/>
      <c r="F63" s="12">
        <v>43647</v>
      </c>
      <c r="G63" s="12">
        <v>43830</v>
      </c>
      <c r="H63" s="143"/>
      <c r="I63" s="13">
        <v>1243.5</v>
      </c>
      <c r="J63" s="14" t="s">
        <v>23</v>
      </c>
      <c r="K63" s="14" t="s">
        <v>23</v>
      </c>
      <c r="L63" s="5" t="s">
        <v>23</v>
      </c>
      <c r="M63" s="5" t="s">
        <v>23</v>
      </c>
      <c r="N63" s="5" t="s">
        <v>23</v>
      </c>
      <c r="O63" s="15" t="s">
        <v>85</v>
      </c>
      <c r="P63" s="140"/>
      <c r="S63" s="18"/>
    </row>
    <row r="64" spans="1:19" s="17" customFormat="1" ht="18.95" customHeight="1" outlineLevel="1" x14ac:dyDescent="0.25">
      <c r="A64" s="148"/>
      <c r="B64" s="148"/>
      <c r="C64" s="148"/>
      <c r="D64" s="137">
        <v>43454</v>
      </c>
      <c r="E64" s="137" t="s">
        <v>606</v>
      </c>
      <c r="F64" s="12">
        <v>43466</v>
      </c>
      <c r="G64" s="12">
        <v>43646</v>
      </c>
      <c r="H64" s="149"/>
      <c r="I64" s="15" t="s">
        <v>23</v>
      </c>
      <c r="J64" s="14" t="s">
        <v>23</v>
      </c>
      <c r="K64" s="14" t="s">
        <v>23</v>
      </c>
      <c r="L64" s="5" t="s">
        <v>23</v>
      </c>
      <c r="M64" s="5" t="s">
        <v>23</v>
      </c>
      <c r="N64" s="5" t="s">
        <v>23</v>
      </c>
      <c r="O64" s="13">
        <v>1369.82</v>
      </c>
      <c r="P64" s="144" t="s">
        <v>444</v>
      </c>
      <c r="Q64" s="17">
        <f t="shared" si="0"/>
        <v>1141.5166666666667</v>
      </c>
      <c r="S64" s="18"/>
    </row>
    <row r="65" spans="1:19" s="17" customFormat="1" ht="18.95" customHeight="1" outlineLevel="1" x14ac:dyDescent="0.25">
      <c r="A65" s="148"/>
      <c r="B65" s="148"/>
      <c r="C65" s="148"/>
      <c r="D65" s="138"/>
      <c r="E65" s="138"/>
      <c r="F65" s="12">
        <v>43647</v>
      </c>
      <c r="G65" s="12">
        <v>43830</v>
      </c>
      <c r="H65" s="151"/>
      <c r="I65" s="15" t="s">
        <v>23</v>
      </c>
      <c r="J65" s="14" t="s">
        <v>23</v>
      </c>
      <c r="K65" s="14" t="s">
        <v>23</v>
      </c>
      <c r="L65" s="5" t="s">
        <v>23</v>
      </c>
      <c r="M65" s="5" t="s">
        <v>23</v>
      </c>
      <c r="N65" s="5" t="s">
        <v>23</v>
      </c>
      <c r="O65" s="13">
        <v>1397.22</v>
      </c>
      <c r="P65" s="145"/>
      <c r="Q65" s="17">
        <f t="shared" si="0"/>
        <v>1164.3500000000001</v>
      </c>
      <c r="S65" s="18"/>
    </row>
    <row r="66" spans="1:19" s="17" customFormat="1" ht="18.95" customHeight="1" outlineLevel="1" x14ac:dyDescent="0.25">
      <c r="A66" s="148"/>
      <c r="B66" s="148"/>
      <c r="C66" s="148"/>
      <c r="D66" s="138"/>
      <c r="E66" s="138"/>
      <c r="F66" s="12">
        <v>43466</v>
      </c>
      <c r="G66" s="12">
        <v>43646</v>
      </c>
      <c r="H66" s="149"/>
      <c r="I66" s="15" t="s">
        <v>23</v>
      </c>
      <c r="J66" s="14" t="s">
        <v>23</v>
      </c>
      <c r="K66" s="14" t="s">
        <v>23</v>
      </c>
      <c r="L66" s="5" t="s">
        <v>23</v>
      </c>
      <c r="M66" s="5" t="s">
        <v>23</v>
      </c>
      <c r="N66" s="5" t="s">
        <v>23</v>
      </c>
      <c r="O66" s="13">
        <v>1200.8399999999999</v>
      </c>
      <c r="P66" s="144" t="s">
        <v>452</v>
      </c>
      <c r="Q66" s="17">
        <f t="shared" si="0"/>
        <v>1000.6999999999999</v>
      </c>
      <c r="S66" s="18"/>
    </row>
    <row r="67" spans="1:19" s="17" customFormat="1" ht="18.95" customHeight="1" outlineLevel="1" x14ac:dyDescent="0.25">
      <c r="A67" s="147"/>
      <c r="B67" s="147"/>
      <c r="C67" s="148"/>
      <c r="D67" s="141"/>
      <c r="E67" s="141"/>
      <c r="F67" s="12">
        <v>43647</v>
      </c>
      <c r="G67" s="12">
        <v>43830</v>
      </c>
      <c r="H67" s="151"/>
      <c r="I67" s="15" t="s">
        <v>23</v>
      </c>
      <c r="J67" s="14" t="s">
        <v>23</v>
      </c>
      <c r="K67" s="14" t="s">
        <v>23</v>
      </c>
      <c r="L67" s="5" t="s">
        <v>23</v>
      </c>
      <c r="M67" s="5" t="s">
        <v>23</v>
      </c>
      <c r="N67" s="5" t="s">
        <v>23</v>
      </c>
      <c r="O67" s="13">
        <v>1224.8599999999999</v>
      </c>
      <c r="P67" s="145"/>
      <c r="Q67" s="17">
        <f t="shared" si="0"/>
        <v>1020.7166666666666</v>
      </c>
      <c r="S67" s="18"/>
    </row>
    <row r="68" spans="1:19" s="17" customFormat="1" ht="18.95" customHeight="1" outlineLevel="1" x14ac:dyDescent="0.25">
      <c r="A68" s="146" t="s">
        <v>310</v>
      </c>
      <c r="B68" s="146" t="s">
        <v>192</v>
      </c>
      <c r="C68" s="146" t="s">
        <v>197</v>
      </c>
      <c r="D68" s="137">
        <v>43454</v>
      </c>
      <c r="E68" s="137" t="s">
        <v>634</v>
      </c>
      <c r="F68" s="12">
        <v>43466</v>
      </c>
      <c r="G68" s="12">
        <v>43646</v>
      </c>
      <c r="H68" s="149"/>
      <c r="I68" s="20">
        <v>1425.13</v>
      </c>
      <c r="J68" s="14" t="s">
        <v>23</v>
      </c>
      <c r="K68" s="14" t="s">
        <v>23</v>
      </c>
      <c r="L68" s="5" t="s">
        <v>23</v>
      </c>
      <c r="M68" s="5" t="s">
        <v>23</v>
      </c>
      <c r="N68" s="5" t="s">
        <v>23</v>
      </c>
      <c r="O68" s="15" t="s">
        <v>85</v>
      </c>
      <c r="P68" s="139"/>
      <c r="S68" s="18"/>
    </row>
    <row r="69" spans="1:19" s="17" customFormat="1" ht="18.95" customHeight="1" outlineLevel="1" x14ac:dyDescent="0.25">
      <c r="A69" s="148"/>
      <c r="B69" s="148"/>
      <c r="C69" s="148"/>
      <c r="D69" s="141"/>
      <c r="E69" s="138"/>
      <c r="F69" s="12">
        <v>43647</v>
      </c>
      <c r="G69" s="12">
        <v>43830</v>
      </c>
      <c r="H69" s="150"/>
      <c r="I69" s="20">
        <v>1453.63</v>
      </c>
      <c r="J69" s="14" t="s">
        <v>23</v>
      </c>
      <c r="K69" s="14" t="s">
        <v>23</v>
      </c>
      <c r="L69" s="5" t="s">
        <v>23</v>
      </c>
      <c r="M69" s="5" t="s">
        <v>23</v>
      </c>
      <c r="N69" s="5" t="s">
        <v>23</v>
      </c>
      <c r="O69" s="21" t="s">
        <v>85</v>
      </c>
      <c r="P69" s="140"/>
      <c r="S69" s="18"/>
    </row>
    <row r="70" spans="1:19" s="17" customFormat="1" ht="18.95" customHeight="1" outlineLevel="1" x14ac:dyDescent="0.25">
      <c r="A70" s="148"/>
      <c r="B70" s="148"/>
      <c r="C70" s="148"/>
      <c r="D70" s="137">
        <v>43454</v>
      </c>
      <c r="E70" s="156" t="s">
        <v>606</v>
      </c>
      <c r="F70" s="12">
        <v>43466</v>
      </c>
      <c r="G70" s="12">
        <v>43646</v>
      </c>
      <c r="H70" s="149"/>
      <c r="I70" s="15" t="s">
        <v>23</v>
      </c>
      <c r="J70" s="14" t="s">
        <v>23</v>
      </c>
      <c r="K70" s="14" t="s">
        <v>23</v>
      </c>
      <c r="L70" s="5" t="s">
        <v>23</v>
      </c>
      <c r="M70" s="5" t="s">
        <v>23</v>
      </c>
      <c r="N70" s="5" t="s">
        <v>23</v>
      </c>
      <c r="O70" s="13">
        <v>1710.15</v>
      </c>
      <c r="P70" s="144" t="s">
        <v>444</v>
      </c>
      <c r="Q70" s="17">
        <f t="shared" si="0"/>
        <v>1425.1250000000002</v>
      </c>
      <c r="S70" s="18"/>
    </row>
    <row r="71" spans="1:19" s="17" customFormat="1" ht="18.95" customHeight="1" outlineLevel="1" x14ac:dyDescent="0.25">
      <c r="A71" s="148"/>
      <c r="B71" s="148"/>
      <c r="C71" s="148"/>
      <c r="D71" s="138"/>
      <c r="E71" s="156"/>
      <c r="F71" s="12">
        <v>43647</v>
      </c>
      <c r="G71" s="12">
        <v>43830</v>
      </c>
      <c r="H71" s="151"/>
      <c r="I71" s="15" t="s">
        <v>23</v>
      </c>
      <c r="J71" s="14" t="s">
        <v>23</v>
      </c>
      <c r="K71" s="14" t="s">
        <v>23</v>
      </c>
      <c r="L71" s="5" t="s">
        <v>23</v>
      </c>
      <c r="M71" s="5" t="s">
        <v>23</v>
      </c>
      <c r="N71" s="5" t="s">
        <v>23</v>
      </c>
      <c r="O71" s="13">
        <v>1744.36</v>
      </c>
      <c r="P71" s="145"/>
      <c r="Q71" s="17">
        <f t="shared" si="0"/>
        <v>1453.6333333333332</v>
      </c>
      <c r="S71" s="18"/>
    </row>
    <row r="72" spans="1:19" s="17" customFormat="1" ht="18.95" customHeight="1" outlineLevel="1" x14ac:dyDescent="0.25">
      <c r="A72" s="148"/>
      <c r="B72" s="148"/>
      <c r="C72" s="148"/>
      <c r="D72" s="138"/>
      <c r="E72" s="156"/>
      <c r="F72" s="12">
        <v>43466</v>
      </c>
      <c r="G72" s="12">
        <v>43646</v>
      </c>
      <c r="H72" s="149"/>
      <c r="I72" s="15" t="s">
        <v>23</v>
      </c>
      <c r="J72" s="14" t="s">
        <v>23</v>
      </c>
      <c r="K72" s="14" t="s">
        <v>23</v>
      </c>
      <c r="L72" s="5" t="s">
        <v>23</v>
      </c>
      <c r="M72" s="5" t="s">
        <v>23</v>
      </c>
      <c r="N72" s="5" t="s">
        <v>23</v>
      </c>
      <c r="O72" s="13">
        <v>1425.14</v>
      </c>
      <c r="P72" s="144" t="s">
        <v>453</v>
      </c>
      <c r="Q72" s="17">
        <f t="shared" si="0"/>
        <v>1187.6166666666668</v>
      </c>
      <c r="S72" s="18"/>
    </row>
    <row r="73" spans="1:19" s="17" customFormat="1" ht="18.95" customHeight="1" outlineLevel="1" x14ac:dyDescent="0.25">
      <c r="A73" s="148"/>
      <c r="B73" s="148"/>
      <c r="C73" s="148"/>
      <c r="D73" s="138"/>
      <c r="E73" s="156"/>
      <c r="F73" s="12">
        <v>43647</v>
      </c>
      <c r="G73" s="12">
        <v>43830</v>
      </c>
      <c r="H73" s="151"/>
      <c r="I73" s="15" t="s">
        <v>23</v>
      </c>
      <c r="J73" s="14" t="s">
        <v>23</v>
      </c>
      <c r="K73" s="14" t="s">
        <v>23</v>
      </c>
      <c r="L73" s="5" t="s">
        <v>23</v>
      </c>
      <c r="M73" s="5" t="s">
        <v>23</v>
      </c>
      <c r="N73" s="5" t="s">
        <v>23</v>
      </c>
      <c r="O73" s="13">
        <v>1453.65</v>
      </c>
      <c r="P73" s="145"/>
      <c r="Q73" s="17">
        <f t="shared" si="0"/>
        <v>1211.3750000000002</v>
      </c>
      <c r="S73" s="18"/>
    </row>
    <row r="74" spans="1:19" s="17" customFormat="1" ht="18.95" customHeight="1" outlineLevel="1" x14ac:dyDescent="0.25">
      <c r="A74" s="148"/>
      <c r="B74" s="148"/>
      <c r="C74" s="148"/>
      <c r="D74" s="138"/>
      <c r="E74" s="156"/>
      <c r="F74" s="12">
        <v>43466</v>
      </c>
      <c r="G74" s="12">
        <v>43646</v>
      </c>
      <c r="H74" s="149"/>
      <c r="I74" s="15" t="s">
        <v>23</v>
      </c>
      <c r="J74" s="14" t="s">
        <v>23</v>
      </c>
      <c r="K74" s="14" t="s">
        <v>23</v>
      </c>
      <c r="L74" s="5" t="s">
        <v>23</v>
      </c>
      <c r="M74" s="5" t="s">
        <v>23</v>
      </c>
      <c r="N74" s="5" t="s">
        <v>23</v>
      </c>
      <c r="O74" s="13">
        <v>1424.3</v>
      </c>
      <c r="P74" s="144" t="s">
        <v>454</v>
      </c>
      <c r="Q74" s="17">
        <f t="shared" si="0"/>
        <v>1186.9166666666667</v>
      </c>
      <c r="S74" s="18"/>
    </row>
    <row r="75" spans="1:19" s="17" customFormat="1" ht="18.95" customHeight="1" outlineLevel="1" x14ac:dyDescent="0.25">
      <c r="A75" s="147"/>
      <c r="B75" s="147"/>
      <c r="C75" s="148"/>
      <c r="D75" s="141"/>
      <c r="E75" s="156"/>
      <c r="F75" s="12">
        <v>43647</v>
      </c>
      <c r="G75" s="12">
        <v>43830</v>
      </c>
      <c r="H75" s="151"/>
      <c r="I75" s="15" t="s">
        <v>23</v>
      </c>
      <c r="J75" s="14" t="s">
        <v>23</v>
      </c>
      <c r="K75" s="14" t="s">
        <v>23</v>
      </c>
      <c r="L75" s="5" t="s">
        <v>23</v>
      </c>
      <c r="M75" s="5" t="s">
        <v>23</v>
      </c>
      <c r="N75" s="5" t="s">
        <v>23</v>
      </c>
      <c r="O75" s="13">
        <v>1452.78</v>
      </c>
      <c r="P75" s="145"/>
      <c r="Q75" s="17">
        <f t="shared" si="0"/>
        <v>1210.6500000000001</v>
      </c>
      <c r="S75" s="18"/>
    </row>
    <row r="76" spans="1:19" s="17" customFormat="1" ht="18.95" customHeight="1" outlineLevel="1" x14ac:dyDescent="0.25">
      <c r="A76" s="146" t="s">
        <v>48</v>
      </c>
      <c r="B76" s="146" t="s">
        <v>199</v>
      </c>
      <c r="C76" s="146" t="s">
        <v>200</v>
      </c>
      <c r="D76" s="137">
        <v>43454</v>
      </c>
      <c r="E76" s="137" t="s">
        <v>603</v>
      </c>
      <c r="F76" s="12">
        <v>43466</v>
      </c>
      <c r="G76" s="12">
        <v>43646</v>
      </c>
      <c r="H76" s="142"/>
      <c r="I76" s="13">
        <v>1315.95</v>
      </c>
      <c r="J76" s="14" t="s">
        <v>23</v>
      </c>
      <c r="K76" s="14" t="s">
        <v>23</v>
      </c>
      <c r="L76" s="5" t="s">
        <v>23</v>
      </c>
      <c r="M76" s="5" t="s">
        <v>23</v>
      </c>
      <c r="N76" s="5" t="s">
        <v>23</v>
      </c>
      <c r="O76" s="4" t="s">
        <v>23</v>
      </c>
      <c r="P76" s="144" t="s">
        <v>396</v>
      </c>
      <c r="S76" s="18"/>
    </row>
    <row r="77" spans="1:19" s="17" customFormat="1" ht="18.95" customHeight="1" outlineLevel="1" x14ac:dyDescent="0.25">
      <c r="A77" s="148" t="s">
        <v>48</v>
      </c>
      <c r="B77" s="148" t="s">
        <v>199</v>
      </c>
      <c r="C77" s="148"/>
      <c r="D77" s="141"/>
      <c r="E77" s="141"/>
      <c r="F77" s="12">
        <v>43647</v>
      </c>
      <c r="G77" s="12">
        <v>43830</v>
      </c>
      <c r="H77" s="143"/>
      <c r="I77" s="13">
        <v>2224.66</v>
      </c>
      <c r="J77" s="14" t="s">
        <v>23</v>
      </c>
      <c r="K77" s="14" t="s">
        <v>23</v>
      </c>
      <c r="L77" s="5" t="s">
        <v>23</v>
      </c>
      <c r="M77" s="5" t="s">
        <v>23</v>
      </c>
      <c r="N77" s="5" t="s">
        <v>23</v>
      </c>
      <c r="O77" s="4" t="s">
        <v>23</v>
      </c>
      <c r="P77" s="145"/>
      <c r="S77" s="18"/>
    </row>
    <row r="78" spans="1:19" s="17" customFormat="1" ht="18.95" customHeight="1" outlineLevel="1" x14ac:dyDescent="0.25">
      <c r="A78" s="146" t="s">
        <v>48</v>
      </c>
      <c r="B78" s="146" t="s">
        <v>199</v>
      </c>
      <c r="C78" s="146" t="s">
        <v>209</v>
      </c>
      <c r="D78" s="137">
        <v>43818</v>
      </c>
      <c r="E78" s="137" t="s">
        <v>676</v>
      </c>
      <c r="F78" s="12">
        <v>43466</v>
      </c>
      <c r="G78" s="12">
        <v>43646</v>
      </c>
      <c r="H78" s="142"/>
      <c r="I78" s="13">
        <v>1429.98</v>
      </c>
      <c r="J78" s="14" t="s">
        <v>23</v>
      </c>
      <c r="K78" s="14" t="s">
        <v>23</v>
      </c>
      <c r="L78" s="5" t="s">
        <v>23</v>
      </c>
      <c r="M78" s="5" t="s">
        <v>23</v>
      </c>
      <c r="N78" s="5" t="s">
        <v>23</v>
      </c>
      <c r="O78" s="4" t="s">
        <v>23</v>
      </c>
      <c r="P78" s="139"/>
      <c r="S78" s="18"/>
    </row>
    <row r="79" spans="1:19" s="17" customFormat="1" ht="18.95" customHeight="1" outlineLevel="1" x14ac:dyDescent="0.25">
      <c r="A79" s="148" t="s">
        <v>48</v>
      </c>
      <c r="B79" s="148" t="s">
        <v>199</v>
      </c>
      <c r="C79" s="148" t="s">
        <v>209</v>
      </c>
      <c r="D79" s="141"/>
      <c r="E79" s="141"/>
      <c r="F79" s="12">
        <v>43647</v>
      </c>
      <c r="G79" s="12">
        <v>43830</v>
      </c>
      <c r="H79" s="143"/>
      <c r="I79" s="13">
        <v>1458.32</v>
      </c>
      <c r="J79" s="14" t="s">
        <v>23</v>
      </c>
      <c r="K79" s="14" t="s">
        <v>23</v>
      </c>
      <c r="L79" s="5" t="s">
        <v>23</v>
      </c>
      <c r="M79" s="5" t="s">
        <v>23</v>
      </c>
      <c r="N79" s="5" t="s">
        <v>23</v>
      </c>
      <c r="O79" s="4" t="s">
        <v>23</v>
      </c>
      <c r="P79" s="140"/>
      <c r="S79" s="18"/>
    </row>
    <row r="80" spans="1:19" s="17" customFormat="1" ht="18.95" customHeight="1" outlineLevel="1" x14ac:dyDescent="0.25">
      <c r="A80" s="148"/>
      <c r="B80" s="148"/>
      <c r="C80" s="148"/>
      <c r="D80" s="137">
        <v>43454</v>
      </c>
      <c r="E80" s="137" t="s">
        <v>606</v>
      </c>
      <c r="F80" s="12">
        <v>43466</v>
      </c>
      <c r="G80" s="12">
        <v>43646</v>
      </c>
      <c r="H80" s="149"/>
      <c r="I80" s="15" t="s">
        <v>23</v>
      </c>
      <c r="J80" s="14" t="s">
        <v>23</v>
      </c>
      <c r="K80" s="14" t="s">
        <v>23</v>
      </c>
      <c r="L80" s="5" t="s">
        <v>23</v>
      </c>
      <c r="M80" s="5" t="s">
        <v>23</v>
      </c>
      <c r="N80" s="5" t="s">
        <v>23</v>
      </c>
      <c r="O80" s="13">
        <v>1571.21</v>
      </c>
      <c r="P80" s="139"/>
      <c r="Q80" s="17">
        <f t="shared" si="0"/>
        <v>1309.3416666666667</v>
      </c>
      <c r="S80" s="18"/>
    </row>
    <row r="81" spans="1:20" s="17" customFormat="1" ht="18.95" customHeight="1" outlineLevel="1" x14ac:dyDescent="0.25">
      <c r="A81" s="147"/>
      <c r="B81" s="147"/>
      <c r="C81" s="147"/>
      <c r="D81" s="141"/>
      <c r="E81" s="141"/>
      <c r="F81" s="12">
        <v>43647</v>
      </c>
      <c r="G81" s="12">
        <v>43830</v>
      </c>
      <c r="H81" s="151"/>
      <c r="I81" s="15" t="s">
        <v>23</v>
      </c>
      <c r="J81" s="14" t="s">
        <v>23</v>
      </c>
      <c r="K81" s="14" t="s">
        <v>23</v>
      </c>
      <c r="L81" s="5" t="s">
        <v>23</v>
      </c>
      <c r="M81" s="5" t="s">
        <v>23</v>
      </c>
      <c r="N81" s="5" t="s">
        <v>23</v>
      </c>
      <c r="O81" s="13">
        <v>1602.63</v>
      </c>
      <c r="P81" s="140"/>
      <c r="Q81" s="17">
        <f t="shared" si="0"/>
        <v>1335.5250000000001</v>
      </c>
      <c r="S81" s="18"/>
    </row>
    <row r="82" spans="1:20" s="17" customFormat="1" ht="18.95" customHeight="1" outlineLevel="1" x14ac:dyDescent="0.25">
      <c r="A82" s="146" t="s">
        <v>48</v>
      </c>
      <c r="B82" s="146" t="s">
        <v>199</v>
      </c>
      <c r="C82" s="146" t="s">
        <v>344</v>
      </c>
      <c r="D82" s="137">
        <v>43434</v>
      </c>
      <c r="E82" s="137" t="s">
        <v>604</v>
      </c>
      <c r="F82" s="12">
        <v>43466</v>
      </c>
      <c r="G82" s="12">
        <v>43646</v>
      </c>
      <c r="H82" s="149"/>
      <c r="I82" s="13">
        <v>1823.41</v>
      </c>
      <c r="J82" s="14" t="s">
        <v>23</v>
      </c>
      <c r="K82" s="14" t="s">
        <v>23</v>
      </c>
      <c r="L82" s="5" t="s">
        <v>23</v>
      </c>
      <c r="M82" s="5" t="s">
        <v>23</v>
      </c>
      <c r="N82" s="5" t="s">
        <v>23</v>
      </c>
      <c r="O82" s="22"/>
      <c r="P82" s="169" t="s">
        <v>29</v>
      </c>
      <c r="Q82" s="17">
        <f t="shared" si="0"/>
        <v>0</v>
      </c>
      <c r="S82" s="18"/>
    </row>
    <row r="83" spans="1:20" s="17" customFormat="1" ht="18.95" customHeight="1" outlineLevel="1" x14ac:dyDescent="0.25">
      <c r="A83" s="148" t="s">
        <v>48</v>
      </c>
      <c r="B83" s="148" t="s">
        <v>199</v>
      </c>
      <c r="C83" s="148" t="s">
        <v>218</v>
      </c>
      <c r="D83" s="141"/>
      <c r="E83" s="141"/>
      <c r="F83" s="12">
        <v>43647</v>
      </c>
      <c r="G83" s="12">
        <v>43830</v>
      </c>
      <c r="H83" s="150"/>
      <c r="I83" s="13">
        <v>1850.75</v>
      </c>
      <c r="J83" s="14" t="s">
        <v>23</v>
      </c>
      <c r="K83" s="14" t="s">
        <v>23</v>
      </c>
      <c r="L83" s="5" t="s">
        <v>23</v>
      </c>
      <c r="M83" s="5" t="s">
        <v>23</v>
      </c>
      <c r="N83" s="5" t="s">
        <v>23</v>
      </c>
      <c r="O83" s="22"/>
      <c r="P83" s="152"/>
      <c r="Q83" s="17">
        <f t="shared" si="0"/>
        <v>0</v>
      </c>
      <c r="S83" s="18"/>
    </row>
    <row r="84" spans="1:20" s="17" customFormat="1" ht="18.95" customHeight="1" outlineLevel="1" x14ac:dyDescent="0.25">
      <c r="A84" s="146" t="s">
        <v>48</v>
      </c>
      <c r="B84" s="146" t="s">
        <v>240</v>
      </c>
      <c r="C84" s="146" t="s">
        <v>201</v>
      </c>
      <c r="D84" s="137">
        <v>43427</v>
      </c>
      <c r="E84" s="137" t="s">
        <v>605</v>
      </c>
      <c r="F84" s="12">
        <v>43466</v>
      </c>
      <c r="G84" s="12">
        <v>43646</v>
      </c>
      <c r="H84" s="149"/>
      <c r="I84" s="13">
        <v>2102.63</v>
      </c>
      <c r="J84" s="14" t="s">
        <v>23</v>
      </c>
      <c r="K84" s="14" t="s">
        <v>23</v>
      </c>
      <c r="L84" s="5" t="s">
        <v>23</v>
      </c>
      <c r="M84" s="5" t="s">
        <v>23</v>
      </c>
      <c r="N84" s="5" t="s">
        <v>23</v>
      </c>
      <c r="O84" s="4" t="s">
        <v>23</v>
      </c>
      <c r="P84" s="169" t="s">
        <v>29</v>
      </c>
      <c r="Q84" s="17" t="e">
        <f t="shared" si="0"/>
        <v>#VALUE!</v>
      </c>
      <c r="S84" s="18"/>
    </row>
    <row r="85" spans="1:20" s="17" customFormat="1" ht="18.95" customHeight="1" outlineLevel="1" x14ac:dyDescent="0.25">
      <c r="A85" s="148" t="s">
        <v>48</v>
      </c>
      <c r="B85" s="148"/>
      <c r="C85" s="148"/>
      <c r="D85" s="141"/>
      <c r="E85" s="141"/>
      <c r="F85" s="12">
        <v>43647</v>
      </c>
      <c r="G85" s="12">
        <v>43830</v>
      </c>
      <c r="H85" s="150"/>
      <c r="I85" s="13">
        <v>2144.69</v>
      </c>
      <c r="J85" s="14" t="s">
        <v>23</v>
      </c>
      <c r="K85" s="14" t="s">
        <v>23</v>
      </c>
      <c r="L85" s="5" t="s">
        <v>23</v>
      </c>
      <c r="M85" s="5" t="s">
        <v>23</v>
      </c>
      <c r="N85" s="5" t="s">
        <v>23</v>
      </c>
      <c r="O85" s="4" t="s">
        <v>23</v>
      </c>
      <c r="P85" s="152"/>
      <c r="Q85" s="17" t="e">
        <f t="shared" si="0"/>
        <v>#VALUE!</v>
      </c>
      <c r="S85" s="18"/>
    </row>
    <row r="86" spans="1:20" s="17" customFormat="1" ht="18.95" customHeight="1" outlineLevel="1" x14ac:dyDescent="0.25">
      <c r="A86" s="148"/>
      <c r="B86" s="148"/>
      <c r="C86" s="148"/>
      <c r="D86" s="137">
        <v>43454</v>
      </c>
      <c r="E86" s="137" t="s">
        <v>606</v>
      </c>
      <c r="F86" s="12">
        <v>43466</v>
      </c>
      <c r="G86" s="12">
        <v>43646</v>
      </c>
      <c r="H86" s="149"/>
      <c r="I86" s="15" t="s">
        <v>23</v>
      </c>
      <c r="J86" s="14" t="s">
        <v>23</v>
      </c>
      <c r="K86" s="14" t="s">
        <v>23</v>
      </c>
      <c r="L86" s="5" t="s">
        <v>23</v>
      </c>
      <c r="M86" s="5" t="s">
        <v>23</v>
      </c>
      <c r="N86" s="5" t="s">
        <v>23</v>
      </c>
      <c r="O86" s="13">
        <v>1831.43</v>
      </c>
      <c r="P86" s="169" t="s">
        <v>29</v>
      </c>
      <c r="Q86" s="17">
        <f t="shared" si="0"/>
        <v>1526.1916666666668</v>
      </c>
      <c r="S86" s="18"/>
    </row>
    <row r="87" spans="1:20" s="17" customFormat="1" ht="18.95" customHeight="1" outlineLevel="1" x14ac:dyDescent="0.25">
      <c r="A87" s="147"/>
      <c r="B87" s="147"/>
      <c r="C87" s="147"/>
      <c r="D87" s="141"/>
      <c r="E87" s="141"/>
      <c r="F87" s="12">
        <v>43647</v>
      </c>
      <c r="G87" s="12">
        <v>43830</v>
      </c>
      <c r="H87" s="151"/>
      <c r="I87" s="15" t="s">
        <v>23</v>
      </c>
      <c r="J87" s="14" t="s">
        <v>23</v>
      </c>
      <c r="K87" s="14" t="s">
        <v>23</v>
      </c>
      <c r="L87" s="5" t="s">
        <v>23</v>
      </c>
      <c r="M87" s="5" t="s">
        <v>23</v>
      </c>
      <c r="N87" s="5" t="s">
        <v>23</v>
      </c>
      <c r="O87" s="13">
        <v>1868.06</v>
      </c>
      <c r="P87" s="152"/>
      <c r="Q87" s="17">
        <f t="shared" si="0"/>
        <v>1556.7166666666667</v>
      </c>
      <c r="S87" s="18"/>
    </row>
    <row r="88" spans="1:20" s="17" customFormat="1" ht="18.95" customHeight="1" outlineLevel="1" x14ac:dyDescent="0.25">
      <c r="A88" s="146" t="s">
        <v>48</v>
      </c>
      <c r="B88" s="146" t="s">
        <v>459</v>
      </c>
      <c r="C88" s="146" t="s">
        <v>202</v>
      </c>
      <c r="D88" s="137">
        <v>43454</v>
      </c>
      <c r="E88" s="137" t="s">
        <v>755</v>
      </c>
      <c r="F88" s="12">
        <v>43466</v>
      </c>
      <c r="G88" s="12">
        <v>43646</v>
      </c>
      <c r="H88" s="142"/>
      <c r="I88" s="13">
        <v>1887.75</v>
      </c>
      <c r="J88" s="14" t="s">
        <v>23</v>
      </c>
      <c r="K88" s="14" t="s">
        <v>23</v>
      </c>
      <c r="L88" s="5" t="s">
        <v>23</v>
      </c>
      <c r="M88" s="5" t="s">
        <v>23</v>
      </c>
      <c r="N88" s="5" t="s">
        <v>23</v>
      </c>
      <c r="O88" s="4" t="s">
        <v>23</v>
      </c>
      <c r="P88" s="139"/>
      <c r="Q88" s="17" t="e">
        <f t="shared" si="0"/>
        <v>#VALUE!</v>
      </c>
      <c r="S88" s="18"/>
    </row>
    <row r="89" spans="1:20" s="17" customFormat="1" ht="18.95" customHeight="1" outlineLevel="1" x14ac:dyDescent="0.25">
      <c r="A89" s="148"/>
      <c r="B89" s="148"/>
      <c r="C89" s="148"/>
      <c r="D89" s="141"/>
      <c r="E89" s="141"/>
      <c r="F89" s="12">
        <v>43647</v>
      </c>
      <c r="G89" s="12">
        <v>43830</v>
      </c>
      <c r="H89" s="143"/>
      <c r="I89" s="13">
        <v>1963.79</v>
      </c>
      <c r="J89" s="14" t="s">
        <v>23</v>
      </c>
      <c r="K89" s="14" t="s">
        <v>23</v>
      </c>
      <c r="L89" s="5" t="s">
        <v>23</v>
      </c>
      <c r="M89" s="5" t="s">
        <v>23</v>
      </c>
      <c r="N89" s="5" t="s">
        <v>23</v>
      </c>
      <c r="O89" s="4" t="s">
        <v>23</v>
      </c>
      <c r="P89" s="140"/>
      <c r="Q89" s="17" t="e">
        <f t="shared" si="0"/>
        <v>#VALUE!</v>
      </c>
      <c r="S89" s="18"/>
    </row>
    <row r="90" spans="1:20" s="17" customFormat="1" ht="18.95" customHeight="1" outlineLevel="1" x14ac:dyDescent="0.25">
      <c r="A90" s="148"/>
      <c r="B90" s="148"/>
      <c r="C90" s="148"/>
      <c r="D90" s="137">
        <v>43454</v>
      </c>
      <c r="E90" s="137" t="s">
        <v>606</v>
      </c>
      <c r="F90" s="12">
        <v>43466</v>
      </c>
      <c r="G90" s="12">
        <v>43646</v>
      </c>
      <c r="H90" s="149"/>
      <c r="I90" s="15" t="s">
        <v>23</v>
      </c>
      <c r="J90" s="14" t="s">
        <v>23</v>
      </c>
      <c r="K90" s="14" t="s">
        <v>23</v>
      </c>
      <c r="L90" s="5" t="s">
        <v>23</v>
      </c>
      <c r="M90" s="5" t="s">
        <v>23</v>
      </c>
      <c r="N90" s="5" t="s">
        <v>23</v>
      </c>
      <c r="O90" s="13">
        <v>2111.0300000000002</v>
      </c>
      <c r="P90" s="144" t="s">
        <v>444</v>
      </c>
      <c r="Q90" s="17">
        <f t="shared" si="0"/>
        <v>1759.1916666666668</v>
      </c>
      <c r="R90" s="17">
        <f>O90/1.2</f>
        <v>1759.1916666666668</v>
      </c>
      <c r="S90" s="18">
        <f>I88-R90</f>
        <v>128.55833333333317</v>
      </c>
      <c r="T90" s="17">
        <f>S90*5389.169</f>
        <v>692822.58469166572</v>
      </c>
    </row>
    <row r="91" spans="1:20" s="17" customFormat="1" ht="18.95" customHeight="1" outlineLevel="1" x14ac:dyDescent="0.25">
      <c r="A91" s="148"/>
      <c r="B91" s="148"/>
      <c r="C91" s="148"/>
      <c r="D91" s="138"/>
      <c r="E91" s="138"/>
      <c r="F91" s="12">
        <v>43647</v>
      </c>
      <c r="G91" s="12">
        <v>43830</v>
      </c>
      <c r="H91" s="150"/>
      <c r="I91" s="15" t="s">
        <v>23</v>
      </c>
      <c r="J91" s="14" t="s">
        <v>23</v>
      </c>
      <c r="K91" s="14" t="s">
        <v>23</v>
      </c>
      <c r="L91" s="5" t="s">
        <v>23</v>
      </c>
      <c r="M91" s="5" t="s">
        <v>23</v>
      </c>
      <c r="N91" s="5" t="s">
        <v>23</v>
      </c>
      <c r="O91" s="13">
        <v>2153.25</v>
      </c>
      <c r="P91" s="145"/>
      <c r="Q91" s="17">
        <f t="shared" si="0"/>
        <v>1794.375</v>
      </c>
      <c r="R91" s="17">
        <f t="shared" ref="R91:R99" si="1">O91/1.2</f>
        <v>1794.375</v>
      </c>
      <c r="S91" s="18"/>
    </row>
    <row r="92" spans="1:20" s="17" customFormat="1" ht="18.95" customHeight="1" outlineLevel="1" x14ac:dyDescent="0.25">
      <c r="A92" s="148"/>
      <c r="B92" s="148"/>
      <c r="C92" s="148"/>
      <c r="D92" s="138"/>
      <c r="E92" s="138"/>
      <c r="F92" s="12">
        <v>43466</v>
      </c>
      <c r="G92" s="12">
        <v>43646</v>
      </c>
      <c r="H92" s="150"/>
      <c r="I92" s="15" t="s">
        <v>23</v>
      </c>
      <c r="J92" s="14" t="s">
        <v>23</v>
      </c>
      <c r="K92" s="14" t="s">
        <v>23</v>
      </c>
      <c r="L92" s="5" t="s">
        <v>23</v>
      </c>
      <c r="M92" s="5" t="s">
        <v>23</v>
      </c>
      <c r="N92" s="5" t="s">
        <v>23</v>
      </c>
      <c r="O92" s="13">
        <v>1556.28</v>
      </c>
      <c r="P92" s="144" t="s">
        <v>470</v>
      </c>
      <c r="Q92" s="17">
        <f t="shared" si="0"/>
        <v>1296.9000000000001</v>
      </c>
      <c r="R92" s="17">
        <f t="shared" si="1"/>
        <v>1296.9000000000001</v>
      </c>
      <c r="S92" s="18">
        <f>I88-R92</f>
        <v>590.84999999999991</v>
      </c>
      <c r="T92" s="128">
        <f>S92*423.627</f>
        <v>250300.01294999997</v>
      </c>
    </row>
    <row r="93" spans="1:20" s="17" customFormat="1" ht="18.95" customHeight="1" outlineLevel="1" x14ac:dyDescent="0.25">
      <c r="A93" s="148"/>
      <c r="B93" s="148"/>
      <c r="C93" s="148"/>
      <c r="D93" s="138"/>
      <c r="E93" s="138"/>
      <c r="F93" s="12">
        <v>43647</v>
      </c>
      <c r="G93" s="12">
        <v>43830</v>
      </c>
      <c r="H93" s="151"/>
      <c r="I93" s="15" t="s">
        <v>23</v>
      </c>
      <c r="J93" s="14" t="s">
        <v>23</v>
      </c>
      <c r="K93" s="14" t="s">
        <v>23</v>
      </c>
      <c r="L93" s="5" t="s">
        <v>23</v>
      </c>
      <c r="M93" s="5" t="s">
        <v>23</v>
      </c>
      <c r="N93" s="5" t="s">
        <v>23</v>
      </c>
      <c r="O93" s="13">
        <v>1587.41</v>
      </c>
      <c r="P93" s="145"/>
      <c r="Q93" s="17">
        <f t="shared" si="0"/>
        <v>1322.8416666666667</v>
      </c>
      <c r="R93" s="17">
        <f t="shared" si="1"/>
        <v>1322.8416666666667</v>
      </c>
      <c r="S93" s="18"/>
    </row>
    <row r="94" spans="1:20" s="17" customFormat="1" ht="18.95" customHeight="1" outlineLevel="1" x14ac:dyDescent="0.25">
      <c r="A94" s="148"/>
      <c r="B94" s="148"/>
      <c r="C94" s="148"/>
      <c r="D94" s="138"/>
      <c r="E94" s="138"/>
      <c r="F94" s="12">
        <v>43466</v>
      </c>
      <c r="G94" s="12">
        <v>43646</v>
      </c>
      <c r="H94" s="23"/>
      <c r="I94" s="15" t="s">
        <v>23</v>
      </c>
      <c r="J94" s="14" t="s">
        <v>23</v>
      </c>
      <c r="K94" s="14" t="s">
        <v>23</v>
      </c>
      <c r="L94" s="5" t="s">
        <v>23</v>
      </c>
      <c r="M94" s="5" t="s">
        <v>23</v>
      </c>
      <c r="N94" s="5" t="s">
        <v>23</v>
      </c>
      <c r="O94" s="13">
        <v>1697.76</v>
      </c>
      <c r="P94" s="144" t="s">
        <v>471</v>
      </c>
      <c r="Q94" s="17">
        <f t="shared" si="0"/>
        <v>1414.8</v>
      </c>
      <c r="R94" s="17">
        <f t="shared" si="1"/>
        <v>1414.8</v>
      </c>
      <c r="S94" s="18">
        <f>I88-R94</f>
        <v>472.95000000000005</v>
      </c>
      <c r="T94" s="128">
        <f>S94*526.319</f>
        <v>248922.57105</v>
      </c>
    </row>
    <row r="95" spans="1:20" s="17" customFormat="1" ht="18.95" customHeight="1" outlineLevel="1" x14ac:dyDescent="0.25">
      <c r="A95" s="148"/>
      <c r="B95" s="148"/>
      <c r="C95" s="148"/>
      <c r="D95" s="138"/>
      <c r="E95" s="138"/>
      <c r="F95" s="12">
        <v>43647</v>
      </c>
      <c r="G95" s="12">
        <v>43830</v>
      </c>
      <c r="H95" s="3"/>
      <c r="I95" s="15" t="s">
        <v>23</v>
      </c>
      <c r="J95" s="14" t="s">
        <v>23</v>
      </c>
      <c r="K95" s="14" t="s">
        <v>23</v>
      </c>
      <c r="L95" s="5" t="s">
        <v>23</v>
      </c>
      <c r="M95" s="5" t="s">
        <v>23</v>
      </c>
      <c r="N95" s="5" t="s">
        <v>23</v>
      </c>
      <c r="O95" s="13">
        <v>1731.72</v>
      </c>
      <c r="P95" s="145"/>
      <c r="Q95" s="17">
        <f t="shared" si="0"/>
        <v>1443.1000000000001</v>
      </c>
      <c r="R95" s="17">
        <f t="shared" si="1"/>
        <v>1443.1000000000001</v>
      </c>
      <c r="S95" s="18"/>
    </row>
    <row r="96" spans="1:20" s="17" customFormat="1" ht="18.95" customHeight="1" outlineLevel="1" x14ac:dyDescent="0.25">
      <c r="A96" s="148"/>
      <c r="B96" s="148"/>
      <c r="C96" s="148"/>
      <c r="D96" s="138"/>
      <c r="E96" s="138"/>
      <c r="F96" s="12">
        <v>43466</v>
      </c>
      <c r="G96" s="12">
        <v>43646</v>
      </c>
      <c r="H96" s="106"/>
      <c r="I96" s="110" t="s">
        <v>23</v>
      </c>
      <c r="J96" s="107"/>
      <c r="K96" s="107"/>
      <c r="L96" s="108"/>
      <c r="M96" s="108"/>
      <c r="N96" s="108"/>
      <c r="O96" s="13">
        <v>1836.93</v>
      </c>
      <c r="P96" s="144" t="s">
        <v>756</v>
      </c>
      <c r="Q96" s="17">
        <f t="shared" si="0"/>
        <v>1530.7750000000001</v>
      </c>
      <c r="R96" s="17">
        <f t="shared" si="1"/>
        <v>1530.7750000000001</v>
      </c>
      <c r="S96" s="18">
        <f>I88-R96</f>
        <v>356.97499999999991</v>
      </c>
      <c r="T96" s="128">
        <f>S96*75.849</f>
        <v>27076.196774999993</v>
      </c>
    </row>
    <row r="97" spans="1:20" s="17" customFormat="1" ht="18.95" customHeight="1" outlineLevel="1" x14ac:dyDescent="0.25">
      <c r="A97" s="148"/>
      <c r="B97" s="148"/>
      <c r="C97" s="148"/>
      <c r="D97" s="138"/>
      <c r="E97" s="138"/>
      <c r="F97" s="12">
        <v>43647</v>
      </c>
      <c r="G97" s="12">
        <v>43830</v>
      </c>
      <c r="H97" s="106"/>
      <c r="I97" s="110" t="s">
        <v>23</v>
      </c>
      <c r="J97" s="107"/>
      <c r="K97" s="107"/>
      <c r="L97" s="108"/>
      <c r="M97" s="108"/>
      <c r="N97" s="108"/>
      <c r="O97" s="13">
        <v>1873.67</v>
      </c>
      <c r="P97" s="145"/>
      <c r="Q97" s="17">
        <f t="shared" si="0"/>
        <v>1561.3916666666669</v>
      </c>
      <c r="R97" s="17">
        <f t="shared" si="1"/>
        <v>1561.3916666666669</v>
      </c>
      <c r="S97" s="18"/>
    </row>
    <row r="98" spans="1:20" s="17" customFormat="1" ht="18.95" customHeight="1" outlineLevel="1" x14ac:dyDescent="0.25">
      <c r="A98" s="148"/>
      <c r="B98" s="148"/>
      <c r="C98" s="148"/>
      <c r="D98" s="138"/>
      <c r="E98" s="138"/>
      <c r="F98" s="12">
        <v>43466</v>
      </c>
      <c r="G98" s="12">
        <v>43646</v>
      </c>
      <c r="H98" s="23"/>
      <c r="I98" s="15" t="s">
        <v>23</v>
      </c>
      <c r="J98" s="14" t="s">
        <v>23</v>
      </c>
      <c r="K98" s="14" t="s">
        <v>23</v>
      </c>
      <c r="L98" s="5" t="s">
        <v>23</v>
      </c>
      <c r="M98" s="5" t="s">
        <v>23</v>
      </c>
      <c r="N98" s="5" t="s">
        <v>23</v>
      </c>
      <c r="O98" s="13">
        <v>1697.76</v>
      </c>
      <c r="P98" s="144" t="s">
        <v>757</v>
      </c>
      <c r="Q98" s="17">
        <f t="shared" si="0"/>
        <v>1414.8</v>
      </c>
      <c r="R98" s="17">
        <f t="shared" si="1"/>
        <v>1414.8</v>
      </c>
      <c r="S98" s="18"/>
    </row>
    <row r="99" spans="1:20" s="17" customFormat="1" ht="18.95" customHeight="1" outlineLevel="1" x14ac:dyDescent="0.25">
      <c r="A99" s="147"/>
      <c r="B99" s="147"/>
      <c r="C99" s="147"/>
      <c r="D99" s="24"/>
      <c r="E99" s="24"/>
      <c r="F99" s="12">
        <v>43647</v>
      </c>
      <c r="G99" s="12">
        <v>43830</v>
      </c>
      <c r="H99" s="23"/>
      <c r="I99" s="15" t="s">
        <v>23</v>
      </c>
      <c r="J99" s="14"/>
      <c r="K99" s="14"/>
      <c r="L99" s="5"/>
      <c r="M99" s="5"/>
      <c r="N99" s="5"/>
      <c r="O99" s="13">
        <v>1731.72</v>
      </c>
      <c r="P99" s="145"/>
      <c r="Q99" s="17">
        <f t="shared" si="0"/>
        <v>1443.1000000000001</v>
      </c>
      <c r="R99" s="17">
        <f t="shared" si="1"/>
        <v>1443.1000000000001</v>
      </c>
      <c r="S99" s="18"/>
    </row>
    <row r="100" spans="1:20" s="17" customFormat="1" ht="18.95" customHeight="1" outlineLevel="1" x14ac:dyDescent="0.25">
      <c r="A100" s="146" t="s">
        <v>48</v>
      </c>
      <c r="B100" s="146" t="s">
        <v>512</v>
      </c>
      <c r="C100" s="146" t="s">
        <v>298</v>
      </c>
      <c r="D100" s="137">
        <v>43453</v>
      </c>
      <c r="E100" s="137" t="s">
        <v>677</v>
      </c>
      <c r="F100" s="12">
        <v>43466</v>
      </c>
      <c r="G100" s="12">
        <v>43646</v>
      </c>
      <c r="H100" s="142"/>
      <c r="I100" s="13">
        <v>2042.41</v>
      </c>
      <c r="J100" s="14" t="s">
        <v>23</v>
      </c>
      <c r="K100" s="14" t="s">
        <v>23</v>
      </c>
      <c r="L100" s="5" t="s">
        <v>23</v>
      </c>
      <c r="M100" s="5" t="s">
        <v>23</v>
      </c>
      <c r="N100" s="5" t="s">
        <v>23</v>
      </c>
      <c r="O100" s="15"/>
      <c r="P100" s="139"/>
      <c r="Q100" s="17">
        <f t="shared" si="0"/>
        <v>0</v>
      </c>
      <c r="S100" s="18"/>
    </row>
    <row r="101" spans="1:20" s="17" customFormat="1" ht="18.95" customHeight="1" outlineLevel="1" x14ac:dyDescent="0.25">
      <c r="A101" s="147" t="s">
        <v>48</v>
      </c>
      <c r="B101" s="147" t="s">
        <v>49</v>
      </c>
      <c r="C101" s="147" t="s">
        <v>202</v>
      </c>
      <c r="D101" s="141"/>
      <c r="E101" s="141"/>
      <c r="F101" s="12">
        <v>43647</v>
      </c>
      <c r="G101" s="12">
        <v>43830</v>
      </c>
      <c r="H101" s="143"/>
      <c r="I101" s="13">
        <v>2067.04</v>
      </c>
      <c r="J101" s="14" t="s">
        <v>23</v>
      </c>
      <c r="K101" s="14" t="s">
        <v>23</v>
      </c>
      <c r="L101" s="5" t="s">
        <v>23</v>
      </c>
      <c r="M101" s="5" t="s">
        <v>23</v>
      </c>
      <c r="N101" s="5" t="s">
        <v>23</v>
      </c>
      <c r="O101" s="15"/>
      <c r="P101" s="140"/>
      <c r="Q101" s="17">
        <f t="shared" si="0"/>
        <v>0</v>
      </c>
      <c r="S101" s="18"/>
    </row>
    <row r="102" spans="1:20" s="17" customFormat="1" ht="18.95" customHeight="1" outlineLevel="1" x14ac:dyDescent="0.25">
      <c r="A102" s="146" t="s">
        <v>48</v>
      </c>
      <c r="B102" s="146" t="s">
        <v>242</v>
      </c>
      <c r="C102" s="146" t="s">
        <v>210</v>
      </c>
      <c r="D102" s="137">
        <v>43818</v>
      </c>
      <c r="E102" s="137" t="s">
        <v>637</v>
      </c>
      <c r="F102" s="12">
        <v>43466</v>
      </c>
      <c r="G102" s="12">
        <v>43646</v>
      </c>
      <c r="H102" s="142"/>
      <c r="I102" s="13">
        <v>1962.04</v>
      </c>
      <c r="J102" s="14" t="s">
        <v>23</v>
      </c>
      <c r="K102" s="14" t="s">
        <v>23</v>
      </c>
      <c r="L102" s="5" t="s">
        <v>23</v>
      </c>
      <c r="M102" s="5" t="s">
        <v>23</v>
      </c>
      <c r="N102" s="5" t="s">
        <v>23</v>
      </c>
      <c r="O102" s="4" t="s">
        <v>23</v>
      </c>
      <c r="P102" s="139"/>
      <c r="Q102" s="17" t="e">
        <f t="shared" si="0"/>
        <v>#VALUE!</v>
      </c>
      <c r="S102" s="18"/>
    </row>
    <row r="103" spans="1:20" s="17" customFormat="1" ht="18.95" customHeight="1" outlineLevel="1" x14ac:dyDescent="0.25">
      <c r="A103" s="148"/>
      <c r="B103" s="148"/>
      <c r="C103" s="148"/>
      <c r="D103" s="141"/>
      <c r="E103" s="141"/>
      <c r="F103" s="12">
        <v>43647</v>
      </c>
      <c r="G103" s="12">
        <v>43830</v>
      </c>
      <c r="H103" s="143"/>
      <c r="I103" s="13">
        <v>2256.4299999999998</v>
      </c>
      <c r="J103" s="14" t="s">
        <v>23</v>
      </c>
      <c r="K103" s="14" t="s">
        <v>23</v>
      </c>
      <c r="L103" s="5" t="s">
        <v>23</v>
      </c>
      <c r="M103" s="5" t="s">
        <v>23</v>
      </c>
      <c r="N103" s="5" t="s">
        <v>23</v>
      </c>
      <c r="O103" s="4" t="s">
        <v>23</v>
      </c>
      <c r="P103" s="140"/>
      <c r="Q103" s="17" t="e">
        <f t="shared" si="0"/>
        <v>#VALUE!</v>
      </c>
      <c r="S103" s="18"/>
    </row>
    <row r="104" spans="1:20" s="17" customFormat="1" ht="18.95" customHeight="1" outlineLevel="1" x14ac:dyDescent="0.25">
      <c r="A104" s="148"/>
      <c r="B104" s="148"/>
      <c r="C104" s="148"/>
      <c r="D104" s="137">
        <f>D90</f>
        <v>43454</v>
      </c>
      <c r="E104" s="137" t="str">
        <f>E90</f>
        <v>680-п</v>
      </c>
      <c r="F104" s="12">
        <v>43466</v>
      </c>
      <c r="G104" s="12">
        <v>43646</v>
      </c>
      <c r="H104" s="25"/>
      <c r="I104" s="4" t="s">
        <v>23</v>
      </c>
      <c r="J104" s="14" t="s">
        <v>23</v>
      </c>
      <c r="K104" s="14" t="s">
        <v>23</v>
      </c>
      <c r="L104" s="5" t="s">
        <v>23</v>
      </c>
      <c r="M104" s="5" t="s">
        <v>23</v>
      </c>
      <c r="N104" s="5" t="s">
        <v>23</v>
      </c>
      <c r="O104" s="26">
        <v>2114.81</v>
      </c>
      <c r="P104" s="144" t="s">
        <v>444</v>
      </c>
      <c r="Q104" s="17">
        <f t="shared" si="0"/>
        <v>1762.3416666666667</v>
      </c>
      <c r="R104" s="67">
        <f>I102-Q104</f>
        <v>199.69833333333327</v>
      </c>
      <c r="S104" s="18">
        <f>R104*82.004</f>
        <v>16376.062126666662</v>
      </c>
    </row>
    <row r="105" spans="1:20" s="17" customFormat="1" ht="18.95" customHeight="1" outlineLevel="1" x14ac:dyDescent="0.25">
      <c r="A105" s="148"/>
      <c r="B105" s="148"/>
      <c r="C105" s="148"/>
      <c r="D105" s="138"/>
      <c r="E105" s="138"/>
      <c r="F105" s="12">
        <v>43647</v>
      </c>
      <c r="G105" s="12">
        <v>43830</v>
      </c>
      <c r="H105" s="25"/>
      <c r="I105" s="4" t="s">
        <v>23</v>
      </c>
      <c r="J105" s="14" t="s">
        <v>23</v>
      </c>
      <c r="K105" s="14" t="s">
        <v>23</v>
      </c>
      <c r="L105" s="5" t="s">
        <v>23</v>
      </c>
      <c r="M105" s="5" t="s">
        <v>23</v>
      </c>
      <c r="N105" s="5" t="s">
        <v>23</v>
      </c>
      <c r="O105" s="26">
        <v>2432.0300000000002</v>
      </c>
      <c r="P105" s="145"/>
      <c r="Q105" s="17">
        <f t="shared" si="0"/>
        <v>2026.6916666666668</v>
      </c>
      <c r="S105" s="18"/>
    </row>
    <row r="106" spans="1:20" s="17" customFormat="1" ht="18.95" customHeight="1" outlineLevel="1" x14ac:dyDescent="0.25">
      <c r="A106" s="148"/>
      <c r="B106" s="148"/>
      <c r="C106" s="148"/>
      <c r="D106" s="138"/>
      <c r="E106" s="138"/>
      <c r="F106" s="12">
        <v>43466</v>
      </c>
      <c r="G106" s="12">
        <v>43646</v>
      </c>
      <c r="H106" s="25"/>
      <c r="I106" s="4" t="s">
        <v>23</v>
      </c>
      <c r="J106" s="14"/>
      <c r="K106" s="14"/>
      <c r="L106" s="5"/>
      <c r="M106" s="5"/>
      <c r="N106" s="5"/>
      <c r="O106" s="26">
        <v>1556.28</v>
      </c>
      <c r="P106" s="144" t="s">
        <v>680</v>
      </c>
      <c r="Q106" s="17">
        <f t="shared" si="0"/>
        <v>1296.9000000000001</v>
      </c>
      <c r="R106" s="67">
        <f>I102-Q106</f>
        <v>665.13999999999987</v>
      </c>
      <c r="S106" s="18">
        <f>R106*204.486</f>
        <v>136011.81803999995</v>
      </c>
    </row>
    <row r="107" spans="1:20" s="17" customFormat="1" ht="18.95" customHeight="1" outlineLevel="1" x14ac:dyDescent="0.25">
      <c r="A107" s="148"/>
      <c r="B107" s="148"/>
      <c r="C107" s="148"/>
      <c r="D107" s="141"/>
      <c r="E107" s="141"/>
      <c r="F107" s="12">
        <v>43647</v>
      </c>
      <c r="G107" s="12">
        <v>43830</v>
      </c>
      <c r="H107" s="25"/>
      <c r="I107" s="4" t="s">
        <v>23</v>
      </c>
      <c r="J107" s="14" t="s">
        <v>23</v>
      </c>
      <c r="K107" s="14" t="s">
        <v>23</v>
      </c>
      <c r="L107" s="5" t="s">
        <v>23</v>
      </c>
      <c r="M107" s="5" t="s">
        <v>23</v>
      </c>
      <c r="N107" s="5" t="s">
        <v>23</v>
      </c>
      <c r="O107" s="26">
        <v>1789.72</v>
      </c>
      <c r="P107" s="145"/>
      <c r="Q107" s="17">
        <f t="shared" si="0"/>
        <v>1491.4333333333334</v>
      </c>
      <c r="R107" s="19"/>
      <c r="S107" s="18"/>
    </row>
    <row r="108" spans="1:20" s="17" customFormat="1" ht="18.95" customHeight="1" outlineLevel="1" x14ac:dyDescent="0.25">
      <c r="A108" s="148"/>
      <c r="B108" s="146" t="s">
        <v>473</v>
      </c>
      <c r="C108" s="148"/>
      <c r="D108" s="137">
        <v>43453</v>
      </c>
      <c r="E108" s="137" t="s">
        <v>765</v>
      </c>
      <c r="F108" s="12">
        <v>43466</v>
      </c>
      <c r="G108" s="12">
        <v>43646</v>
      </c>
      <c r="H108" s="149"/>
      <c r="I108" s="13">
        <v>6989.72</v>
      </c>
      <c r="J108" s="14" t="s">
        <v>23</v>
      </c>
      <c r="K108" s="14" t="s">
        <v>23</v>
      </c>
      <c r="L108" s="5" t="s">
        <v>23</v>
      </c>
      <c r="M108" s="5" t="s">
        <v>23</v>
      </c>
      <c r="N108" s="5" t="s">
        <v>23</v>
      </c>
      <c r="O108" s="4" t="s">
        <v>23</v>
      </c>
      <c r="P108" s="144"/>
      <c r="Q108" s="17" t="e">
        <f t="shared" si="0"/>
        <v>#VALUE!</v>
      </c>
      <c r="S108" s="18"/>
    </row>
    <row r="109" spans="1:20" s="17" customFormat="1" ht="18.95" customHeight="1" outlineLevel="1" x14ac:dyDescent="0.25">
      <c r="A109" s="148"/>
      <c r="B109" s="148"/>
      <c r="C109" s="148"/>
      <c r="D109" s="141"/>
      <c r="E109" s="141"/>
      <c r="F109" s="12">
        <v>43647</v>
      </c>
      <c r="G109" s="12">
        <v>43830</v>
      </c>
      <c r="H109" s="150"/>
      <c r="I109" s="13">
        <v>7255.06</v>
      </c>
      <c r="J109" s="14" t="s">
        <v>23</v>
      </c>
      <c r="K109" s="14" t="s">
        <v>23</v>
      </c>
      <c r="L109" s="5" t="s">
        <v>23</v>
      </c>
      <c r="M109" s="5" t="s">
        <v>23</v>
      </c>
      <c r="N109" s="5" t="s">
        <v>23</v>
      </c>
      <c r="O109" s="4" t="s">
        <v>23</v>
      </c>
      <c r="P109" s="145"/>
      <c r="Q109" s="17" t="e">
        <f t="shared" si="0"/>
        <v>#VALUE!</v>
      </c>
      <c r="S109" s="18"/>
    </row>
    <row r="110" spans="1:20" s="17" customFormat="1" ht="18.95" customHeight="1" outlineLevel="1" x14ac:dyDescent="0.25">
      <c r="A110" s="148"/>
      <c r="B110" s="148"/>
      <c r="C110" s="148"/>
      <c r="D110" s="137">
        <f>D104</f>
        <v>43454</v>
      </c>
      <c r="E110" s="137" t="str">
        <f>E104</f>
        <v>680-п</v>
      </c>
      <c r="F110" s="12">
        <v>43466</v>
      </c>
      <c r="G110" s="12">
        <v>43646</v>
      </c>
      <c r="H110" s="150"/>
      <c r="I110" s="15" t="s">
        <v>23</v>
      </c>
      <c r="J110" s="14" t="s">
        <v>23</v>
      </c>
      <c r="K110" s="14" t="s">
        <v>23</v>
      </c>
      <c r="L110" s="5" t="s">
        <v>23</v>
      </c>
      <c r="M110" s="5" t="s">
        <v>23</v>
      </c>
      <c r="N110" s="5" t="s">
        <v>23</v>
      </c>
      <c r="O110" s="13">
        <v>2794.23</v>
      </c>
      <c r="P110" s="144" t="s">
        <v>444</v>
      </c>
      <c r="Q110" s="17">
        <f t="shared" si="0"/>
        <v>2328.5250000000001</v>
      </c>
      <c r="R110" s="17">
        <v>2328.52</v>
      </c>
      <c r="S110" s="18">
        <f>I108-R110</f>
        <v>4661.2000000000007</v>
      </c>
      <c r="T110" s="128">
        <f>S110*110.446</f>
        <v>514810.89520000009</v>
      </c>
    </row>
    <row r="111" spans="1:20" s="17" customFormat="1" ht="18.95" customHeight="1" outlineLevel="1" x14ac:dyDescent="0.25">
      <c r="A111" s="147"/>
      <c r="B111" s="147"/>
      <c r="C111" s="147"/>
      <c r="D111" s="141"/>
      <c r="E111" s="141"/>
      <c r="F111" s="12">
        <v>43647</v>
      </c>
      <c r="G111" s="12">
        <v>43830</v>
      </c>
      <c r="H111" s="151"/>
      <c r="I111" s="15" t="s">
        <v>23</v>
      </c>
      <c r="J111" s="14" t="s">
        <v>23</v>
      </c>
      <c r="K111" s="14" t="s">
        <v>23</v>
      </c>
      <c r="L111" s="5" t="s">
        <v>23</v>
      </c>
      <c r="M111" s="5" t="s">
        <v>23</v>
      </c>
      <c r="N111" s="5" t="s">
        <v>23</v>
      </c>
      <c r="O111" s="13">
        <v>2794.23</v>
      </c>
      <c r="P111" s="145"/>
      <c r="Q111" s="17">
        <f t="shared" si="0"/>
        <v>2328.5250000000001</v>
      </c>
      <c r="S111" s="18"/>
    </row>
    <row r="112" spans="1:20" s="17" customFormat="1" ht="18.95" customHeight="1" outlineLevel="1" x14ac:dyDescent="0.25">
      <c r="A112" s="146" t="s">
        <v>48</v>
      </c>
      <c r="B112" s="146" t="s">
        <v>67</v>
      </c>
      <c r="C112" s="146" t="s">
        <v>211</v>
      </c>
      <c r="D112" s="156">
        <v>42723</v>
      </c>
      <c r="E112" s="137" t="s">
        <v>678</v>
      </c>
      <c r="F112" s="12">
        <v>43466</v>
      </c>
      <c r="G112" s="12">
        <v>43646</v>
      </c>
      <c r="H112" s="142" t="s">
        <v>679</v>
      </c>
      <c r="I112" s="13">
        <v>2284.48</v>
      </c>
      <c r="J112" s="89" t="s">
        <v>23</v>
      </c>
      <c r="K112" s="89" t="s">
        <v>23</v>
      </c>
      <c r="L112" s="92" t="s">
        <v>23</v>
      </c>
      <c r="M112" s="92" t="s">
        <v>23</v>
      </c>
      <c r="N112" s="92" t="s">
        <v>23</v>
      </c>
      <c r="O112" s="4" t="s">
        <v>23</v>
      </c>
      <c r="P112" s="139"/>
      <c r="Q112" s="17" t="e">
        <f t="shared" si="0"/>
        <v>#VALUE!</v>
      </c>
      <c r="S112" s="18"/>
    </row>
    <row r="113" spans="1:19" s="17" customFormat="1" ht="18.95" customHeight="1" outlineLevel="1" x14ac:dyDescent="0.25">
      <c r="A113" s="148" t="s">
        <v>48</v>
      </c>
      <c r="B113" s="148" t="s">
        <v>67</v>
      </c>
      <c r="C113" s="148" t="s">
        <v>211</v>
      </c>
      <c r="D113" s="156"/>
      <c r="E113" s="141"/>
      <c r="F113" s="12">
        <v>43647</v>
      </c>
      <c r="G113" s="12">
        <v>43830</v>
      </c>
      <c r="H113" s="143"/>
      <c r="I113" s="13">
        <v>2291.2199999999998</v>
      </c>
      <c r="J113" s="89" t="s">
        <v>23</v>
      </c>
      <c r="K113" s="89" t="s">
        <v>23</v>
      </c>
      <c r="L113" s="92" t="s">
        <v>23</v>
      </c>
      <c r="M113" s="92" t="s">
        <v>23</v>
      </c>
      <c r="N113" s="92" t="s">
        <v>23</v>
      </c>
      <c r="O113" s="4" t="s">
        <v>23</v>
      </c>
      <c r="P113" s="140"/>
      <c r="Q113" s="17" t="e">
        <f t="shared" si="0"/>
        <v>#VALUE!</v>
      </c>
      <c r="S113" s="18"/>
    </row>
    <row r="114" spans="1:19" s="17" customFormat="1" ht="18.95" customHeight="1" outlineLevel="1" x14ac:dyDescent="0.25">
      <c r="A114" s="148"/>
      <c r="B114" s="148"/>
      <c r="C114" s="148"/>
      <c r="D114" s="137">
        <v>43454</v>
      </c>
      <c r="E114" s="137" t="s">
        <v>606</v>
      </c>
      <c r="F114" s="12">
        <v>43466</v>
      </c>
      <c r="G114" s="12">
        <v>43646</v>
      </c>
      <c r="H114" s="142"/>
      <c r="I114" s="91" t="s">
        <v>23</v>
      </c>
      <c r="J114" s="89"/>
      <c r="K114" s="89"/>
      <c r="L114" s="92"/>
      <c r="M114" s="92"/>
      <c r="N114" s="92"/>
      <c r="O114" s="13">
        <v>2542.37</v>
      </c>
      <c r="P114" s="144" t="s">
        <v>444</v>
      </c>
      <c r="Q114" s="17">
        <f t="shared" si="0"/>
        <v>2118.6416666666669</v>
      </c>
      <c r="S114" s="18"/>
    </row>
    <row r="115" spans="1:19" s="17" customFormat="1" ht="18.95" customHeight="1" outlineLevel="1" x14ac:dyDescent="0.25">
      <c r="A115" s="148"/>
      <c r="B115" s="148"/>
      <c r="C115" s="148"/>
      <c r="D115" s="141"/>
      <c r="E115" s="141"/>
      <c r="F115" s="12">
        <v>43647</v>
      </c>
      <c r="G115" s="12">
        <v>43830</v>
      </c>
      <c r="H115" s="143"/>
      <c r="I115" s="91" t="s">
        <v>23</v>
      </c>
      <c r="J115" s="89"/>
      <c r="K115" s="89"/>
      <c r="L115" s="92"/>
      <c r="M115" s="92"/>
      <c r="N115" s="92"/>
      <c r="O115" s="13">
        <v>2542.37</v>
      </c>
      <c r="P115" s="145"/>
      <c r="Q115" s="17">
        <f t="shared" si="0"/>
        <v>2118.6416666666669</v>
      </c>
      <c r="S115" s="18"/>
    </row>
    <row r="116" spans="1:19" s="17" customFormat="1" ht="18.95" customHeight="1" outlineLevel="1" x14ac:dyDescent="0.25">
      <c r="A116" s="148"/>
      <c r="B116" s="148"/>
      <c r="C116" s="148"/>
      <c r="D116" s="137">
        <v>43454</v>
      </c>
      <c r="E116" s="137" t="s">
        <v>606</v>
      </c>
      <c r="F116" s="12">
        <v>43466</v>
      </c>
      <c r="G116" s="12">
        <v>43646</v>
      </c>
      <c r="H116" s="142"/>
      <c r="I116" s="91" t="s">
        <v>23</v>
      </c>
      <c r="J116" s="89"/>
      <c r="K116" s="89"/>
      <c r="L116" s="92"/>
      <c r="M116" s="92"/>
      <c r="N116" s="92"/>
      <c r="O116" s="13">
        <v>1699.05</v>
      </c>
      <c r="P116" s="153" t="s">
        <v>680</v>
      </c>
      <c r="Q116" s="17">
        <f t="shared" si="0"/>
        <v>1415.875</v>
      </c>
      <c r="S116" s="18"/>
    </row>
    <row r="117" spans="1:19" s="17" customFormat="1" ht="18.95" customHeight="1" outlineLevel="1" x14ac:dyDescent="0.25">
      <c r="A117" s="148"/>
      <c r="B117" s="148"/>
      <c r="C117" s="148"/>
      <c r="D117" s="141"/>
      <c r="E117" s="141"/>
      <c r="F117" s="12">
        <v>43647</v>
      </c>
      <c r="G117" s="12">
        <v>43830</v>
      </c>
      <c r="H117" s="143"/>
      <c r="I117" s="91" t="s">
        <v>23</v>
      </c>
      <c r="J117" s="89"/>
      <c r="K117" s="89"/>
      <c r="L117" s="92"/>
      <c r="M117" s="92"/>
      <c r="N117" s="92"/>
      <c r="O117" s="13">
        <v>1733.03</v>
      </c>
      <c r="P117" s="140"/>
      <c r="Q117" s="17">
        <f t="shared" si="0"/>
        <v>1444.1916666666666</v>
      </c>
      <c r="S117" s="18"/>
    </row>
    <row r="118" spans="1:19" s="17" customFormat="1" ht="18.95" customHeight="1" outlineLevel="1" x14ac:dyDescent="0.25">
      <c r="A118" s="148"/>
      <c r="B118" s="148"/>
      <c r="C118" s="148"/>
      <c r="D118" s="137">
        <v>43454</v>
      </c>
      <c r="E118" s="137" t="s">
        <v>606</v>
      </c>
      <c r="F118" s="12">
        <v>43466</v>
      </c>
      <c r="G118" s="12">
        <v>43646</v>
      </c>
      <c r="H118" s="149"/>
      <c r="I118" s="91" t="s">
        <v>23</v>
      </c>
      <c r="J118" s="89" t="s">
        <v>23</v>
      </c>
      <c r="K118" s="89" t="s">
        <v>23</v>
      </c>
      <c r="L118" s="92" t="s">
        <v>23</v>
      </c>
      <c r="M118" s="92" t="s">
        <v>23</v>
      </c>
      <c r="N118" s="92" t="s">
        <v>23</v>
      </c>
      <c r="O118" s="13">
        <v>1853.51</v>
      </c>
      <c r="P118" s="153" t="s">
        <v>681</v>
      </c>
      <c r="Q118" s="17">
        <f t="shared" si="0"/>
        <v>1544.5916666666667</v>
      </c>
      <c r="S118" s="18"/>
    </row>
    <row r="119" spans="1:19" s="17" customFormat="1" ht="18.95" customHeight="1" outlineLevel="1" x14ac:dyDescent="0.25">
      <c r="A119" s="147"/>
      <c r="B119" s="147"/>
      <c r="C119" s="147"/>
      <c r="D119" s="141"/>
      <c r="E119" s="141"/>
      <c r="F119" s="12">
        <v>43647</v>
      </c>
      <c r="G119" s="12">
        <v>43830</v>
      </c>
      <c r="H119" s="151"/>
      <c r="I119" s="91" t="s">
        <v>23</v>
      </c>
      <c r="J119" s="89" t="s">
        <v>23</v>
      </c>
      <c r="K119" s="89" t="s">
        <v>23</v>
      </c>
      <c r="L119" s="92" t="s">
        <v>23</v>
      </c>
      <c r="M119" s="92" t="s">
        <v>23</v>
      </c>
      <c r="N119" s="92" t="s">
        <v>23</v>
      </c>
      <c r="O119" s="13">
        <v>1890.58</v>
      </c>
      <c r="P119" s="140"/>
      <c r="Q119" s="17">
        <f t="shared" si="0"/>
        <v>1575.4833333333333</v>
      </c>
      <c r="S119" s="18"/>
    </row>
    <row r="120" spans="1:19" s="17" customFormat="1" ht="18.95" customHeight="1" outlineLevel="1" x14ac:dyDescent="0.25">
      <c r="A120" s="146" t="s">
        <v>48</v>
      </c>
      <c r="B120" s="146" t="s">
        <v>346</v>
      </c>
      <c r="C120" s="146" t="s">
        <v>320</v>
      </c>
      <c r="D120" s="137">
        <v>43454</v>
      </c>
      <c r="E120" s="137" t="s">
        <v>635</v>
      </c>
      <c r="F120" s="12">
        <v>43466</v>
      </c>
      <c r="G120" s="12">
        <v>43646</v>
      </c>
      <c r="H120" s="142"/>
      <c r="I120" s="13">
        <v>348.88</v>
      </c>
      <c r="J120" s="14" t="s">
        <v>23</v>
      </c>
      <c r="K120" s="14" t="s">
        <v>23</v>
      </c>
      <c r="L120" s="5" t="s">
        <v>23</v>
      </c>
      <c r="M120" s="5" t="s">
        <v>23</v>
      </c>
      <c r="N120" s="5" t="s">
        <v>23</v>
      </c>
      <c r="O120" s="15" t="s">
        <v>23</v>
      </c>
      <c r="P120" s="144" t="s">
        <v>379</v>
      </c>
      <c r="Q120" s="17" t="e">
        <f t="shared" ref="Q120:Q183" si="2">O120/1.2</f>
        <v>#VALUE!</v>
      </c>
      <c r="S120" s="18"/>
    </row>
    <row r="121" spans="1:19" s="17" customFormat="1" ht="18.95" customHeight="1" outlineLevel="1" x14ac:dyDescent="0.25">
      <c r="A121" s="147" t="s">
        <v>48</v>
      </c>
      <c r="B121" s="147" t="s">
        <v>238</v>
      </c>
      <c r="C121" s="147" t="s">
        <v>239</v>
      </c>
      <c r="D121" s="141"/>
      <c r="E121" s="141"/>
      <c r="F121" s="12">
        <v>43647</v>
      </c>
      <c r="G121" s="12">
        <v>43830</v>
      </c>
      <c r="H121" s="143"/>
      <c r="I121" s="13">
        <v>348.88</v>
      </c>
      <c r="J121" s="14" t="s">
        <v>23</v>
      </c>
      <c r="K121" s="14" t="s">
        <v>23</v>
      </c>
      <c r="L121" s="5" t="s">
        <v>23</v>
      </c>
      <c r="M121" s="5" t="s">
        <v>23</v>
      </c>
      <c r="N121" s="5" t="s">
        <v>23</v>
      </c>
      <c r="O121" s="15" t="s">
        <v>23</v>
      </c>
      <c r="P121" s="152"/>
      <c r="Q121" s="17" t="e">
        <f t="shared" si="2"/>
        <v>#VALUE!</v>
      </c>
      <c r="S121" s="18"/>
    </row>
    <row r="122" spans="1:19" s="17" customFormat="1" ht="18.95" customHeight="1" outlineLevel="1" x14ac:dyDescent="0.25">
      <c r="A122" s="146" t="s">
        <v>48</v>
      </c>
      <c r="B122" s="157" t="s">
        <v>191</v>
      </c>
      <c r="C122" s="146" t="s">
        <v>228</v>
      </c>
      <c r="D122" s="137">
        <v>43453</v>
      </c>
      <c r="E122" s="137" t="s">
        <v>682</v>
      </c>
      <c r="F122" s="12">
        <v>43466</v>
      </c>
      <c r="G122" s="12">
        <v>43646</v>
      </c>
      <c r="H122" s="155"/>
      <c r="I122" s="13">
        <v>1717.85</v>
      </c>
      <c r="J122" s="89" t="s">
        <v>23</v>
      </c>
      <c r="K122" s="89" t="s">
        <v>23</v>
      </c>
      <c r="L122" s="92" t="s">
        <v>23</v>
      </c>
      <c r="M122" s="92" t="s">
        <v>23</v>
      </c>
      <c r="N122" s="92" t="s">
        <v>23</v>
      </c>
      <c r="O122" s="4" t="s">
        <v>23</v>
      </c>
      <c r="P122" s="139"/>
      <c r="Q122" s="17" t="e">
        <f t="shared" si="2"/>
        <v>#VALUE!</v>
      </c>
      <c r="S122" s="18"/>
    </row>
    <row r="123" spans="1:19" s="17" customFormat="1" ht="18.95" customHeight="1" outlineLevel="1" x14ac:dyDescent="0.25">
      <c r="A123" s="148"/>
      <c r="B123" s="157"/>
      <c r="C123" s="148"/>
      <c r="D123" s="138"/>
      <c r="E123" s="138"/>
      <c r="F123" s="12">
        <v>43647</v>
      </c>
      <c r="G123" s="12">
        <v>43830</v>
      </c>
      <c r="H123" s="155"/>
      <c r="I123" s="13">
        <v>1745.09</v>
      </c>
      <c r="J123" s="89"/>
      <c r="K123" s="89"/>
      <c r="L123" s="92"/>
      <c r="M123" s="92"/>
      <c r="N123" s="92"/>
      <c r="O123" s="91" t="s">
        <v>23</v>
      </c>
      <c r="P123" s="162"/>
      <c r="Q123" s="17" t="e">
        <f t="shared" si="2"/>
        <v>#VALUE!</v>
      </c>
      <c r="S123" s="18"/>
    </row>
    <row r="124" spans="1:19" s="17" customFormat="1" ht="18.95" customHeight="1" outlineLevel="1" x14ac:dyDescent="0.25">
      <c r="A124" s="148"/>
      <c r="B124" s="157" t="s">
        <v>367</v>
      </c>
      <c r="C124" s="148"/>
      <c r="D124" s="137">
        <v>43453</v>
      </c>
      <c r="E124" s="137" t="s">
        <v>682</v>
      </c>
      <c r="F124" s="98">
        <v>43466</v>
      </c>
      <c r="G124" s="12">
        <v>43646</v>
      </c>
      <c r="H124" s="155"/>
      <c r="I124" s="13">
        <v>1717.85</v>
      </c>
      <c r="J124" s="89"/>
      <c r="K124" s="89"/>
      <c r="L124" s="92"/>
      <c r="M124" s="92"/>
      <c r="N124" s="92"/>
      <c r="O124" s="4" t="s">
        <v>23</v>
      </c>
      <c r="P124" s="163"/>
      <c r="Q124" s="17" t="e">
        <f t="shared" si="2"/>
        <v>#VALUE!</v>
      </c>
      <c r="S124" s="18"/>
    </row>
    <row r="125" spans="1:19" s="17" customFormat="1" ht="18.95" customHeight="1" outlineLevel="1" x14ac:dyDescent="0.25">
      <c r="A125" s="148"/>
      <c r="B125" s="157"/>
      <c r="C125" s="148"/>
      <c r="D125" s="141"/>
      <c r="E125" s="138"/>
      <c r="F125" s="98">
        <v>43647</v>
      </c>
      <c r="G125" s="12">
        <v>43830</v>
      </c>
      <c r="H125" s="155"/>
      <c r="I125" s="13">
        <v>1745.09</v>
      </c>
      <c r="J125" s="89"/>
      <c r="K125" s="89"/>
      <c r="L125" s="92"/>
      <c r="M125" s="92"/>
      <c r="N125" s="92"/>
      <c r="O125" s="91" t="s">
        <v>23</v>
      </c>
      <c r="P125" s="164"/>
      <c r="Q125" s="17" t="e">
        <f t="shared" si="2"/>
        <v>#VALUE!</v>
      </c>
      <c r="S125" s="18"/>
    </row>
    <row r="126" spans="1:19" s="17" customFormat="1" ht="18.95" customHeight="1" outlineLevel="1" x14ac:dyDescent="0.25">
      <c r="A126" s="148"/>
      <c r="B126" s="157"/>
      <c r="C126" s="148"/>
      <c r="D126" s="137">
        <v>43454</v>
      </c>
      <c r="E126" s="137" t="s">
        <v>606</v>
      </c>
      <c r="F126" s="98">
        <v>43466</v>
      </c>
      <c r="G126" s="12">
        <v>43646</v>
      </c>
      <c r="H126" s="155"/>
      <c r="I126" s="91" t="s">
        <v>23</v>
      </c>
      <c r="J126" s="89" t="s">
        <v>23</v>
      </c>
      <c r="K126" s="89" t="s">
        <v>23</v>
      </c>
      <c r="L126" s="92" t="s">
        <v>23</v>
      </c>
      <c r="M126" s="92" t="s">
        <v>23</v>
      </c>
      <c r="N126" s="92" t="s">
        <v>23</v>
      </c>
      <c r="O126" s="13">
        <v>1981.71</v>
      </c>
      <c r="P126" s="139"/>
      <c r="Q126" s="17">
        <f t="shared" si="2"/>
        <v>1651.4250000000002</v>
      </c>
      <c r="S126" s="18"/>
    </row>
    <row r="127" spans="1:19" s="17" customFormat="1" ht="18.95" customHeight="1" outlineLevel="1" x14ac:dyDescent="0.25">
      <c r="A127" s="147"/>
      <c r="B127" s="157"/>
      <c r="C127" s="147"/>
      <c r="D127" s="141"/>
      <c r="E127" s="141"/>
      <c r="F127" s="98">
        <v>43647</v>
      </c>
      <c r="G127" s="12">
        <v>43830</v>
      </c>
      <c r="H127" s="155"/>
      <c r="I127" s="91" t="s">
        <v>23</v>
      </c>
      <c r="J127" s="89" t="s">
        <v>23</v>
      </c>
      <c r="K127" s="89" t="s">
        <v>23</v>
      </c>
      <c r="L127" s="92" t="s">
        <v>23</v>
      </c>
      <c r="M127" s="92" t="s">
        <v>23</v>
      </c>
      <c r="N127" s="92" t="s">
        <v>23</v>
      </c>
      <c r="O127" s="13">
        <v>2021.34</v>
      </c>
      <c r="P127" s="140"/>
      <c r="Q127" s="17">
        <f t="shared" si="2"/>
        <v>1684.45</v>
      </c>
      <c r="S127" s="18"/>
    </row>
    <row r="128" spans="1:19" s="17" customFormat="1" ht="18.95" customHeight="1" outlineLevel="1" x14ac:dyDescent="0.25">
      <c r="A128" s="146" t="s">
        <v>48</v>
      </c>
      <c r="B128" s="146" t="s">
        <v>465</v>
      </c>
      <c r="C128" s="146" t="s">
        <v>241</v>
      </c>
      <c r="D128" s="137">
        <v>43448</v>
      </c>
      <c r="E128" s="137" t="s">
        <v>766</v>
      </c>
      <c r="F128" s="12">
        <v>43466</v>
      </c>
      <c r="G128" s="12">
        <v>43646</v>
      </c>
      <c r="H128" s="142"/>
      <c r="I128" s="13">
        <v>1965.37</v>
      </c>
      <c r="J128" s="14" t="s">
        <v>23</v>
      </c>
      <c r="K128" s="14" t="s">
        <v>23</v>
      </c>
      <c r="L128" s="5" t="s">
        <v>23</v>
      </c>
      <c r="M128" s="5" t="s">
        <v>23</v>
      </c>
      <c r="N128" s="5" t="s">
        <v>23</v>
      </c>
      <c r="O128" s="4" t="s">
        <v>23</v>
      </c>
      <c r="P128" s="139"/>
      <c r="Q128" s="17" t="e">
        <f t="shared" si="2"/>
        <v>#VALUE!</v>
      </c>
      <c r="S128" s="18"/>
    </row>
    <row r="129" spans="1:19" s="17" customFormat="1" ht="18.95" customHeight="1" outlineLevel="1" x14ac:dyDescent="0.25">
      <c r="A129" s="148"/>
      <c r="B129" s="148"/>
      <c r="C129" s="148"/>
      <c r="D129" s="141"/>
      <c r="E129" s="141"/>
      <c r="F129" s="12">
        <v>43647</v>
      </c>
      <c r="G129" s="12">
        <v>43830</v>
      </c>
      <c r="H129" s="143"/>
      <c r="I129" s="13">
        <v>2004.68</v>
      </c>
      <c r="J129" s="14" t="s">
        <v>23</v>
      </c>
      <c r="K129" s="14" t="s">
        <v>23</v>
      </c>
      <c r="L129" s="5" t="s">
        <v>23</v>
      </c>
      <c r="M129" s="5" t="s">
        <v>23</v>
      </c>
      <c r="N129" s="5" t="s">
        <v>23</v>
      </c>
      <c r="O129" s="4" t="s">
        <v>23</v>
      </c>
      <c r="P129" s="140"/>
      <c r="Q129" s="17" t="e">
        <f t="shared" si="2"/>
        <v>#VALUE!</v>
      </c>
      <c r="S129" s="18"/>
    </row>
    <row r="130" spans="1:19" s="17" customFormat="1" ht="18.95" customHeight="1" outlineLevel="1" x14ac:dyDescent="0.25">
      <c r="A130" s="148"/>
      <c r="B130" s="148"/>
      <c r="C130" s="148"/>
      <c r="D130" s="137">
        <f>D126</f>
        <v>43454</v>
      </c>
      <c r="E130" s="137" t="str">
        <f>E126</f>
        <v>680-п</v>
      </c>
      <c r="F130" s="12">
        <v>43466</v>
      </c>
      <c r="G130" s="12">
        <v>43646</v>
      </c>
      <c r="H130" s="149"/>
      <c r="I130" s="15" t="s">
        <v>23</v>
      </c>
      <c r="J130" s="14" t="s">
        <v>23</v>
      </c>
      <c r="K130" s="14" t="s">
        <v>23</v>
      </c>
      <c r="L130" s="5" t="s">
        <v>23</v>
      </c>
      <c r="M130" s="5" t="s">
        <v>23</v>
      </c>
      <c r="N130" s="5" t="s">
        <v>23</v>
      </c>
      <c r="O130" s="13">
        <v>2358.4499999999998</v>
      </c>
      <c r="P130" s="144" t="s">
        <v>444</v>
      </c>
      <c r="Q130" s="17">
        <f t="shared" si="2"/>
        <v>1965.375</v>
      </c>
      <c r="S130" s="18"/>
    </row>
    <row r="131" spans="1:19" s="17" customFormat="1" ht="18.95" customHeight="1" outlineLevel="1" x14ac:dyDescent="0.25">
      <c r="A131" s="148"/>
      <c r="B131" s="148"/>
      <c r="C131" s="148"/>
      <c r="D131" s="138"/>
      <c r="E131" s="138"/>
      <c r="F131" s="12">
        <v>43647</v>
      </c>
      <c r="G131" s="12">
        <v>43830</v>
      </c>
      <c r="H131" s="150"/>
      <c r="I131" s="15" t="s">
        <v>23</v>
      </c>
      <c r="J131" s="14" t="s">
        <v>23</v>
      </c>
      <c r="K131" s="14" t="s">
        <v>23</v>
      </c>
      <c r="L131" s="5" t="s">
        <v>23</v>
      </c>
      <c r="M131" s="5" t="s">
        <v>23</v>
      </c>
      <c r="N131" s="5" t="s">
        <v>23</v>
      </c>
      <c r="O131" s="13">
        <v>2405.62</v>
      </c>
      <c r="P131" s="145"/>
      <c r="Q131" s="17">
        <f t="shared" si="2"/>
        <v>2004.6833333333334</v>
      </c>
      <c r="S131" s="18"/>
    </row>
    <row r="132" spans="1:19" s="17" customFormat="1" ht="18.95" customHeight="1" outlineLevel="1" x14ac:dyDescent="0.25">
      <c r="A132" s="148"/>
      <c r="B132" s="148"/>
      <c r="C132" s="148"/>
      <c r="D132" s="138"/>
      <c r="E132" s="138"/>
      <c r="F132" s="12">
        <v>43466</v>
      </c>
      <c r="G132" s="12">
        <v>43646</v>
      </c>
      <c r="H132" s="150"/>
      <c r="I132" s="15" t="s">
        <v>23</v>
      </c>
      <c r="J132" s="14" t="s">
        <v>23</v>
      </c>
      <c r="K132" s="14" t="s">
        <v>23</v>
      </c>
      <c r="L132" s="5" t="s">
        <v>23</v>
      </c>
      <c r="M132" s="5" t="s">
        <v>23</v>
      </c>
      <c r="N132" s="5" t="s">
        <v>23</v>
      </c>
      <c r="O132" s="13">
        <v>1459.91</v>
      </c>
      <c r="P132" s="144" t="s">
        <v>446</v>
      </c>
      <c r="Q132" s="17">
        <f t="shared" si="2"/>
        <v>1216.5916666666667</v>
      </c>
      <c r="R132" s="67">
        <f>I128-Q132</f>
        <v>748.77833333333319</v>
      </c>
      <c r="S132" s="18">
        <f>R132*2825.291</f>
        <v>2115516.6861616662</v>
      </c>
    </row>
    <row r="133" spans="1:19" s="17" customFormat="1" ht="18.95" customHeight="1" outlineLevel="1" x14ac:dyDescent="0.25">
      <c r="A133" s="147"/>
      <c r="B133" s="147"/>
      <c r="C133" s="147"/>
      <c r="D133" s="141"/>
      <c r="E133" s="141"/>
      <c r="F133" s="12">
        <v>43647</v>
      </c>
      <c r="G133" s="12">
        <v>43830</v>
      </c>
      <c r="H133" s="151"/>
      <c r="I133" s="15" t="s">
        <v>23</v>
      </c>
      <c r="J133" s="14" t="s">
        <v>23</v>
      </c>
      <c r="K133" s="14" t="s">
        <v>23</v>
      </c>
      <c r="L133" s="5" t="s">
        <v>23</v>
      </c>
      <c r="M133" s="5" t="s">
        <v>23</v>
      </c>
      <c r="N133" s="5" t="s">
        <v>23</v>
      </c>
      <c r="O133" s="13">
        <v>1489.11</v>
      </c>
      <c r="P133" s="145"/>
      <c r="Q133" s="17">
        <f t="shared" si="2"/>
        <v>1240.925</v>
      </c>
      <c r="S133" s="18"/>
    </row>
    <row r="134" spans="1:19" s="17" customFormat="1" ht="18.95" customHeight="1" outlineLevel="1" x14ac:dyDescent="0.25">
      <c r="A134" s="146" t="s">
        <v>48</v>
      </c>
      <c r="B134" s="146" t="s">
        <v>465</v>
      </c>
      <c r="C134" s="146" t="s">
        <v>205</v>
      </c>
      <c r="D134" s="137">
        <v>43441</v>
      </c>
      <c r="E134" s="137" t="s">
        <v>684</v>
      </c>
      <c r="F134" s="12">
        <v>43466</v>
      </c>
      <c r="G134" s="12">
        <v>43646</v>
      </c>
      <c r="H134" s="142"/>
      <c r="I134" s="13">
        <v>1751.13</v>
      </c>
      <c r="J134" s="14" t="s">
        <v>23</v>
      </c>
      <c r="K134" s="14" t="s">
        <v>23</v>
      </c>
      <c r="L134" s="5" t="s">
        <v>23</v>
      </c>
      <c r="M134" s="5" t="s">
        <v>23</v>
      </c>
      <c r="N134" s="5" t="s">
        <v>23</v>
      </c>
      <c r="O134" s="4" t="s">
        <v>23</v>
      </c>
      <c r="P134" s="139"/>
      <c r="Q134" s="17" t="e">
        <f t="shared" si="2"/>
        <v>#VALUE!</v>
      </c>
      <c r="S134" s="18"/>
    </row>
    <row r="135" spans="1:19" s="17" customFormat="1" ht="18.95" customHeight="1" outlineLevel="1" x14ac:dyDescent="0.25">
      <c r="A135" s="148" t="s">
        <v>48</v>
      </c>
      <c r="B135" s="148" t="s">
        <v>203</v>
      </c>
      <c r="C135" s="148" t="s">
        <v>205</v>
      </c>
      <c r="D135" s="141"/>
      <c r="E135" s="141"/>
      <c r="F135" s="12">
        <v>43647</v>
      </c>
      <c r="G135" s="12">
        <v>43830</v>
      </c>
      <c r="H135" s="143"/>
      <c r="I135" s="13">
        <v>1784.64</v>
      </c>
      <c r="J135" s="14" t="s">
        <v>23</v>
      </c>
      <c r="K135" s="14" t="s">
        <v>23</v>
      </c>
      <c r="L135" s="5" t="s">
        <v>23</v>
      </c>
      <c r="M135" s="5" t="s">
        <v>23</v>
      </c>
      <c r="N135" s="5" t="s">
        <v>23</v>
      </c>
      <c r="O135" s="4" t="s">
        <v>23</v>
      </c>
      <c r="P135" s="140"/>
      <c r="Q135" s="17" t="e">
        <f t="shared" si="2"/>
        <v>#VALUE!</v>
      </c>
      <c r="S135" s="18"/>
    </row>
    <row r="136" spans="1:19" s="17" customFormat="1" ht="18.95" customHeight="1" outlineLevel="1" x14ac:dyDescent="0.25">
      <c r="A136" s="148"/>
      <c r="B136" s="148"/>
      <c r="C136" s="148"/>
      <c r="D136" s="137">
        <v>43454</v>
      </c>
      <c r="E136" s="137" t="s">
        <v>606</v>
      </c>
      <c r="F136" s="12">
        <v>43466</v>
      </c>
      <c r="G136" s="12">
        <v>43646</v>
      </c>
      <c r="H136" s="149"/>
      <c r="I136" s="15" t="s">
        <v>23</v>
      </c>
      <c r="J136" s="14" t="s">
        <v>23</v>
      </c>
      <c r="K136" s="14" t="s">
        <v>23</v>
      </c>
      <c r="L136" s="5" t="s">
        <v>23</v>
      </c>
      <c r="M136" s="5" t="s">
        <v>23</v>
      </c>
      <c r="N136" s="5" t="s">
        <v>23</v>
      </c>
      <c r="O136" s="13">
        <v>2101.35</v>
      </c>
      <c r="P136" s="139"/>
      <c r="Q136" s="17">
        <f t="shared" si="2"/>
        <v>1751.125</v>
      </c>
      <c r="S136" s="18"/>
    </row>
    <row r="137" spans="1:19" s="17" customFormat="1" ht="18.95" customHeight="1" outlineLevel="1" x14ac:dyDescent="0.25">
      <c r="A137" s="147"/>
      <c r="B137" s="147"/>
      <c r="C137" s="147"/>
      <c r="D137" s="141"/>
      <c r="E137" s="141"/>
      <c r="F137" s="12">
        <v>43647</v>
      </c>
      <c r="G137" s="12">
        <v>43830</v>
      </c>
      <c r="H137" s="151"/>
      <c r="I137" s="15" t="s">
        <v>23</v>
      </c>
      <c r="J137" s="14" t="s">
        <v>23</v>
      </c>
      <c r="K137" s="14" t="s">
        <v>23</v>
      </c>
      <c r="L137" s="5" t="s">
        <v>23</v>
      </c>
      <c r="M137" s="5" t="s">
        <v>23</v>
      </c>
      <c r="N137" s="5" t="s">
        <v>23</v>
      </c>
      <c r="O137" s="13">
        <v>2141.5700000000002</v>
      </c>
      <c r="P137" s="140"/>
      <c r="Q137" s="17">
        <f t="shared" si="2"/>
        <v>1784.6416666666669</v>
      </c>
      <c r="S137" s="18"/>
    </row>
    <row r="138" spans="1:19" s="17" customFormat="1" ht="18.95" customHeight="1" outlineLevel="1" x14ac:dyDescent="0.25">
      <c r="A138" s="146" t="s">
        <v>48</v>
      </c>
      <c r="B138" s="146" t="s">
        <v>191</v>
      </c>
      <c r="C138" s="146" t="s">
        <v>338</v>
      </c>
      <c r="D138" s="137">
        <v>42723</v>
      </c>
      <c r="E138" s="137" t="s">
        <v>685</v>
      </c>
      <c r="F138" s="12">
        <v>43466</v>
      </c>
      <c r="G138" s="12">
        <v>43646</v>
      </c>
      <c r="H138" s="142" t="s">
        <v>686</v>
      </c>
      <c r="I138" s="13">
        <v>2608.15</v>
      </c>
      <c r="J138" s="14" t="s">
        <v>23</v>
      </c>
      <c r="K138" s="14" t="s">
        <v>23</v>
      </c>
      <c r="L138" s="5" t="s">
        <v>23</v>
      </c>
      <c r="M138" s="5" t="s">
        <v>23</v>
      </c>
      <c r="N138" s="5" t="s">
        <v>23</v>
      </c>
      <c r="O138" s="4"/>
      <c r="P138" s="139"/>
      <c r="Q138" s="17">
        <f t="shared" si="2"/>
        <v>0</v>
      </c>
      <c r="S138" s="18"/>
    </row>
    <row r="139" spans="1:19" s="17" customFormat="1" ht="18.95" customHeight="1" outlineLevel="1" x14ac:dyDescent="0.25">
      <c r="A139" s="148" t="s">
        <v>48</v>
      </c>
      <c r="B139" s="148" t="s">
        <v>203</v>
      </c>
      <c r="C139" s="148" t="s">
        <v>205</v>
      </c>
      <c r="D139" s="141"/>
      <c r="E139" s="141"/>
      <c r="F139" s="12">
        <v>43647</v>
      </c>
      <c r="G139" s="12">
        <v>43830</v>
      </c>
      <c r="H139" s="143"/>
      <c r="I139" s="13">
        <v>2637.09</v>
      </c>
      <c r="J139" s="14" t="s">
        <v>23</v>
      </c>
      <c r="K139" s="14" t="s">
        <v>23</v>
      </c>
      <c r="L139" s="5" t="s">
        <v>23</v>
      </c>
      <c r="M139" s="5" t="s">
        <v>23</v>
      </c>
      <c r="N139" s="5" t="s">
        <v>23</v>
      </c>
      <c r="O139" s="4"/>
      <c r="P139" s="140"/>
      <c r="Q139" s="17">
        <f t="shared" si="2"/>
        <v>0</v>
      </c>
      <c r="S139" s="18"/>
    </row>
    <row r="140" spans="1:19" s="17" customFormat="1" ht="18.95" customHeight="1" outlineLevel="1" x14ac:dyDescent="0.25">
      <c r="A140" s="148"/>
      <c r="B140" s="148"/>
      <c r="C140" s="148"/>
      <c r="D140" s="137">
        <v>43454</v>
      </c>
      <c r="E140" s="137" t="s">
        <v>606</v>
      </c>
      <c r="F140" s="12">
        <v>43466</v>
      </c>
      <c r="G140" s="12">
        <v>43646</v>
      </c>
      <c r="H140" s="149"/>
      <c r="I140" s="15" t="s">
        <v>23</v>
      </c>
      <c r="J140" s="14" t="s">
        <v>23</v>
      </c>
      <c r="K140" s="14" t="s">
        <v>23</v>
      </c>
      <c r="L140" s="5" t="s">
        <v>23</v>
      </c>
      <c r="M140" s="5" t="s">
        <v>23</v>
      </c>
      <c r="N140" s="5" t="s">
        <v>23</v>
      </c>
      <c r="O140" s="13">
        <v>2523.81</v>
      </c>
      <c r="P140" s="139"/>
      <c r="Q140" s="17">
        <f t="shared" si="2"/>
        <v>2103.1750000000002</v>
      </c>
      <c r="S140" s="18"/>
    </row>
    <row r="141" spans="1:19" s="17" customFormat="1" ht="18.95" customHeight="1" outlineLevel="1" x14ac:dyDescent="0.25">
      <c r="A141" s="147"/>
      <c r="B141" s="147"/>
      <c r="C141" s="147"/>
      <c r="D141" s="141"/>
      <c r="E141" s="141"/>
      <c r="F141" s="12">
        <v>43647</v>
      </c>
      <c r="G141" s="12">
        <v>43830</v>
      </c>
      <c r="H141" s="151"/>
      <c r="I141" s="15" t="s">
        <v>23</v>
      </c>
      <c r="J141" s="14" t="s">
        <v>23</v>
      </c>
      <c r="K141" s="14" t="s">
        <v>23</v>
      </c>
      <c r="L141" s="5" t="s">
        <v>23</v>
      </c>
      <c r="M141" s="5" t="s">
        <v>23</v>
      </c>
      <c r="N141" s="5" t="s">
        <v>23</v>
      </c>
      <c r="O141" s="13">
        <v>2523.81</v>
      </c>
      <c r="P141" s="140"/>
      <c r="Q141" s="17">
        <f t="shared" si="2"/>
        <v>2103.1750000000002</v>
      </c>
      <c r="S141" s="18"/>
    </row>
    <row r="142" spans="1:19" s="17" customFormat="1" ht="18.95" customHeight="1" outlineLevel="1" x14ac:dyDescent="0.25">
      <c r="A142" s="146" t="s">
        <v>48</v>
      </c>
      <c r="B142" s="146" t="s">
        <v>465</v>
      </c>
      <c r="C142" s="146" t="s">
        <v>683</v>
      </c>
      <c r="D142" s="137">
        <v>42717</v>
      </c>
      <c r="E142" s="137" t="s">
        <v>687</v>
      </c>
      <c r="F142" s="12">
        <v>43466</v>
      </c>
      <c r="G142" s="12">
        <v>43646</v>
      </c>
      <c r="H142" s="142" t="s">
        <v>688</v>
      </c>
      <c r="I142" s="13">
        <v>1627.51</v>
      </c>
      <c r="J142" s="89" t="s">
        <v>23</v>
      </c>
      <c r="K142" s="89" t="s">
        <v>23</v>
      </c>
      <c r="L142" s="92" t="s">
        <v>23</v>
      </c>
      <c r="M142" s="92" t="s">
        <v>23</v>
      </c>
      <c r="N142" s="92" t="s">
        <v>23</v>
      </c>
      <c r="O142" s="4" t="s">
        <v>23</v>
      </c>
      <c r="P142" s="139"/>
      <c r="Q142" s="17" t="e">
        <f t="shared" si="2"/>
        <v>#VALUE!</v>
      </c>
      <c r="S142" s="18"/>
    </row>
    <row r="143" spans="1:19" s="17" customFormat="1" ht="18.95" customHeight="1" outlineLevel="1" x14ac:dyDescent="0.25">
      <c r="A143" s="148" t="s">
        <v>48</v>
      </c>
      <c r="B143" s="148" t="s">
        <v>203</v>
      </c>
      <c r="C143" s="148" t="s">
        <v>205</v>
      </c>
      <c r="D143" s="141"/>
      <c r="E143" s="141"/>
      <c r="F143" s="12">
        <v>43647</v>
      </c>
      <c r="G143" s="12">
        <v>43830</v>
      </c>
      <c r="H143" s="143"/>
      <c r="I143" s="13">
        <v>1689.01</v>
      </c>
      <c r="J143" s="89" t="s">
        <v>23</v>
      </c>
      <c r="K143" s="89" t="s">
        <v>23</v>
      </c>
      <c r="L143" s="92" t="s">
        <v>23</v>
      </c>
      <c r="M143" s="92" t="s">
        <v>23</v>
      </c>
      <c r="N143" s="92" t="s">
        <v>23</v>
      </c>
      <c r="O143" s="4" t="s">
        <v>23</v>
      </c>
      <c r="P143" s="140"/>
      <c r="Q143" s="17" t="e">
        <f t="shared" si="2"/>
        <v>#VALUE!</v>
      </c>
      <c r="S143" s="18"/>
    </row>
    <row r="144" spans="1:19" s="17" customFormat="1" ht="18.95" customHeight="1" outlineLevel="1" x14ac:dyDescent="0.25">
      <c r="A144" s="148"/>
      <c r="B144" s="148"/>
      <c r="C144" s="148"/>
      <c r="D144" s="137">
        <v>43454</v>
      </c>
      <c r="E144" s="137" t="s">
        <v>606</v>
      </c>
      <c r="F144" s="12">
        <v>43466</v>
      </c>
      <c r="G144" s="12">
        <v>43646</v>
      </c>
      <c r="H144" s="149"/>
      <c r="I144" s="91" t="s">
        <v>23</v>
      </c>
      <c r="J144" s="89" t="s">
        <v>23</v>
      </c>
      <c r="K144" s="89" t="s">
        <v>23</v>
      </c>
      <c r="L144" s="92" t="s">
        <v>23</v>
      </c>
      <c r="M144" s="92" t="s">
        <v>23</v>
      </c>
      <c r="N144" s="92" t="s">
        <v>23</v>
      </c>
      <c r="O144" s="13">
        <v>1953.01</v>
      </c>
      <c r="P144" s="139"/>
      <c r="Q144" s="17">
        <f t="shared" si="2"/>
        <v>1627.5083333333334</v>
      </c>
      <c r="S144" s="18"/>
    </row>
    <row r="145" spans="1:724 1028:1028" s="17" customFormat="1" ht="18.95" customHeight="1" outlineLevel="1" x14ac:dyDescent="0.25">
      <c r="A145" s="147"/>
      <c r="B145" s="147"/>
      <c r="C145" s="147"/>
      <c r="D145" s="141"/>
      <c r="E145" s="141"/>
      <c r="F145" s="12">
        <v>43647</v>
      </c>
      <c r="G145" s="12">
        <v>43830</v>
      </c>
      <c r="H145" s="151"/>
      <c r="I145" s="91" t="s">
        <v>23</v>
      </c>
      <c r="J145" s="89" t="s">
        <v>23</v>
      </c>
      <c r="K145" s="89" t="s">
        <v>23</v>
      </c>
      <c r="L145" s="92" t="s">
        <v>23</v>
      </c>
      <c r="M145" s="92" t="s">
        <v>23</v>
      </c>
      <c r="N145" s="92" t="s">
        <v>23</v>
      </c>
      <c r="O145" s="13">
        <v>1992.07</v>
      </c>
      <c r="P145" s="140"/>
      <c r="Q145" s="17">
        <f t="shared" si="2"/>
        <v>1660.0583333333334</v>
      </c>
      <c r="S145" s="18"/>
    </row>
    <row r="146" spans="1:724 1028:1028" s="17" customFormat="1" ht="18.95" customHeight="1" outlineLevel="1" x14ac:dyDescent="0.25">
      <c r="A146" s="146" t="s">
        <v>48</v>
      </c>
      <c r="B146" s="146" t="s">
        <v>191</v>
      </c>
      <c r="C146" s="157" t="s">
        <v>111</v>
      </c>
      <c r="D146" s="137">
        <v>42723</v>
      </c>
      <c r="E146" s="137" t="s">
        <v>637</v>
      </c>
      <c r="F146" s="12">
        <v>43466</v>
      </c>
      <c r="G146" s="12">
        <v>43646</v>
      </c>
      <c r="H146" s="142" t="s">
        <v>636</v>
      </c>
      <c r="I146" s="13">
        <v>1871.72</v>
      </c>
      <c r="J146" s="14" t="s">
        <v>23</v>
      </c>
      <c r="K146" s="14" t="s">
        <v>23</v>
      </c>
      <c r="L146" s="5" t="s">
        <v>23</v>
      </c>
      <c r="M146" s="5" t="s">
        <v>23</v>
      </c>
      <c r="N146" s="5" t="s">
        <v>23</v>
      </c>
      <c r="O146" s="15" t="s">
        <v>23</v>
      </c>
      <c r="P146" s="139"/>
      <c r="Q146" s="17" t="e">
        <f t="shared" si="2"/>
        <v>#VALUE!</v>
      </c>
      <c r="S146" s="18"/>
    </row>
    <row r="147" spans="1:724 1028:1028" s="17" customFormat="1" ht="18.95" customHeight="1" outlineLevel="1" x14ac:dyDescent="0.25">
      <c r="A147" s="148" t="s">
        <v>48</v>
      </c>
      <c r="B147" s="148" t="s">
        <v>223</v>
      </c>
      <c r="C147" s="157"/>
      <c r="D147" s="141"/>
      <c r="E147" s="141"/>
      <c r="F147" s="12">
        <v>43647</v>
      </c>
      <c r="G147" s="12">
        <v>43830</v>
      </c>
      <c r="H147" s="143"/>
      <c r="I147" s="13">
        <v>1933.59</v>
      </c>
      <c r="J147" s="14" t="s">
        <v>23</v>
      </c>
      <c r="K147" s="14" t="s">
        <v>23</v>
      </c>
      <c r="L147" s="5" t="s">
        <v>23</v>
      </c>
      <c r="M147" s="5" t="s">
        <v>23</v>
      </c>
      <c r="N147" s="5" t="s">
        <v>23</v>
      </c>
      <c r="O147" s="15" t="s">
        <v>23</v>
      </c>
      <c r="P147" s="140"/>
      <c r="Q147" s="17" t="e">
        <f t="shared" si="2"/>
        <v>#VALUE!</v>
      </c>
      <c r="S147" s="18"/>
    </row>
    <row r="148" spans="1:724 1028:1028" s="17" customFormat="1" ht="18.95" customHeight="1" outlineLevel="1" x14ac:dyDescent="0.25">
      <c r="A148" s="148"/>
      <c r="B148" s="148"/>
      <c r="C148" s="157"/>
      <c r="D148" s="156">
        <v>43454</v>
      </c>
      <c r="E148" s="156" t="s">
        <v>638</v>
      </c>
      <c r="F148" s="12">
        <v>43466</v>
      </c>
      <c r="G148" s="12">
        <v>43646</v>
      </c>
      <c r="H148" s="142"/>
      <c r="I148" s="15" t="s">
        <v>23</v>
      </c>
      <c r="J148" s="14" t="s">
        <v>23</v>
      </c>
      <c r="K148" s="14" t="s">
        <v>23</v>
      </c>
      <c r="L148" s="5" t="s">
        <v>23</v>
      </c>
      <c r="M148" s="5" t="s">
        <v>23</v>
      </c>
      <c r="N148" s="5" t="s">
        <v>23</v>
      </c>
      <c r="O148" s="13">
        <v>2246.06</v>
      </c>
      <c r="P148" s="144" t="s">
        <v>444</v>
      </c>
      <c r="Q148" s="17">
        <f t="shared" si="2"/>
        <v>1871.7166666666667</v>
      </c>
      <c r="S148" s="18"/>
      <c r="AAV148" s="17">
        <v>0</v>
      </c>
      <c r="AMN148" s="17">
        <v>0</v>
      </c>
    </row>
    <row r="149" spans="1:724 1028:1028" s="17" customFormat="1" ht="18.95" customHeight="1" outlineLevel="1" x14ac:dyDescent="0.25">
      <c r="A149" s="148"/>
      <c r="B149" s="148"/>
      <c r="C149" s="157"/>
      <c r="D149" s="156"/>
      <c r="E149" s="156"/>
      <c r="F149" s="12">
        <v>43647</v>
      </c>
      <c r="G149" s="12">
        <v>43830</v>
      </c>
      <c r="H149" s="154"/>
      <c r="I149" s="15" t="s">
        <v>23</v>
      </c>
      <c r="J149" s="14" t="s">
        <v>23</v>
      </c>
      <c r="K149" s="14" t="s">
        <v>23</v>
      </c>
      <c r="L149" s="5" t="s">
        <v>23</v>
      </c>
      <c r="M149" s="5" t="s">
        <v>23</v>
      </c>
      <c r="N149" s="5" t="s">
        <v>23</v>
      </c>
      <c r="O149" s="13">
        <v>2290.9899999999998</v>
      </c>
      <c r="P149" s="145"/>
      <c r="Q149" s="17">
        <f t="shared" si="2"/>
        <v>1909.1583333333333</v>
      </c>
      <c r="S149" s="18"/>
    </row>
    <row r="150" spans="1:724 1028:1028" s="17" customFormat="1" ht="18.95" customHeight="1" outlineLevel="1" x14ac:dyDescent="0.25">
      <c r="A150" s="148"/>
      <c r="B150" s="148"/>
      <c r="C150" s="157"/>
      <c r="D150" s="156"/>
      <c r="E150" s="156"/>
      <c r="F150" s="12">
        <v>43466</v>
      </c>
      <c r="G150" s="12">
        <v>43646</v>
      </c>
      <c r="H150" s="155"/>
      <c r="I150" s="15" t="s">
        <v>23</v>
      </c>
      <c r="J150" s="14" t="s">
        <v>23</v>
      </c>
      <c r="K150" s="14" t="s">
        <v>23</v>
      </c>
      <c r="L150" s="5" t="s">
        <v>23</v>
      </c>
      <c r="M150" s="5" t="s">
        <v>23</v>
      </c>
      <c r="N150" s="5" t="s">
        <v>23</v>
      </c>
      <c r="O150" s="13">
        <v>963.13</v>
      </c>
      <c r="P150" s="144" t="s">
        <v>455</v>
      </c>
      <c r="Q150" s="17">
        <f t="shared" si="2"/>
        <v>802.60833333333335</v>
      </c>
      <c r="S150" s="18"/>
    </row>
    <row r="151" spans="1:724 1028:1028" s="17" customFormat="1" ht="18.95" customHeight="1" outlineLevel="1" x14ac:dyDescent="0.25">
      <c r="A151" s="148"/>
      <c r="B151" s="148"/>
      <c r="C151" s="157"/>
      <c r="D151" s="156"/>
      <c r="E151" s="156"/>
      <c r="F151" s="12">
        <v>43647</v>
      </c>
      <c r="G151" s="12">
        <v>43830</v>
      </c>
      <c r="H151" s="155"/>
      <c r="I151" s="15" t="s">
        <v>23</v>
      </c>
      <c r="J151" s="14" t="s">
        <v>23</v>
      </c>
      <c r="K151" s="14" t="s">
        <v>23</v>
      </c>
      <c r="L151" s="5" t="s">
        <v>23</v>
      </c>
      <c r="M151" s="5" t="s">
        <v>23</v>
      </c>
      <c r="N151" s="5" t="s">
        <v>23</v>
      </c>
      <c r="O151" s="13">
        <v>982.39</v>
      </c>
      <c r="P151" s="145"/>
      <c r="Q151" s="17">
        <f t="shared" si="2"/>
        <v>818.6583333333333</v>
      </c>
      <c r="S151" s="18"/>
    </row>
    <row r="152" spans="1:724 1028:1028" s="17" customFormat="1" ht="18.95" customHeight="1" outlineLevel="1" x14ac:dyDescent="0.25">
      <c r="A152" s="148"/>
      <c r="B152" s="148"/>
      <c r="C152" s="157"/>
      <c r="D152" s="156"/>
      <c r="E152" s="156"/>
      <c r="F152" s="12">
        <v>43466</v>
      </c>
      <c r="G152" s="12">
        <v>43646</v>
      </c>
      <c r="H152" s="155"/>
      <c r="I152" s="15" t="s">
        <v>23</v>
      </c>
      <c r="J152" s="14" t="s">
        <v>23</v>
      </c>
      <c r="K152" s="14" t="s">
        <v>23</v>
      </c>
      <c r="L152" s="5" t="s">
        <v>23</v>
      </c>
      <c r="M152" s="5" t="s">
        <v>23</v>
      </c>
      <c r="N152" s="5" t="s">
        <v>23</v>
      </c>
      <c r="O152" s="13">
        <v>922.88</v>
      </c>
      <c r="P152" s="144" t="s">
        <v>452</v>
      </c>
      <c r="Q152" s="17">
        <f t="shared" si="2"/>
        <v>769.06666666666672</v>
      </c>
      <c r="S152" s="18"/>
    </row>
    <row r="153" spans="1:724 1028:1028" s="17" customFormat="1" ht="18.95" customHeight="1" outlineLevel="1" x14ac:dyDescent="0.25">
      <c r="A153" s="148"/>
      <c r="B153" s="148"/>
      <c r="C153" s="157"/>
      <c r="D153" s="156"/>
      <c r="E153" s="156"/>
      <c r="F153" s="12">
        <v>43647</v>
      </c>
      <c r="G153" s="12">
        <v>43830</v>
      </c>
      <c r="H153" s="155"/>
      <c r="I153" s="15" t="s">
        <v>23</v>
      </c>
      <c r="J153" s="14" t="s">
        <v>23</v>
      </c>
      <c r="K153" s="14" t="s">
        <v>23</v>
      </c>
      <c r="L153" s="5" t="s">
        <v>23</v>
      </c>
      <c r="M153" s="5" t="s">
        <v>23</v>
      </c>
      <c r="N153" s="5" t="s">
        <v>23</v>
      </c>
      <c r="O153" s="13">
        <v>941.34</v>
      </c>
      <c r="P153" s="145"/>
      <c r="Q153" s="17">
        <f t="shared" si="2"/>
        <v>784.45</v>
      </c>
      <c r="S153" s="18"/>
    </row>
    <row r="154" spans="1:724 1028:1028" s="17" customFormat="1" ht="18.95" customHeight="1" outlineLevel="1" x14ac:dyDescent="0.25">
      <c r="A154" s="148"/>
      <c r="B154" s="148"/>
      <c r="C154" s="157"/>
      <c r="D154" s="156"/>
      <c r="E154" s="156"/>
      <c r="F154" s="12">
        <v>43466</v>
      </c>
      <c r="G154" s="12">
        <v>43646</v>
      </c>
      <c r="H154" s="149"/>
      <c r="I154" s="15" t="s">
        <v>23</v>
      </c>
      <c r="J154" s="14" t="s">
        <v>23</v>
      </c>
      <c r="K154" s="14" t="s">
        <v>23</v>
      </c>
      <c r="L154" s="5" t="s">
        <v>23</v>
      </c>
      <c r="M154" s="5" t="s">
        <v>23</v>
      </c>
      <c r="N154" s="5" t="s">
        <v>23</v>
      </c>
      <c r="O154" s="13">
        <v>912.43</v>
      </c>
      <c r="P154" s="144" t="s">
        <v>456</v>
      </c>
      <c r="Q154" s="17">
        <f t="shared" si="2"/>
        <v>760.35833333333335</v>
      </c>
      <c r="S154" s="18"/>
    </row>
    <row r="155" spans="1:724 1028:1028" s="17" customFormat="1" ht="18.95" customHeight="1" outlineLevel="1" x14ac:dyDescent="0.25">
      <c r="A155" s="147"/>
      <c r="B155" s="147"/>
      <c r="C155" s="157"/>
      <c r="D155" s="156"/>
      <c r="E155" s="156"/>
      <c r="F155" s="12">
        <v>43647</v>
      </c>
      <c r="G155" s="12">
        <v>43830</v>
      </c>
      <c r="H155" s="151"/>
      <c r="I155" s="15" t="s">
        <v>23</v>
      </c>
      <c r="J155" s="14" t="s">
        <v>23</v>
      </c>
      <c r="K155" s="14" t="s">
        <v>23</v>
      </c>
      <c r="L155" s="5" t="s">
        <v>23</v>
      </c>
      <c r="M155" s="5" t="s">
        <v>23</v>
      </c>
      <c r="N155" s="5" t="s">
        <v>23</v>
      </c>
      <c r="O155" s="13">
        <v>930.68</v>
      </c>
      <c r="P155" s="145"/>
      <c r="Q155" s="17">
        <f t="shared" si="2"/>
        <v>775.56666666666661</v>
      </c>
      <c r="S155" s="18"/>
    </row>
    <row r="156" spans="1:724 1028:1028" s="17" customFormat="1" ht="18.95" customHeight="1" outlineLevel="1" x14ac:dyDescent="0.25">
      <c r="A156" s="146" t="s">
        <v>48</v>
      </c>
      <c r="B156" s="146" t="s">
        <v>216</v>
      </c>
      <c r="C156" s="146" t="s">
        <v>111</v>
      </c>
      <c r="D156" s="137">
        <v>42723</v>
      </c>
      <c r="E156" s="137" t="s">
        <v>637</v>
      </c>
      <c r="F156" s="12">
        <v>43466</v>
      </c>
      <c r="G156" s="12">
        <v>43646</v>
      </c>
      <c r="H156" s="142" t="s">
        <v>636</v>
      </c>
      <c r="I156" s="13">
        <v>1871.72</v>
      </c>
      <c r="J156" s="14" t="s">
        <v>23</v>
      </c>
      <c r="K156" s="14" t="s">
        <v>23</v>
      </c>
      <c r="L156" s="5" t="s">
        <v>23</v>
      </c>
      <c r="M156" s="5" t="s">
        <v>23</v>
      </c>
      <c r="N156" s="5" t="s">
        <v>23</v>
      </c>
      <c r="O156" s="15" t="s">
        <v>23</v>
      </c>
      <c r="P156" s="139"/>
      <c r="Q156" s="17" t="e">
        <f t="shared" si="2"/>
        <v>#VALUE!</v>
      </c>
      <c r="S156" s="18"/>
    </row>
    <row r="157" spans="1:724 1028:1028" s="17" customFormat="1" ht="18.95" customHeight="1" outlineLevel="1" x14ac:dyDescent="0.25">
      <c r="A157" s="148"/>
      <c r="B157" s="148" t="s">
        <v>223</v>
      </c>
      <c r="C157" s="148"/>
      <c r="D157" s="141"/>
      <c r="E157" s="141"/>
      <c r="F157" s="12">
        <v>43647</v>
      </c>
      <c r="G157" s="12">
        <v>43830</v>
      </c>
      <c r="H157" s="143"/>
      <c r="I157" s="13">
        <v>1933.59</v>
      </c>
      <c r="J157" s="14" t="s">
        <v>23</v>
      </c>
      <c r="K157" s="14" t="s">
        <v>23</v>
      </c>
      <c r="L157" s="5" t="s">
        <v>23</v>
      </c>
      <c r="M157" s="5" t="s">
        <v>23</v>
      </c>
      <c r="N157" s="5" t="s">
        <v>23</v>
      </c>
      <c r="O157" s="15" t="s">
        <v>23</v>
      </c>
      <c r="P157" s="140"/>
      <c r="Q157" s="17" t="e">
        <f t="shared" si="2"/>
        <v>#VALUE!</v>
      </c>
      <c r="S157" s="18"/>
    </row>
    <row r="158" spans="1:724 1028:1028" s="17" customFormat="1" ht="18.95" customHeight="1" outlineLevel="1" x14ac:dyDescent="0.25">
      <c r="A158" s="148"/>
      <c r="B158" s="148"/>
      <c r="C158" s="148"/>
      <c r="D158" s="137">
        <v>43454</v>
      </c>
      <c r="E158" s="137" t="s">
        <v>638</v>
      </c>
      <c r="F158" s="12">
        <v>43466</v>
      </c>
      <c r="G158" s="12">
        <v>43646</v>
      </c>
      <c r="H158" s="142"/>
      <c r="I158" s="15" t="s">
        <v>23</v>
      </c>
      <c r="J158" s="14" t="s">
        <v>23</v>
      </c>
      <c r="K158" s="14" t="s">
        <v>23</v>
      </c>
      <c r="L158" s="5" t="s">
        <v>23</v>
      </c>
      <c r="M158" s="5" t="s">
        <v>23</v>
      </c>
      <c r="N158" s="5" t="s">
        <v>23</v>
      </c>
      <c r="O158" s="13">
        <v>2246.06</v>
      </c>
      <c r="P158" s="139"/>
      <c r="Q158" s="17">
        <f t="shared" si="2"/>
        <v>1871.7166666666667</v>
      </c>
      <c r="S158" s="18"/>
    </row>
    <row r="159" spans="1:724 1028:1028" s="17" customFormat="1" ht="18.95" customHeight="1" outlineLevel="1" x14ac:dyDescent="0.25">
      <c r="A159" s="147"/>
      <c r="B159" s="147"/>
      <c r="C159" s="147"/>
      <c r="D159" s="141"/>
      <c r="E159" s="141"/>
      <c r="F159" s="12">
        <v>43647</v>
      </c>
      <c r="G159" s="12">
        <v>43830</v>
      </c>
      <c r="H159" s="143"/>
      <c r="I159" s="15" t="s">
        <v>23</v>
      </c>
      <c r="J159" s="14" t="s">
        <v>23</v>
      </c>
      <c r="K159" s="14" t="s">
        <v>23</v>
      </c>
      <c r="L159" s="5" t="s">
        <v>23</v>
      </c>
      <c r="M159" s="5" t="s">
        <v>23</v>
      </c>
      <c r="N159" s="5" t="s">
        <v>23</v>
      </c>
      <c r="O159" s="13">
        <v>2290.9899999999998</v>
      </c>
      <c r="P159" s="140"/>
      <c r="Q159" s="17">
        <f t="shared" si="2"/>
        <v>1909.1583333333333</v>
      </c>
      <c r="S159" s="18"/>
    </row>
    <row r="160" spans="1:724 1028:1028" s="17" customFormat="1" ht="18.95" customHeight="1" outlineLevel="1" x14ac:dyDescent="0.25">
      <c r="A160" s="146" t="s">
        <v>48</v>
      </c>
      <c r="B160" s="146" t="s">
        <v>207</v>
      </c>
      <c r="C160" s="146" t="s">
        <v>366</v>
      </c>
      <c r="D160" s="137">
        <v>43453</v>
      </c>
      <c r="E160" s="137" t="s">
        <v>689</v>
      </c>
      <c r="F160" s="12">
        <v>43466</v>
      </c>
      <c r="G160" s="12">
        <v>43646</v>
      </c>
      <c r="H160" s="142"/>
      <c r="I160" s="13">
        <v>1577.84</v>
      </c>
      <c r="J160" s="14" t="s">
        <v>23</v>
      </c>
      <c r="K160" s="14" t="s">
        <v>23</v>
      </c>
      <c r="L160" s="5" t="s">
        <v>23</v>
      </c>
      <c r="M160" s="5" t="s">
        <v>23</v>
      </c>
      <c r="N160" s="5" t="s">
        <v>23</v>
      </c>
      <c r="O160" s="15" t="s">
        <v>23</v>
      </c>
      <c r="P160" s="139"/>
      <c r="Q160" s="17" t="e">
        <f t="shared" si="2"/>
        <v>#VALUE!</v>
      </c>
      <c r="S160" s="18"/>
    </row>
    <row r="161" spans="1:19" s="17" customFormat="1" ht="18.95" customHeight="1" outlineLevel="1" x14ac:dyDescent="0.25">
      <c r="A161" s="147" t="s">
        <v>48</v>
      </c>
      <c r="B161" s="147" t="s">
        <v>207</v>
      </c>
      <c r="C161" s="147" t="s">
        <v>208</v>
      </c>
      <c r="D161" s="141"/>
      <c r="E161" s="141"/>
      <c r="F161" s="12">
        <v>43647</v>
      </c>
      <c r="G161" s="12">
        <v>43830</v>
      </c>
      <c r="H161" s="143"/>
      <c r="I161" s="13">
        <v>1606.4</v>
      </c>
      <c r="J161" s="14" t="s">
        <v>23</v>
      </c>
      <c r="K161" s="14" t="s">
        <v>23</v>
      </c>
      <c r="L161" s="5" t="s">
        <v>23</v>
      </c>
      <c r="M161" s="5" t="s">
        <v>23</v>
      </c>
      <c r="N161" s="5" t="s">
        <v>23</v>
      </c>
      <c r="O161" s="15" t="s">
        <v>23</v>
      </c>
      <c r="P161" s="140"/>
      <c r="Q161" s="17" t="e">
        <f t="shared" si="2"/>
        <v>#VALUE!</v>
      </c>
      <c r="S161" s="18"/>
    </row>
    <row r="162" spans="1:19" s="17" customFormat="1" ht="18.95" customHeight="1" outlineLevel="1" x14ac:dyDescent="0.25">
      <c r="A162" s="146" t="s">
        <v>48</v>
      </c>
      <c r="B162" s="146" t="s">
        <v>216</v>
      </c>
      <c r="C162" s="146" t="s">
        <v>217</v>
      </c>
      <c r="D162" s="137">
        <v>43434</v>
      </c>
      <c r="E162" s="137" t="s">
        <v>607</v>
      </c>
      <c r="F162" s="12">
        <v>43466</v>
      </c>
      <c r="G162" s="12">
        <v>43646</v>
      </c>
      <c r="H162" s="142"/>
      <c r="I162" s="13">
        <v>1510.43</v>
      </c>
      <c r="J162" s="14" t="s">
        <v>23</v>
      </c>
      <c r="K162" s="14" t="s">
        <v>23</v>
      </c>
      <c r="L162" s="5" t="s">
        <v>23</v>
      </c>
      <c r="M162" s="5" t="s">
        <v>23</v>
      </c>
      <c r="N162" s="5" t="s">
        <v>23</v>
      </c>
      <c r="O162" s="4" t="s">
        <v>23</v>
      </c>
      <c r="P162" s="139"/>
      <c r="S162" s="18"/>
    </row>
    <row r="163" spans="1:19" s="17" customFormat="1" ht="18.95" customHeight="1" outlineLevel="1" x14ac:dyDescent="0.25">
      <c r="A163" s="148"/>
      <c r="B163" s="148"/>
      <c r="C163" s="148"/>
      <c r="D163" s="141"/>
      <c r="E163" s="141"/>
      <c r="F163" s="12">
        <v>43647</v>
      </c>
      <c r="G163" s="12">
        <v>43830</v>
      </c>
      <c r="H163" s="143"/>
      <c r="I163" s="13">
        <v>1533.08</v>
      </c>
      <c r="J163" s="14" t="s">
        <v>23</v>
      </c>
      <c r="K163" s="14" t="s">
        <v>23</v>
      </c>
      <c r="L163" s="5" t="s">
        <v>23</v>
      </c>
      <c r="M163" s="5" t="s">
        <v>23</v>
      </c>
      <c r="N163" s="5" t="s">
        <v>23</v>
      </c>
      <c r="O163" s="4" t="s">
        <v>23</v>
      </c>
      <c r="P163" s="140"/>
      <c r="S163" s="18"/>
    </row>
    <row r="164" spans="1:19" s="86" customFormat="1" ht="31.5" customHeight="1" outlineLevel="1" x14ac:dyDescent="0.25">
      <c r="A164" s="148"/>
      <c r="B164" s="148"/>
      <c r="C164" s="148"/>
      <c r="D164" s="137">
        <v>43454</v>
      </c>
      <c r="E164" s="137" t="s">
        <v>606</v>
      </c>
      <c r="F164" s="12">
        <v>43466</v>
      </c>
      <c r="G164" s="12">
        <v>43646</v>
      </c>
      <c r="H164" s="149"/>
      <c r="I164" s="15" t="s">
        <v>23</v>
      </c>
      <c r="J164" s="14" t="s">
        <v>23</v>
      </c>
      <c r="K164" s="14" t="s">
        <v>23</v>
      </c>
      <c r="L164" s="5" t="s">
        <v>23</v>
      </c>
      <c r="M164" s="5" t="s">
        <v>23</v>
      </c>
      <c r="N164" s="5" t="s">
        <v>23</v>
      </c>
      <c r="O164" s="13">
        <v>1812.52</v>
      </c>
      <c r="P164" s="139"/>
      <c r="Q164" s="17">
        <f t="shared" si="2"/>
        <v>1510.4333333333334</v>
      </c>
      <c r="S164" s="87"/>
    </row>
    <row r="165" spans="1:19" s="86" customFormat="1" ht="31.5" customHeight="1" outlineLevel="1" x14ac:dyDescent="0.25">
      <c r="A165" s="148"/>
      <c r="B165" s="148"/>
      <c r="C165" s="148"/>
      <c r="D165" s="138"/>
      <c r="E165" s="138"/>
      <c r="F165" s="12">
        <v>43647</v>
      </c>
      <c r="G165" s="12">
        <v>43830</v>
      </c>
      <c r="H165" s="151"/>
      <c r="I165" s="15" t="s">
        <v>23</v>
      </c>
      <c r="J165" s="14" t="s">
        <v>23</v>
      </c>
      <c r="K165" s="14" t="s">
        <v>23</v>
      </c>
      <c r="L165" s="5" t="s">
        <v>23</v>
      </c>
      <c r="M165" s="5" t="s">
        <v>23</v>
      </c>
      <c r="N165" s="5" t="s">
        <v>23</v>
      </c>
      <c r="O165" s="13">
        <v>1839.69</v>
      </c>
      <c r="P165" s="140"/>
      <c r="Q165" s="17">
        <f t="shared" si="2"/>
        <v>1533.075</v>
      </c>
      <c r="S165" s="87"/>
    </row>
    <row r="166" spans="1:19" s="17" customFormat="1" ht="18.95" customHeight="1" outlineLevel="1" x14ac:dyDescent="0.25">
      <c r="A166" s="148"/>
      <c r="B166" s="148"/>
      <c r="C166" s="148"/>
      <c r="D166" s="138"/>
      <c r="E166" s="138"/>
      <c r="F166" s="12">
        <v>43466</v>
      </c>
      <c r="G166" s="12">
        <v>43646</v>
      </c>
      <c r="H166" s="149"/>
      <c r="I166" s="15" t="s">
        <v>23</v>
      </c>
      <c r="J166" s="14"/>
      <c r="K166" s="14"/>
      <c r="L166" s="5"/>
      <c r="M166" s="5"/>
      <c r="N166" s="5"/>
      <c r="O166" s="13">
        <v>1440.07</v>
      </c>
      <c r="P166" s="153" t="s">
        <v>446</v>
      </c>
      <c r="Q166" s="17">
        <f t="shared" si="2"/>
        <v>1200.0583333333334</v>
      </c>
      <c r="S166" s="18"/>
    </row>
    <row r="167" spans="1:19" s="17" customFormat="1" ht="18.95" customHeight="1" outlineLevel="1" x14ac:dyDescent="0.25">
      <c r="A167" s="147"/>
      <c r="B167" s="147"/>
      <c r="C167" s="147"/>
      <c r="D167" s="141"/>
      <c r="E167" s="141"/>
      <c r="F167" s="12">
        <v>43647</v>
      </c>
      <c r="G167" s="12">
        <v>43830</v>
      </c>
      <c r="H167" s="151"/>
      <c r="I167" s="15" t="s">
        <v>23</v>
      </c>
      <c r="J167" s="14" t="s">
        <v>23</v>
      </c>
      <c r="K167" s="14" t="s">
        <v>23</v>
      </c>
      <c r="L167" s="5" t="s">
        <v>23</v>
      </c>
      <c r="M167" s="5" t="s">
        <v>23</v>
      </c>
      <c r="N167" s="5" t="s">
        <v>23</v>
      </c>
      <c r="O167" s="13">
        <v>1468.87</v>
      </c>
      <c r="P167" s="152"/>
      <c r="Q167" s="17">
        <f t="shared" si="2"/>
        <v>1224.0583333333334</v>
      </c>
      <c r="S167" s="18"/>
    </row>
    <row r="168" spans="1:19" s="17" customFormat="1" ht="18.95" customHeight="1" outlineLevel="1" x14ac:dyDescent="0.25">
      <c r="A168" s="146" t="s">
        <v>48</v>
      </c>
      <c r="B168" s="146" t="s">
        <v>215</v>
      </c>
      <c r="C168" s="146" t="s">
        <v>301</v>
      </c>
      <c r="D168" s="137">
        <v>42723</v>
      </c>
      <c r="E168" s="137" t="s">
        <v>695</v>
      </c>
      <c r="F168" s="12">
        <v>43466</v>
      </c>
      <c r="G168" s="12">
        <v>43646</v>
      </c>
      <c r="H168" s="146" t="s">
        <v>797</v>
      </c>
      <c r="I168" s="13">
        <v>2019.3</v>
      </c>
      <c r="J168" s="14" t="s">
        <v>23</v>
      </c>
      <c r="K168" s="14" t="s">
        <v>23</v>
      </c>
      <c r="L168" s="5" t="s">
        <v>23</v>
      </c>
      <c r="M168" s="5" t="s">
        <v>23</v>
      </c>
      <c r="N168" s="5" t="s">
        <v>23</v>
      </c>
      <c r="O168" s="15" t="s">
        <v>23</v>
      </c>
      <c r="P168" s="139"/>
      <c r="S168" s="18"/>
    </row>
    <row r="169" spans="1:19" s="17" customFormat="1" ht="18.95" customHeight="1" outlineLevel="1" x14ac:dyDescent="0.25">
      <c r="A169" s="148" t="s">
        <v>48</v>
      </c>
      <c r="B169" s="148" t="s">
        <v>215</v>
      </c>
      <c r="C169" s="148"/>
      <c r="D169" s="141"/>
      <c r="E169" s="141"/>
      <c r="F169" s="12">
        <v>43647</v>
      </c>
      <c r="G169" s="12">
        <v>43830</v>
      </c>
      <c r="H169" s="147"/>
      <c r="I169" s="13">
        <v>2069.86</v>
      </c>
      <c r="J169" s="14" t="s">
        <v>23</v>
      </c>
      <c r="K169" s="14" t="s">
        <v>23</v>
      </c>
      <c r="L169" s="5" t="s">
        <v>23</v>
      </c>
      <c r="M169" s="5" t="s">
        <v>23</v>
      </c>
      <c r="N169" s="5" t="s">
        <v>23</v>
      </c>
      <c r="O169" s="15" t="s">
        <v>23</v>
      </c>
      <c r="P169" s="140"/>
      <c r="S169" s="18"/>
    </row>
    <row r="170" spans="1:19" s="17" customFormat="1" ht="18.95" customHeight="1" outlineLevel="1" x14ac:dyDescent="0.25">
      <c r="A170" s="148"/>
      <c r="B170" s="148"/>
      <c r="C170" s="148"/>
      <c r="D170" s="137">
        <v>43454</v>
      </c>
      <c r="E170" s="137" t="s">
        <v>796</v>
      </c>
      <c r="F170" s="12">
        <v>43466</v>
      </c>
      <c r="G170" s="12">
        <v>43646</v>
      </c>
      <c r="H170" s="149"/>
      <c r="I170" s="15" t="s">
        <v>23</v>
      </c>
      <c r="J170" s="14" t="s">
        <v>23</v>
      </c>
      <c r="K170" s="14" t="s">
        <v>23</v>
      </c>
      <c r="L170" s="5" t="s">
        <v>23</v>
      </c>
      <c r="M170" s="5" t="s">
        <v>23</v>
      </c>
      <c r="N170" s="5" t="s">
        <v>23</v>
      </c>
      <c r="O170" s="13">
        <v>2157.9499999999998</v>
      </c>
      <c r="P170" s="139"/>
      <c r="Q170" s="17">
        <f t="shared" si="2"/>
        <v>1798.2916666666665</v>
      </c>
      <c r="S170" s="18"/>
    </row>
    <row r="171" spans="1:19" s="17" customFormat="1" ht="18.95" customHeight="1" outlineLevel="1" x14ac:dyDescent="0.25">
      <c r="A171" s="147"/>
      <c r="B171" s="147"/>
      <c r="C171" s="148"/>
      <c r="D171" s="141"/>
      <c r="E171" s="141"/>
      <c r="F171" s="12">
        <v>43647</v>
      </c>
      <c r="G171" s="12">
        <v>43830</v>
      </c>
      <c r="H171" s="151"/>
      <c r="I171" s="15" t="s">
        <v>23</v>
      </c>
      <c r="J171" s="14" t="s">
        <v>23</v>
      </c>
      <c r="K171" s="14" t="s">
        <v>23</v>
      </c>
      <c r="L171" s="5" t="s">
        <v>23</v>
      </c>
      <c r="M171" s="5" t="s">
        <v>23</v>
      </c>
      <c r="N171" s="5" t="s">
        <v>23</v>
      </c>
      <c r="O171" s="13">
        <v>2201.1</v>
      </c>
      <c r="P171" s="140"/>
      <c r="Q171" s="17">
        <f t="shared" si="2"/>
        <v>1834.25</v>
      </c>
      <c r="S171" s="18"/>
    </row>
    <row r="172" spans="1:19" s="17" customFormat="1" ht="18.95" customHeight="1" outlineLevel="1" x14ac:dyDescent="0.25">
      <c r="A172" s="146" t="s">
        <v>48</v>
      </c>
      <c r="B172" s="146" t="s">
        <v>222</v>
      </c>
      <c r="C172" s="148"/>
      <c r="D172" s="137">
        <v>42723</v>
      </c>
      <c r="E172" s="137" t="s">
        <v>695</v>
      </c>
      <c r="F172" s="12">
        <v>43466</v>
      </c>
      <c r="G172" s="12">
        <v>43646</v>
      </c>
      <c r="H172" s="146" t="s">
        <v>797</v>
      </c>
      <c r="I172" s="13">
        <v>2019.3</v>
      </c>
      <c r="J172" s="14" t="s">
        <v>23</v>
      </c>
      <c r="K172" s="14" t="s">
        <v>23</v>
      </c>
      <c r="L172" s="5" t="s">
        <v>23</v>
      </c>
      <c r="M172" s="5" t="s">
        <v>23</v>
      </c>
      <c r="N172" s="5" t="s">
        <v>23</v>
      </c>
      <c r="O172" s="15" t="s">
        <v>23</v>
      </c>
      <c r="P172" s="139"/>
      <c r="S172" s="18"/>
    </row>
    <row r="173" spans="1:19" s="17" customFormat="1" ht="18.95" customHeight="1" outlineLevel="1" x14ac:dyDescent="0.25">
      <c r="A173" s="148"/>
      <c r="B173" s="148"/>
      <c r="C173" s="148"/>
      <c r="D173" s="141"/>
      <c r="E173" s="141"/>
      <c r="F173" s="12">
        <v>43647</v>
      </c>
      <c r="G173" s="12">
        <v>43830</v>
      </c>
      <c r="H173" s="147"/>
      <c r="I173" s="13">
        <v>2069.86</v>
      </c>
      <c r="J173" s="14" t="s">
        <v>23</v>
      </c>
      <c r="K173" s="14" t="s">
        <v>23</v>
      </c>
      <c r="L173" s="5" t="s">
        <v>23</v>
      </c>
      <c r="M173" s="5" t="s">
        <v>23</v>
      </c>
      <c r="N173" s="5" t="s">
        <v>23</v>
      </c>
      <c r="O173" s="15" t="s">
        <v>23</v>
      </c>
      <c r="P173" s="140"/>
      <c r="S173" s="18"/>
    </row>
    <row r="174" spans="1:19" s="17" customFormat="1" ht="18.95" customHeight="1" outlineLevel="1" x14ac:dyDescent="0.25">
      <c r="A174" s="148"/>
      <c r="B174" s="148"/>
      <c r="C174" s="148"/>
      <c r="D174" s="137">
        <v>43454</v>
      </c>
      <c r="E174" s="137" t="s">
        <v>796</v>
      </c>
      <c r="F174" s="12">
        <v>43466</v>
      </c>
      <c r="G174" s="12">
        <v>43646</v>
      </c>
      <c r="H174" s="149"/>
      <c r="I174" s="15" t="s">
        <v>23</v>
      </c>
      <c r="J174" s="14" t="s">
        <v>23</v>
      </c>
      <c r="K174" s="14" t="s">
        <v>23</v>
      </c>
      <c r="L174" s="5" t="s">
        <v>23</v>
      </c>
      <c r="M174" s="5" t="s">
        <v>23</v>
      </c>
      <c r="N174" s="5" t="s">
        <v>23</v>
      </c>
      <c r="O174" s="13">
        <v>2393.27</v>
      </c>
      <c r="P174" s="139"/>
      <c r="Q174" s="17">
        <f t="shared" si="2"/>
        <v>1994.3916666666667</v>
      </c>
      <c r="S174" s="18"/>
    </row>
    <row r="175" spans="1:19" s="17" customFormat="1" ht="18.95" customHeight="1" outlineLevel="1" x14ac:dyDescent="0.25">
      <c r="A175" s="147"/>
      <c r="B175" s="147"/>
      <c r="C175" s="147"/>
      <c r="D175" s="141"/>
      <c r="E175" s="141"/>
      <c r="F175" s="12">
        <v>43647</v>
      </c>
      <c r="G175" s="12">
        <v>43830</v>
      </c>
      <c r="H175" s="151"/>
      <c r="I175" s="15" t="s">
        <v>23</v>
      </c>
      <c r="J175" s="14" t="s">
        <v>23</v>
      </c>
      <c r="K175" s="14" t="s">
        <v>23</v>
      </c>
      <c r="L175" s="5" t="s">
        <v>23</v>
      </c>
      <c r="M175" s="5" t="s">
        <v>23</v>
      </c>
      <c r="N175" s="5" t="s">
        <v>23</v>
      </c>
      <c r="O175" s="13">
        <v>2441.13</v>
      </c>
      <c r="P175" s="140"/>
      <c r="Q175" s="17">
        <f t="shared" si="2"/>
        <v>2034.2750000000001</v>
      </c>
      <c r="S175" s="18"/>
    </row>
    <row r="176" spans="1:19" s="17" customFormat="1" ht="18.95" customHeight="1" outlineLevel="1" x14ac:dyDescent="0.25">
      <c r="A176" s="146" t="s">
        <v>48</v>
      </c>
      <c r="B176" s="146" t="s">
        <v>219</v>
      </c>
      <c r="C176" s="146" t="s">
        <v>247</v>
      </c>
      <c r="D176" s="137">
        <v>43447</v>
      </c>
      <c r="E176" s="137" t="s">
        <v>608</v>
      </c>
      <c r="F176" s="12">
        <v>43466</v>
      </c>
      <c r="G176" s="12">
        <v>43646</v>
      </c>
      <c r="H176" s="155"/>
      <c r="I176" s="13">
        <v>1860.49</v>
      </c>
      <c r="J176" s="14" t="s">
        <v>23</v>
      </c>
      <c r="K176" s="14" t="s">
        <v>23</v>
      </c>
      <c r="L176" s="5" t="s">
        <v>23</v>
      </c>
      <c r="M176" s="5" t="s">
        <v>23</v>
      </c>
      <c r="N176" s="5" t="s">
        <v>23</v>
      </c>
      <c r="O176" s="15" t="s">
        <v>23</v>
      </c>
      <c r="P176" s="139"/>
      <c r="S176" s="18"/>
    </row>
    <row r="177" spans="1:19" s="17" customFormat="1" ht="18.95" customHeight="1" outlineLevel="1" x14ac:dyDescent="0.25">
      <c r="A177" s="148"/>
      <c r="B177" s="148"/>
      <c r="C177" s="148"/>
      <c r="D177" s="138"/>
      <c r="E177" s="138"/>
      <c r="F177" s="12">
        <v>43647</v>
      </c>
      <c r="G177" s="12">
        <v>43830</v>
      </c>
      <c r="H177" s="155"/>
      <c r="I177" s="13">
        <v>1955.84</v>
      </c>
      <c r="J177" s="14" t="s">
        <v>23</v>
      </c>
      <c r="K177" s="14" t="s">
        <v>23</v>
      </c>
      <c r="L177" s="5" t="s">
        <v>23</v>
      </c>
      <c r="M177" s="5" t="s">
        <v>23</v>
      </c>
      <c r="N177" s="5" t="s">
        <v>23</v>
      </c>
      <c r="O177" s="15" t="s">
        <v>23</v>
      </c>
      <c r="P177" s="140"/>
      <c r="S177" s="18"/>
    </row>
    <row r="178" spans="1:19" s="17" customFormat="1" ht="18.95" customHeight="1" outlineLevel="1" x14ac:dyDescent="0.25">
      <c r="A178" s="148"/>
      <c r="B178" s="148"/>
      <c r="C178" s="148"/>
      <c r="D178" s="138"/>
      <c r="E178" s="138"/>
      <c r="F178" s="81">
        <v>43466</v>
      </c>
      <c r="G178" s="81">
        <v>43646</v>
      </c>
      <c r="H178" s="82"/>
      <c r="I178" s="83">
        <v>1611.89</v>
      </c>
      <c r="J178" s="84"/>
      <c r="K178" s="84"/>
      <c r="L178" s="85"/>
      <c r="M178" s="85"/>
      <c r="N178" s="85"/>
      <c r="O178" s="75" t="s">
        <v>23</v>
      </c>
      <c r="P178" s="153" t="s">
        <v>639</v>
      </c>
      <c r="S178" s="18"/>
    </row>
    <row r="179" spans="1:19" s="17" customFormat="1" ht="18.95" customHeight="1" outlineLevel="1" x14ac:dyDescent="0.25">
      <c r="A179" s="148"/>
      <c r="B179" s="148"/>
      <c r="C179" s="148"/>
      <c r="D179" s="141"/>
      <c r="E179" s="141"/>
      <c r="F179" s="81">
        <v>43647</v>
      </c>
      <c r="G179" s="81">
        <v>43830</v>
      </c>
      <c r="H179" s="82"/>
      <c r="I179" s="83">
        <v>1644.13</v>
      </c>
      <c r="J179" s="84"/>
      <c r="K179" s="84"/>
      <c r="L179" s="85"/>
      <c r="M179" s="85"/>
      <c r="N179" s="85"/>
      <c r="O179" s="75" t="s">
        <v>23</v>
      </c>
      <c r="P179" s="152"/>
      <c r="S179" s="18"/>
    </row>
    <row r="180" spans="1:19" s="17" customFormat="1" ht="18.95" customHeight="1" outlineLevel="1" x14ac:dyDescent="0.25">
      <c r="A180" s="148"/>
      <c r="B180" s="148"/>
      <c r="C180" s="148"/>
      <c r="D180" s="137">
        <v>43454</v>
      </c>
      <c r="E180" s="137" t="s">
        <v>606</v>
      </c>
      <c r="F180" s="12">
        <v>43466</v>
      </c>
      <c r="G180" s="12">
        <v>43646</v>
      </c>
      <c r="H180" s="149"/>
      <c r="I180" s="15" t="s">
        <v>23</v>
      </c>
      <c r="J180" s="14" t="s">
        <v>23</v>
      </c>
      <c r="K180" s="14" t="s">
        <v>23</v>
      </c>
      <c r="L180" s="5" t="s">
        <v>23</v>
      </c>
      <c r="M180" s="5" t="s">
        <v>23</v>
      </c>
      <c r="N180" s="5" t="s">
        <v>23</v>
      </c>
      <c r="O180" s="13">
        <v>2232.59</v>
      </c>
      <c r="P180" s="144" t="s">
        <v>444</v>
      </c>
      <c r="Q180" s="17">
        <f t="shared" si="2"/>
        <v>1860.4916666666668</v>
      </c>
      <c r="S180" s="18"/>
    </row>
    <row r="181" spans="1:19" s="17" customFormat="1" ht="18.95" customHeight="1" outlineLevel="1" x14ac:dyDescent="0.25">
      <c r="A181" s="148"/>
      <c r="B181" s="148"/>
      <c r="C181" s="148"/>
      <c r="D181" s="138"/>
      <c r="E181" s="138"/>
      <c r="F181" s="12">
        <v>43647</v>
      </c>
      <c r="G181" s="12">
        <v>43830</v>
      </c>
      <c r="H181" s="150"/>
      <c r="I181" s="15" t="s">
        <v>23</v>
      </c>
      <c r="J181" s="14" t="s">
        <v>23</v>
      </c>
      <c r="K181" s="14" t="s">
        <v>23</v>
      </c>
      <c r="L181" s="5" t="s">
        <v>23</v>
      </c>
      <c r="M181" s="5" t="s">
        <v>23</v>
      </c>
      <c r="N181" s="5" t="s">
        <v>23</v>
      </c>
      <c r="O181" s="13">
        <v>2277.2399999999998</v>
      </c>
      <c r="P181" s="145"/>
      <c r="Q181" s="17">
        <f t="shared" si="2"/>
        <v>1897.6999999999998</v>
      </c>
      <c r="S181" s="18"/>
    </row>
    <row r="182" spans="1:19" s="17" customFormat="1" ht="18.95" customHeight="1" outlineLevel="1" x14ac:dyDescent="0.25">
      <c r="A182" s="148"/>
      <c r="B182" s="148"/>
      <c r="C182" s="148"/>
      <c r="D182" s="138"/>
      <c r="E182" s="138"/>
      <c r="F182" s="12">
        <v>43466</v>
      </c>
      <c r="G182" s="12">
        <v>43646</v>
      </c>
      <c r="H182" s="150"/>
      <c r="I182" s="15" t="s">
        <v>23</v>
      </c>
      <c r="J182" s="14" t="s">
        <v>23</v>
      </c>
      <c r="K182" s="14" t="s">
        <v>23</v>
      </c>
      <c r="L182" s="5" t="s">
        <v>23</v>
      </c>
      <c r="M182" s="5" t="s">
        <v>23</v>
      </c>
      <c r="N182" s="5" t="s">
        <v>23</v>
      </c>
      <c r="O182" s="13">
        <v>1706.35</v>
      </c>
      <c r="P182" s="144" t="s">
        <v>446</v>
      </c>
      <c r="Q182" s="17">
        <f t="shared" si="2"/>
        <v>1421.9583333333333</v>
      </c>
      <c r="S182" s="18"/>
    </row>
    <row r="183" spans="1:19" s="17" customFormat="1" ht="18.95" customHeight="1" outlineLevel="1" x14ac:dyDescent="0.25">
      <c r="A183" s="147"/>
      <c r="B183" s="147"/>
      <c r="C183" s="147"/>
      <c r="D183" s="141"/>
      <c r="E183" s="141"/>
      <c r="F183" s="12">
        <v>43647</v>
      </c>
      <c r="G183" s="12">
        <v>43830</v>
      </c>
      <c r="H183" s="151"/>
      <c r="I183" s="15" t="s">
        <v>23</v>
      </c>
      <c r="J183" s="14" t="s">
        <v>23</v>
      </c>
      <c r="K183" s="14" t="s">
        <v>23</v>
      </c>
      <c r="L183" s="5" t="s">
        <v>23</v>
      </c>
      <c r="M183" s="5" t="s">
        <v>23</v>
      </c>
      <c r="N183" s="5" t="s">
        <v>23</v>
      </c>
      <c r="O183" s="13">
        <v>1740.48</v>
      </c>
      <c r="P183" s="145"/>
      <c r="Q183" s="17">
        <f t="shared" si="2"/>
        <v>1450.4</v>
      </c>
      <c r="S183" s="18"/>
    </row>
    <row r="184" spans="1:19" s="17" customFormat="1" ht="18.95" customHeight="1" outlineLevel="1" x14ac:dyDescent="0.25">
      <c r="A184" s="146" t="s">
        <v>48</v>
      </c>
      <c r="B184" s="146" t="s">
        <v>325</v>
      </c>
      <c r="C184" s="146" t="s">
        <v>640</v>
      </c>
      <c r="D184" s="137">
        <v>43448</v>
      </c>
      <c r="E184" s="137" t="s">
        <v>641</v>
      </c>
      <c r="F184" s="12">
        <v>43466</v>
      </c>
      <c r="G184" s="12">
        <v>43646</v>
      </c>
      <c r="H184" s="149" t="s">
        <v>836</v>
      </c>
      <c r="I184" s="13">
        <v>350.85</v>
      </c>
      <c r="J184" s="74"/>
      <c r="K184" s="74"/>
      <c r="L184" s="76"/>
      <c r="M184" s="76"/>
      <c r="N184" s="76"/>
      <c r="O184" s="75" t="s">
        <v>23</v>
      </c>
      <c r="P184" s="144" t="s">
        <v>379</v>
      </c>
      <c r="Q184" s="17" t="e">
        <f t="shared" ref="Q184:Q247" si="3">O184/1.2</f>
        <v>#VALUE!</v>
      </c>
      <c r="S184" s="18"/>
    </row>
    <row r="185" spans="1:19" s="17" customFormat="1" ht="18.95" customHeight="1" outlineLevel="1" x14ac:dyDescent="0.25">
      <c r="A185" s="147"/>
      <c r="B185" s="147"/>
      <c r="C185" s="147"/>
      <c r="D185" s="141"/>
      <c r="E185" s="141"/>
      <c r="F185" s="12">
        <v>43647</v>
      </c>
      <c r="G185" s="12">
        <v>43830</v>
      </c>
      <c r="H185" s="151"/>
      <c r="I185" s="13">
        <v>556.69000000000005</v>
      </c>
      <c r="J185" s="74"/>
      <c r="K185" s="74"/>
      <c r="L185" s="76"/>
      <c r="M185" s="76"/>
      <c r="N185" s="76"/>
      <c r="O185" s="75" t="s">
        <v>23</v>
      </c>
      <c r="P185" s="145"/>
      <c r="Q185" s="17" t="e">
        <f t="shared" si="3"/>
        <v>#VALUE!</v>
      </c>
      <c r="S185" s="18"/>
    </row>
    <row r="186" spans="1:19" s="17" customFormat="1" ht="18.95" customHeight="1" outlineLevel="1" x14ac:dyDescent="0.25">
      <c r="A186" s="146" t="s">
        <v>48</v>
      </c>
      <c r="B186" s="146" t="s">
        <v>513</v>
      </c>
      <c r="C186" s="146" t="s">
        <v>299</v>
      </c>
      <c r="D186" s="137">
        <v>42723</v>
      </c>
      <c r="E186" s="137" t="s">
        <v>677</v>
      </c>
      <c r="F186" s="12">
        <v>43466</v>
      </c>
      <c r="G186" s="12">
        <v>43646</v>
      </c>
      <c r="H186" s="142" t="s">
        <v>781</v>
      </c>
      <c r="I186" s="13">
        <v>2588.42</v>
      </c>
      <c r="J186" s="14" t="s">
        <v>23</v>
      </c>
      <c r="K186" s="14" t="s">
        <v>23</v>
      </c>
      <c r="L186" s="5" t="s">
        <v>23</v>
      </c>
      <c r="M186" s="5" t="s">
        <v>23</v>
      </c>
      <c r="N186" s="5" t="s">
        <v>23</v>
      </c>
      <c r="O186" s="15" t="s">
        <v>23</v>
      </c>
      <c r="P186" s="139"/>
      <c r="Q186" s="17" t="e">
        <f t="shared" si="3"/>
        <v>#VALUE!</v>
      </c>
      <c r="S186" s="18"/>
    </row>
    <row r="187" spans="1:19" s="17" customFormat="1" ht="18.95" customHeight="1" outlineLevel="1" x14ac:dyDescent="0.25">
      <c r="A187" s="147" t="s">
        <v>48</v>
      </c>
      <c r="B187" s="147" t="s">
        <v>229</v>
      </c>
      <c r="C187" s="148" t="s">
        <v>230</v>
      </c>
      <c r="D187" s="141"/>
      <c r="E187" s="141"/>
      <c r="F187" s="12">
        <v>43647</v>
      </c>
      <c r="G187" s="12">
        <v>43830</v>
      </c>
      <c r="H187" s="143"/>
      <c r="I187" s="13">
        <v>3150.47</v>
      </c>
      <c r="J187" s="14" t="s">
        <v>23</v>
      </c>
      <c r="K187" s="14" t="s">
        <v>23</v>
      </c>
      <c r="L187" s="5" t="s">
        <v>23</v>
      </c>
      <c r="M187" s="5" t="s">
        <v>23</v>
      </c>
      <c r="N187" s="5" t="s">
        <v>23</v>
      </c>
      <c r="O187" s="15" t="s">
        <v>23</v>
      </c>
      <c r="P187" s="140"/>
      <c r="Q187" s="17" t="e">
        <f t="shared" si="3"/>
        <v>#VALUE!</v>
      </c>
      <c r="S187" s="18"/>
    </row>
    <row r="188" spans="1:19" s="17" customFormat="1" ht="18.95" customHeight="1" outlineLevel="1" x14ac:dyDescent="0.25">
      <c r="A188" s="146" t="s">
        <v>48</v>
      </c>
      <c r="B188" s="146" t="s">
        <v>220</v>
      </c>
      <c r="C188" s="146" t="s">
        <v>300</v>
      </c>
      <c r="D188" s="137">
        <v>42723</v>
      </c>
      <c r="E188" s="137" t="s">
        <v>690</v>
      </c>
      <c r="F188" s="12">
        <v>43466</v>
      </c>
      <c r="G188" s="12">
        <v>43646</v>
      </c>
      <c r="H188" s="142" t="s">
        <v>694</v>
      </c>
      <c r="I188" s="13">
        <v>1655.38</v>
      </c>
      <c r="J188" s="14" t="s">
        <v>23</v>
      </c>
      <c r="K188" s="14" t="s">
        <v>23</v>
      </c>
      <c r="L188" s="5" t="s">
        <v>23</v>
      </c>
      <c r="M188" s="5" t="s">
        <v>23</v>
      </c>
      <c r="N188" s="5" t="s">
        <v>23</v>
      </c>
      <c r="O188" s="15" t="s">
        <v>23</v>
      </c>
      <c r="P188" s="139"/>
      <c r="Q188" s="17" t="e">
        <f t="shared" si="3"/>
        <v>#VALUE!</v>
      </c>
      <c r="S188" s="18"/>
    </row>
    <row r="189" spans="1:19" s="17" customFormat="1" ht="18.95" customHeight="1" outlineLevel="1" x14ac:dyDescent="0.25">
      <c r="A189" s="148"/>
      <c r="B189" s="148"/>
      <c r="C189" s="148"/>
      <c r="D189" s="141"/>
      <c r="E189" s="141"/>
      <c r="F189" s="12">
        <v>43647</v>
      </c>
      <c r="G189" s="12">
        <v>43830</v>
      </c>
      <c r="H189" s="143"/>
      <c r="I189" s="13">
        <v>1673.94</v>
      </c>
      <c r="J189" s="14" t="s">
        <v>23</v>
      </c>
      <c r="K189" s="14" t="s">
        <v>23</v>
      </c>
      <c r="L189" s="5" t="s">
        <v>23</v>
      </c>
      <c r="M189" s="5" t="s">
        <v>23</v>
      </c>
      <c r="N189" s="5" t="s">
        <v>23</v>
      </c>
      <c r="O189" s="15" t="s">
        <v>23</v>
      </c>
      <c r="P189" s="140"/>
      <c r="Q189" s="17" t="e">
        <f t="shared" si="3"/>
        <v>#VALUE!</v>
      </c>
      <c r="R189" s="19"/>
      <c r="S189" s="18"/>
    </row>
    <row r="190" spans="1:19" s="17" customFormat="1" ht="18.95" customHeight="1" outlineLevel="1" x14ac:dyDescent="0.25">
      <c r="A190" s="148"/>
      <c r="B190" s="148"/>
      <c r="C190" s="148"/>
      <c r="D190" s="137">
        <v>43454</v>
      </c>
      <c r="E190" s="137" t="s">
        <v>606</v>
      </c>
      <c r="F190" s="12">
        <v>43466</v>
      </c>
      <c r="G190" s="12">
        <v>43646</v>
      </c>
      <c r="H190" s="149"/>
      <c r="I190" s="15" t="s">
        <v>23</v>
      </c>
      <c r="J190" s="14" t="s">
        <v>23</v>
      </c>
      <c r="K190" s="14" t="s">
        <v>23</v>
      </c>
      <c r="L190" s="5" t="s">
        <v>23</v>
      </c>
      <c r="M190" s="5" t="s">
        <v>23</v>
      </c>
      <c r="N190" s="5" t="s">
        <v>23</v>
      </c>
      <c r="O190" s="13">
        <v>1719.73</v>
      </c>
      <c r="P190" s="139"/>
      <c r="Q190" s="17">
        <f t="shared" si="3"/>
        <v>1433.1083333333333</v>
      </c>
      <c r="S190" s="18"/>
    </row>
    <row r="191" spans="1:19" s="17" customFormat="1" ht="18.95" customHeight="1" outlineLevel="1" x14ac:dyDescent="0.25">
      <c r="A191" s="147" t="s">
        <v>48</v>
      </c>
      <c r="B191" s="147" t="s">
        <v>220</v>
      </c>
      <c r="C191" s="147" t="s">
        <v>221</v>
      </c>
      <c r="D191" s="141"/>
      <c r="E191" s="141"/>
      <c r="F191" s="12">
        <v>43647</v>
      </c>
      <c r="G191" s="12">
        <v>43830</v>
      </c>
      <c r="H191" s="151"/>
      <c r="I191" s="15" t="s">
        <v>23</v>
      </c>
      <c r="J191" s="14" t="s">
        <v>23</v>
      </c>
      <c r="K191" s="14" t="s">
        <v>23</v>
      </c>
      <c r="L191" s="5" t="s">
        <v>23</v>
      </c>
      <c r="M191" s="5" t="s">
        <v>23</v>
      </c>
      <c r="N191" s="5" t="s">
        <v>23</v>
      </c>
      <c r="O191" s="13">
        <v>1754.12</v>
      </c>
      <c r="P191" s="140"/>
      <c r="Q191" s="17">
        <f t="shared" si="3"/>
        <v>1461.7666666666667</v>
      </c>
      <c r="S191" s="18"/>
    </row>
    <row r="192" spans="1:19" s="17" customFormat="1" ht="40.5" customHeight="1" outlineLevel="1" x14ac:dyDescent="0.25">
      <c r="A192" s="146" t="s">
        <v>48</v>
      </c>
      <c r="B192" s="146" t="s">
        <v>191</v>
      </c>
      <c r="C192" s="146" t="s">
        <v>337</v>
      </c>
      <c r="D192" s="137">
        <v>42723</v>
      </c>
      <c r="E192" s="137" t="s">
        <v>691</v>
      </c>
      <c r="F192" s="12">
        <v>43466</v>
      </c>
      <c r="G192" s="12">
        <v>43496</v>
      </c>
      <c r="H192" s="89" t="s">
        <v>692</v>
      </c>
      <c r="I192" s="13">
        <v>2054.11</v>
      </c>
      <c r="J192" s="89" t="s">
        <v>23</v>
      </c>
      <c r="K192" s="89" t="s">
        <v>23</v>
      </c>
      <c r="L192" s="92" t="s">
        <v>23</v>
      </c>
      <c r="M192" s="92" t="s">
        <v>23</v>
      </c>
      <c r="N192" s="92" t="s">
        <v>23</v>
      </c>
      <c r="O192" s="91" t="s">
        <v>23</v>
      </c>
      <c r="P192" s="99"/>
      <c r="Q192" s="17" t="e">
        <f t="shared" si="3"/>
        <v>#VALUE!</v>
      </c>
      <c r="S192" s="18"/>
    </row>
    <row r="193" spans="1:19" s="17" customFormat="1" ht="18.95" customHeight="1" outlineLevel="1" x14ac:dyDescent="0.25">
      <c r="A193" s="148"/>
      <c r="B193" s="148"/>
      <c r="C193" s="148"/>
      <c r="D193" s="138"/>
      <c r="E193" s="138"/>
      <c r="F193" s="12">
        <v>43497</v>
      </c>
      <c r="G193" s="12">
        <v>43646</v>
      </c>
      <c r="H193" s="155" t="s">
        <v>693</v>
      </c>
      <c r="I193" s="13">
        <v>2333.73</v>
      </c>
      <c r="J193" s="89"/>
      <c r="K193" s="89"/>
      <c r="L193" s="92"/>
      <c r="M193" s="92"/>
      <c r="N193" s="92"/>
      <c r="O193" s="91"/>
      <c r="P193" s="153" t="s">
        <v>29</v>
      </c>
      <c r="Q193" s="17">
        <f t="shared" si="3"/>
        <v>0</v>
      </c>
      <c r="S193" s="18"/>
    </row>
    <row r="194" spans="1:19" s="17" customFormat="1" ht="18.95" customHeight="1" outlineLevel="1" x14ac:dyDescent="0.25">
      <c r="A194" s="148"/>
      <c r="B194" s="148"/>
      <c r="C194" s="148"/>
      <c r="D194" s="141"/>
      <c r="E194" s="141"/>
      <c r="F194" s="12">
        <v>43647</v>
      </c>
      <c r="G194" s="12">
        <v>43830</v>
      </c>
      <c r="H194" s="155"/>
      <c r="I194" s="13">
        <v>2356.56</v>
      </c>
      <c r="J194" s="89" t="s">
        <v>23</v>
      </c>
      <c r="K194" s="89" t="s">
        <v>23</v>
      </c>
      <c r="L194" s="92" t="s">
        <v>23</v>
      </c>
      <c r="M194" s="92" t="s">
        <v>23</v>
      </c>
      <c r="N194" s="92" t="s">
        <v>23</v>
      </c>
      <c r="O194" s="91" t="s">
        <v>23</v>
      </c>
      <c r="P194" s="152"/>
      <c r="Q194" s="17" t="e">
        <f t="shared" si="3"/>
        <v>#VALUE!</v>
      </c>
      <c r="S194" s="18"/>
    </row>
    <row r="195" spans="1:19" s="17" customFormat="1" ht="18.95" customHeight="1" outlineLevel="1" x14ac:dyDescent="0.25">
      <c r="A195" s="148"/>
      <c r="B195" s="148"/>
      <c r="C195" s="148"/>
      <c r="D195" s="137">
        <v>43454</v>
      </c>
      <c r="E195" s="137" t="s">
        <v>606</v>
      </c>
      <c r="F195" s="12">
        <v>43466</v>
      </c>
      <c r="G195" s="12">
        <v>43646</v>
      </c>
      <c r="H195" s="149"/>
      <c r="I195" s="91" t="s">
        <v>23</v>
      </c>
      <c r="J195" s="89" t="s">
        <v>23</v>
      </c>
      <c r="K195" s="89" t="s">
        <v>23</v>
      </c>
      <c r="L195" s="92" t="s">
        <v>23</v>
      </c>
      <c r="M195" s="92" t="s">
        <v>23</v>
      </c>
      <c r="N195" s="92" t="s">
        <v>23</v>
      </c>
      <c r="O195" s="13">
        <v>2050.62</v>
      </c>
      <c r="P195" s="139"/>
      <c r="Q195" s="17">
        <f t="shared" si="3"/>
        <v>1708.85</v>
      </c>
      <c r="S195" s="18"/>
    </row>
    <row r="196" spans="1:19" s="17" customFormat="1" ht="18.95" customHeight="1" outlineLevel="1" x14ac:dyDescent="0.25">
      <c r="A196" s="147"/>
      <c r="B196" s="147" t="s">
        <v>224</v>
      </c>
      <c r="C196" s="147" t="s">
        <v>225</v>
      </c>
      <c r="D196" s="141"/>
      <c r="E196" s="141"/>
      <c r="F196" s="12">
        <v>43647</v>
      </c>
      <c r="G196" s="12">
        <v>43830</v>
      </c>
      <c r="H196" s="151"/>
      <c r="I196" s="91" t="s">
        <v>23</v>
      </c>
      <c r="J196" s="89" t="s">
        <v>23</v>
      </c>
      <c r="K196" s="89" t="s">
        <v>23</v>
      </c>
      <c r="L196" s="92" t="s">
        <v>23</v>
      </c>
      <c r="M196" s="92" t="s">
        <v>23</v>
      </c>
      <c r="N196" s="92" t="s">
        <v>23</v>
      </c>
      <c r="O196" s="13">
        <v>2091.63</v>
      </c>
      <c r="P196" s="140"/>
      <c r="Q196" s="17">
        <f t="shared" si="3"/>
        <v>1743.0250000000001</v>
      </c>
      <c r="S196" s="18"/>
    </row>
    <row r="197" spans="1:19" s="17" customFormat="1" ht="18.95" customHeight="1" outlineLevel="1" x14ac:dyDescent="0.25">
      <c r="A197" s="146" t="s">
        <v>48</v>
      </c>
      <c r="B197" s="146" t="s">
        <v>224</v>
      </c>
      <c r="C197" s="146" t="s">
        <v>225</v>
      </c>
      <c r="D197" s="137">
        <v>42723</v>
      </c>
      <c r="E197" s="137" t="s">
        <v>767</v>
      </c>
      <c r="F197" s="12">
        <v>43466</v>
      </c>
      <c r="G197" s="12">
        <v>43646</v>
      </c>
      <c r="H197" s="142" t="s">
        <v>782</v>
      </c>
      <c r="I197" s="13">
        <v>2486.63</v>
      </c>
      <c r="J197" s="111" t="s">
        <v>23</v>
      </c>
      <c r="K197" s="111" t="s">
        <v>23</v>
      </c>
      <c r="L197" s="113" t="s">
        <v>23</v>
      </c>
      <c r="M197" s="113" t="s">
        <v>23</v>
      </c>
      <c r="N197" s="113" t="s">
        <v>23</v>
      </c>
      <c r="O197" s="112" t="s">
        <v>23</v>
      </c>
      <c r="P197" s="153"/>
      <c r="Q197" s="17" t="e">
        <f t="shared" si="3"/>
        <v>#VALUE!</v>
      </c>
      <c r="R197" s="19"/>
      <c r="S197" s="18"/>
    </row>
    <row r="198" spans="1:19" s="17" customFormat="1" ht="18.95" customHeight="1" outlineLevel="1" x14ac:dyDescent="0.25">
      <c r="A198" s="148"/>
      <c r="B198" s="148"/>
      <c r="C198" s="148"/>
      <c r="D198" s="141"/>
      <c r="E198" s="141"/>
      <c r="F198" s="12">
        <v>43647</v>
      </c>
      <c r="G198" s="12">
        <v>43830</v>
      </c>
      <c r="H198" s="143"/>
      <c r="I198" s="13">
        <v>2343.14</v>
      </c>
      <c r="J198" s="111" t="s">
        <v>23</v>
      </c>
      <c r="K198" s="111" t="s">
        <v>23</v>
      </c>
      <c r="L198" s="113" t="s">
        <v>23</v>
      </c>
      <c r="M198" s="113" t="s">
        <v>23</v>
      </c>
      <c r="N198" s="113" t="s">
        <v>23</v>
      </c>
      <c r="O198" s="112" t="s">
        <v>23</v>
      </c>
      <c r="P198" s="169"/>
      <c r="Q198" s="17" t="e">
        <f t="shared" si="3"/>
        <v>#VALUE!</v>
      </c>
      <c r="S198" s="18"/>
    </row>
    <row r="199" spans="1:19" s="17" customFormat="1" ht="18.95" customHeight="1" outlineLevel="1" x14ac:dyDescent="0.25">
      <c r="A199" s="148"/>
      <c r="B199" s="148"/>
      <c r="C199" s="148"/>
      <c r="D199" s="137">
        <v>43454</v>
      </c>
      <c r="E199" s="137" t="s">
        <v>606</v>
      </c>
      <c r="F199" s="12">
        <v>43466</v>
      </c>
      <c r="G199" s="12">
        <v>43646</v>
      </c>
      <c r="H199" s="149"/>
      <c r="I199" s="112" t="s">
        <v>23</v>
      </c>
      <c r="J199" s="111" t="s">
        <v>23</v>
      </c>
      <c r="K199" s="111" t="s">
        <v>23</v>
      </c>
      <c r="L199" s="113" t="s">
        <v>23</v>
      </c>
      <c r="M199" s="113" t="s">
        <v>23</v>
      </c>
      <c r="N199" s="113" t="s">
        <v>23</v>
      </c>
      <c r="O199" s="13">
        <v>2471.0644067796611</v>
      </c>
      <c r="P199" s="169"/>
      <c r="Q199" s="17">
        <f t="shared" si="3"/>
        <v>2059.2203389830511</v>
      </c>
      <c r="R199" s="67">
        <f>I197-Q199</f>
        <v>427.40966101694903</v>
      </c>
      <c r="S199" s="18">
        <f>R199*2853.444</f>
        <v>1219589.5327708472</v>
      </c>
    </row>
    <row r="200" spans="1:19" s="17" customFormat="1" ht="18.95" customHeight="1" outlineLevel="1" x14ac:dyDescent="0.25">
      <c r="A200" s="147"/>
      <c r="B200" s="147" t="s">
        <v>224</v>
      </c>
      <c r="C200" s="147" t="s">
        <v>225</v>
      </c>
      <c r="D200" s="141"/>
      <c r="E200" s="141"/>
      <c r="F200" s="12">
        <v>43647</v>
      </c>
      <c r="G200" s="12">
        <v>43830</v>
      </c>
      <c r="H200" s="151"/>
      <c r="I200" s="112" t="s">
        <v>23</v>
      </c>
      <c r="J200" s="111" t="s">
        <v>23</v>
      </c>
      <c r="K200" s="111" t="s">
        <v>23</v>
      </c>
      <c r="L200" s="113" t="s">
        <v>23</v>
      </c>
      <c r="M200" s="113" t="s">
        <v>23</v>
      </c>
      <c r="N200" s="113" t="s">
        <v>23</v>
      </c>
      <c r="O200" s="13">
        <v>2520.4856949152545</v>
      </c>
      <c r="P200" s="152"/>
      <c r="Q200" s="17">
        <f t="shared" si="3"/>
        <v>2100.4047457627121</v>
      </c>
      <c r="S200" s="18"/>
    </row>
    <row r="201" spans="1:19" s="17" customFormat="1" ht="18.95" customHeight="1" outlineLevel="1" x14ac:dyDescent="0.25">
      <c r="A201" s="146" t="s">
        <v>48</v>
      </c>
      <c r="B201" s="146" t="s">
        <v>212</v>
      </c>
      <c r="C201" s="146" t="s">
        <v>302</v>
      </c>
      <c r="D201" s="137">
        <v>43453</v>
      </c>
      <c r="E201" s="137" t="s">
        <v>767</v>
      </c>
      <c r="F201" s="12">
        <v>43466</v>
      </c>
      <c r="G201" s="12">
        <v>43646</v>
      </c>
      <c r="H201" s="142"/>
      <c r="I201" s="13">
        <v>4461.4799999999996</v>
      </c>
      <c r="J201" s="14" t="s">
        <v>23</v>
      </c>
      <c r="K201" s="14" t="s">
        <v>23</v>
      </c>
      <c r="L201" s="5" t="s">
        <v>23</v>
      </c>
      <c r="M201" s="5" t="s">
        <v>23</v>
      </c>
      <c r="N201" s="5" t="s">
        <v>23</v>
      </c>
      <c r="O201" s="4" t="s">
        <v>23</v>
      </c>
      <c r="P201" s="139"/>
      <c r="Q201" s="17" t="e">
        <f t="shared" si="3"/>
        <v>#VALUE!</v>
      </c>
      <c r="R201" s="19"/>
      <c r="S201" s="18"/>
    </row>
    <row r="202" spans="1:19" s="17" customFormat="1" ht="18.95" customHeight="1" outlineLevel="1" x14ac:dyDescent="0.25">
      <c r="A202" s="148"/>
      <c r="B202" s="148"/>
      <c r="C202" s="148"/>
      <c r="D202" s="138"/>
      <c r="E202" s="138"/>
      <c r="F202" s="12">
        <v>43647</v>
      </c>
      <c r="G202" s="12">
        <v>43830</v>
      </c>
      <c r="H202" s="143"/>
      <c r="I202" s="13">
        <v>5604.6</v>
      </c>
      <c r="J202" s="14" t="s">
        <v>23</v>
      </c>
      <c r="K202" s="14" t="s">
        <v>23</v>
      </c>
      <c r="L202" s="5" t="s">
        <v>23</v>
      </c>
      <c r="M202" s="5" t="s">
        <v>23</v>
      </c>
      <c r="N202" s="5" t="s">
        <v>23</v>
      </c>
      <c r="O202" s="4" t="s">
        <v>23</v>
      </c>
      <c r="P202" s="140"/>
      <c r="Q202" s="17" t="e">
        <f t="shared" si="3"/>
        <v>#VALUE!</v>
      </c>
      <c r="S202" s="18"/>
    </row>
    <row r="203" spans="1:19" s="17" customFormat="1" ht="18.95" customHeight="1" outlineLevel="1" x14ac:dyDescent="0.25">
      <c r="A203" s="148"/>
      <c r="B203" s="148"/>
      <c r="C203" s="148"/>
      <c r="D203" s="137">
        <f>D195</f>
        <v>43454</v>
      </c>
      <c r="E203" s="137" t="str">
        <f>E195</f>
        <v>680-п</v>
      </c>
      <c r="F203" s="12">
        <v>43466</v>
      </c>
      <c r="G203" s="12">
        <v>43646</v>
      </c>
      <c r="H203" s="149"/>
      <c r="I203" s="15" t="s">
        <v>23</v>
      </c>
      <c r="J203" s="14" t="s">
        <v>23</v>
      </c>
      <c r="K203" s="14" t="s">
        <v>23</v>
      </c>
      <c r="L203" s="5" t="s">
        <v>23</v>
      </c>
      <c r="M203" s="5" t="s">
        <v>23</v>
      </c>
      <c r="N203" s="5" t="s">
        <v>23</v>
      </c>
      <c r="O203" s="13">
        <v>2923.84</v>
      </c>
      <c r="P203" s="139"/>
      <c r="Q203" s="17">
        <f t="shared" si="3"/>
        <v>2436.5333333333338</v>
      </c>
      <c r="R203" s="67">
        <f>I201-Q203</f>
        <v>2024.9466666666658</v>
      </c>
      <c r="S203" s="18">
        <f>R203*36.405</f>
        <v>73718.183399999965</v>
      </c>
    </row>
    <row r="204" spans="1:19" s="17" customFormat="1" ht="18.95" customHeight="1" outlineLevel="1" x14ac:dyDescent="0.25">
      <c r="A204" s="147" t="s">
        <v>48</v>
      </c>
      <c r="B204" s="147" t="s">
        <v>214</v>
      </c>
      <c r="C204" s="147" t="s">
        <v>213</v>
      </c>
      <c r="D204" s="141"/>
      <c r="E204" s="141"/>
      <c r="F204" s="12">
        <v>43647</v>
      </c>
      <c r="G204" s="12">
        <v>43830</v>
      </c>
      <c r="H204" s="151"/>
      <c r="I204" s="15" t="s">
        <v>23</v>
      </c>
      <c r="J204" s="14" t="s">
        <v>23</v>
      </c>
      <c r="K204" s="14" t="s">
        <v>23</v>
      </c>
      <c r="L204" s="5" t="s">
        <v>23</v>
      </c>
      <c r="M204" s="5" t="s">
        <v>23</v>
      </c>
      <c r="N204" s="5" t="s">
        <v>23</v>
      </c>
      <c r="O204" s="13">
        <f>O203</f>
        <v>2923.84</v>
      </c>
      <c r="P204" s="140"/>
      <c r="Q204" s="17">
        <f t="shared" si="3"/>
        <v>2436.5333333333338</v>
      </c>
      <c r="S204" s="18"/>
    </row>
    <row r="205" spans="1:19" s="17" customFormat="1" ht="18.95" customHeight="1" outlineLevel="1" x14ac:dyDescent="0.25">
      <c r="A205" s="146" t="s">
        <v>48</v>
      </c>
      <c r="B205" s="146" t="s">
        <v>336</v>
      </c>
      <c r="C205" s="146" t="s">
        <v>302</v>
      </c>
      <c r="D205" s="137">
        <f>D201</f>
        <v>43453</v>
      </c>
      <c r="E205" s="137" t="str">
        <f>E201</f>
        <v>461-п</v>
      </c>
      <c r="F205" s="12">
        <v>43466</v>
      </c>
      <c r="G205" s="12">
        <v>43646</v>
      </c>
      <c r="H205" s="142"/>
      <c r="I205" s="13">
        <v>2829.27</v>
      </c>
      <c r="J205" s="14" t="s">
        <v>23</v>
      </c>
      <c r="K205" s="14" t="s">
        <v>23</v>
      </c>
      <c r="L205" s="5" t="s">
        <v>23</v>
      </c>
      <c r="M205" s="5" t="s">
        <v>23</v>
      </c>
      <c r="N205" s="5" t="s">
        <v>23</v>
      </c>
      <c r="O205" s="4" t="s">
        <v>23</v>
      </c>
      <c r="P205" s="139"/>
      <c r="Q205" s="17" t="e">
        <f t="shared" si="3"/>
        <v>#VALUE!</v>
      </c>
      <c r="S205" s="18"/>
    </row>
    <row r="206" spans="1:19" s="17" customFormat="1" ht="18.95" customHeight="1" outlineLevel="1" x14ac:dyDescent="0.25">
      <c r="A206" s="148"/>
      <c r="B206" s="148"/>
      <c r="C206" s="148"/>
      <c r="D206" s="138"/>
      <c r="E206" s="138"/>
      <c r="F206" s="12">
        <v>43647</v>
      </c>
      <c r="G206" s="12">
        <v>43830</v>
      </c>
      <c r="H206" s="143"/>
      <c r="I206" s="13">
        <v>3231.67</v>
      </c>
      <c r="J206" s="14" t="s">
        <v>23</v>
      </c>
      <c r="K206" s="14" t="s">
        <v>23</v>
      </c>
      <c r="L206" s="5" t="s">
        <v>23</v>
      </c>
      <c r="M206" s="5" t="s">
        <v>23</v>
      </c>
      <c r="N206" s="5" t="s">
        <v>23</v>
      </c>
      <c r="O206" s="4" t="s">
        <v>23</v>
      </c>
      <c r="P206" s="140"/>
      <c r="Q206" s="17" t="e">
        <f t="shared" si="3"/>
        <v>#VALUE!</v>
      </c>
      <c r="S206" s="18"/>
    </row>
    <row r="207" spans="1:19" s="17" customFormat="1" ht="18.95" customHeight="1" outlineLevel="1" x14ac:dyDescent="0.25">
      <c r="A207" s="148"/>
      <c r="B207" s="148"/>
      <c r="C207" s="148"/>
      <c r="D207" s="137">
        <f>D203</f>
        <v>43454</v>
      </c>
      <c r="E207" s="137" t="str">
        <f>E203</f>
        <v>680-п</v>
      </c>
      <c r="F207" s="12">
        <v>43466</v>
      </c>
      <c r="G207" s="12">
        <v>43646</v>
      </c>
      <c r="H207" s="149"/>
      <c r="I207" s="15" t="s">
        <v>23</v>
      </c>
      <c r="J207" s="14" t="s">
        <v>23</v>
      </c>
      <c r="K207" s="14" t="s">
        <v>23</v>
      </c>
      <c r="L207" s="5" t="s">
        <v>23</v>
      </c>
      <c r="M207" s="5" t="s">
        <v>23</v>
      </c>
      <c r="N207" s="5" t="s">
        <v>23</v>
      </c>
      <c r="O207" s="13">
        <v>2021.14</v>
      </c>
      <c r="P207" s="139"/>
      <c r="Q207" s="17">
        <f t="shared" si="3"/>
        <v>1684.2833333333335</v>
      </c>
      <c r="R207" s="67">
        <f>I205-Q207</f>
        <v>1144.9866666666665</v>
      </c>
      <c r="S207" s="18">
        <f>R207*285.242</f>
        <v>326598.28677333327</v>
      </c>
    </row>
    <row r="208" spans="1:19" s="17" customFormat="1" ht="18.95" customHeight="1" outlineLevel="1" x14ac:dyDescent="0.25">
      <c r="A208" s="147"/>
      <c r="B208" s="147" t="s">
        <v>226</v>
      </c>
      <c r="C208" s="147" t="s">
        <v>213</v>
      </c>
      <c r="D208" s="141"/>
      <c r="E208" s="141"/>
      <c r="F208" s="12">
        <v>43647</v>
      </c>
      <c r="G208" s="12">
        <v>43830</v>
      </c>
      <c r="H208" s="151"/>
      <c r="I208" s="15" t="s">
        <v>23</v>
      </c>
      <c r="J208" s="14" t="s">
        <v>23</v>
      </c>
      <c r="K208" s="14" t="s">
        <v>23</v>
      </c>
      <c r="L208" s="5" t="s">
        <v>23</v>
      </c>
      <c r="M208" s="5" t="s">
        <v>23</v>
      </c>
      <c r="N208" s="5" t="s">
        <v>23</v>
      </c>
      <c r="O208" s="13">
        <v>2061.56</v>
      </c>
      <c r="P208" s="140"/>
      <c r="Q208" s="17">
        <f t="shared" si="3"/>
        <v>1717.9666666666667</v>
      </c>
      <c r="S208" s="18"/>
    </row>
    <row r="209" spans="1:19" s="17" customFormat="1" ht="18.95" customHeight="1" outlineLevel="1" x14ac:dyDescent="0.25">
      <c r="A209" s="146" t="s">
        <v>48</v>
      </c>
      <c r="B209" s="146" t="s">
        <v>335</v>
      </c>
      <c r="C209" s="146" t="s">
        <v>302</v>
      </c>
      <c r="D209" s="137">
        <f>D205</f>
        <v>43453</v>
      </c>
      <c r="E209" s="137" t="str">
        <f>E205</f>
        <v>461-п</v>
      </c>
      <c r="F209" s="12">
        <v>43466</v>
      </c>
      <c r="G209" s="12">
        <v>43646</v>
      </c>
      <c r="H209" s="142"/>
      <c r="I209" s="13">
        <f>I205</f>
        <v>2829.27</v>
      </c>
      <c r="J209" s="14" t="s">
        <v>23</v>
      </c>
      <c r="K209" s="14" t="s">
        <v>23</v>
      </c>
      <c r="L209" s="5" t="s">
        <v>23</v>
      </c>
      <c r="M209" s="5" t="s">
        <v>23</v>
      </c>
      <c r="N209" s="5" t="s">
        <v>23</v>
      </c>
      <c r="O209" s="4" t="s">
        <v>23</v>
      </c>
      <c r="P209" s="139"/>
      <c r="Q209" s="17" t="e">
        <f t="shared" si="3"/>
        <v>#VALUE!</v>
      </c>
      <c r="S209" s="18"/>
    </row>
    <row r="210" spans="1:19" s="17" customFormat="1" ht="18.95" customHeight="1" outlineLevel="1" x14ac:dyDescent="0.25">
      <c r="A210" s="148"/>
      <c r="B210" s="148"/>
      <c r="C210" s="148"/>
      <c r="D210" s="138"/>
      <c r="E210" s="138"/>
      <c r="F210" s="12">
        <v>43647</v>
      </c>
      <c r="G210" s="12">
        <v>43830</v>
      </c>
      <c r="H210" s="143"/>
      <c r="I210" s="13">
        <f>I206</f>
        <v>3231.67</v>
      </c>
      <c r="J210" s="14" t="s">
        <v>23</v>
      </c>
      <c r="K210" s="14" t="s">
        <v>23</v>
      </c>
      <c r="L210" s="5" t="s">
        <v>23</v>
      </c>
      <c r="M210" s="5" t="s">
        <v>23</v>
      </c>
      <c r="N210" s="5" t="s">
        <v>23</v>
      </c>
      <c r="O210" s="4" t="s">
        <v>23</v>
      </c>
      <c r="P210" s="140"/>
      <c r="Q210" s="17" t="e">
        <f t="shared" si="3"/>
        <v>#VALUE!</v>
      </c>
      <c r="S210" s="18"/>
    </row>
    <row r="211" spans="1:19" s="17" customFormat="1" ht="18.95" customHeight="1" outlineLevel="1" x14ac:dyDescent="0.25">
      <c r="A211" s="148"/>
      <c r="B211" s="148"/>
      <c r="C211" s="148"/>
      <c r="D211" s="137">
        <f>D207</f>
        <v>43454</v>
      </c>
      <c r="E211" s="137" t="str">
        <f>E207</f>
        <v>680-п</v>
      </c>
      <c r="F211" s="12">
        <v>43466</v>
      </c>
      <c r="G211" s="12">
        <v>43646</v>
      </c>
      <c r="H211" s="149"/>
      <c r="I211" s="15" t="s">
        <v>23</v>
      </c>
      <c r="J211" s="14" t="s">
        <v>23</v>
      </c>
      <c r="K211" s="14" t="s">
        <v>23</v>
      </c>
      <c r="L211" s="5" t="s">
        <v>23</v>
      </c>
      <c r="M211" s="5" t="s">
        <v>23</v>
      </c>
      <c r="N211" s="5" t="s">
        <v>23</v>
      </c>
      <c r="O211" s="13">
        <v>2605.04</v>
      </c>
      <c r="P211" s="139"/>
      <c r="Q211" s="17">
        <f t="shared" si="3"/>
        <v>2170.8666666666668</v>
      </c>
      <c r="R211" s="67">
        <f>I209-Q211</f>
        <v>658.40333333333319</v>
      </c>
      <c r="S211" s="18">
        <f>R211*984.26</f>
        <v>648040.06486666657</v>
      </c>
    </row>
    <row r="212" spans="1:19" s="17" customFormat="1" ht="18.95" customHeight="1" outlineLevel="1" x14ac:dyDescent="0.25">
      <c r="A212" s="147"/>
      <c r="B212" s="147" t="s">
        <v>226</v>
      </c>
      <c r="C212" s="147" t="s">
        <v>213</v>
      </c>
      <c r="D212" s="141"/>
      <c r="E212" s="141"/>
      <c r="F212" s="12">
        <v>43647</v>
      </c>
      <c r="G212" s="12">
        <v>43830</v>
      </c>
      <c r="H212" s="151"/>
      <c r="I212" s="15" t="s">
        <v>23</v>
      </c>
      <c r="J212" s="14" t="s">
        <v>23</v>
      </c>
      <c r="K212" s="14" t="s">
        <v>23</v>
      </c>
      <c r="L212" s="5" t="s">
        <v>23</v>
      </c>
      <c r="M212" s="5" t="s">
        <v>23</v>
      </c>
      <c r="N212" s="5" t="s">
        <v>23</v>
      </c>
      <c r="O212" s="13">
        <v>2605.04</v>
      </c>
      <c r="P212" s="140"/>
      <c r="Q212" s="17">
        <f t="shared" si="3"/>
        <v>2170.8666666666668</v>
      </c>
      <c r="S212" s="18"/>
    </row>
    <row r="213" spans="1:19" s="17" customFormat="1" ht="18.95" customHeight="1" outlineLevel="1" x14ac:dyDescent="0.25">
      <c r="A213" s="146" t="s">
        <v>48</v>
      </c>
      <c r="B213" s="146" t="s">
        <v>244</v>
      </c>
      <c r="C213" s="146" t="s">
        <v>302</v>
      </c>
      <c r="D213" s="137">
        <f>D209</f>
        <v>43453</v>
      </c>
      <c r="E213" s="137" t="str">
        <f>E209</f>
        <v>461-п</v>
      </c>
      <c r="F213" s="12">
        <v>43466</v>
      </c>
      <c r="G213" s="12">
        <v>43646</v>
      </c>
      <c r="H213" s="142"/>
      <c r="I213" s="13">
        <v>1957.46</v>
      </c>
      <c r="J213" s="14" t="s">
        <v>23</v>
      </c>
      <c r="K213" s="14" t="s">
        <v>23</v>
      </c>
      <c r="L213" s="5" t="s">
        <v>23</v>
      </c>
      <c r="M213" s="5" t="s">
        <v>23</v>
      </c>
      <c r="N213" s="5" t="s">
        <v>23</v>
      </c>
      <c r="O213" s="15" t="s">
        <v>23</v>
      </c>
      <c r="P213" s="139"/>
      <c r="Q213" s="17" t="e">
        <f t="shared" si="3"/>
        <v>#VALUE!</v>
      </c>
      <c r="S213" s="18"/>
    </row>
    <row r="214" spans="1:19" s="17" customFormat="1" ht="18.95" customHeight="1" outlineLevel="1" x14ac:dyDescent="0.25">
      <c r="A214" s="148"/>
      <c r="B214" s="148"/>
      <c r="C214" s="148"/>
      <c r="D214" s="138"/>
      <c r="E214" s="138"/>
      <c r="F214" s="12">
        <v>43647</v>
      </c>
      <c r="G214" s="12">
        <v>43830</v>
      </c>
      <c r="H214" s="143"/>
      <c r="I214" s="13">
        <v>2153.2800000000002</v>
      </c>
      <c r="J214" s="14" t="s">
        <v>23</v>
      </c>
      <c r="K214" s="14" t="s">
        <v>23</v>
      </c>
      <c r="L214" s="5" t="s">
        <v>23</v>
      </c>
      <c r="M214" s="5" t="s">
        <v>23</v>
      </c>
      <c r="N214" s="5" t="s">
        <v>23</v>
      </c>
      <c r="O214" s="15" t="s">
        <v>23</v>
      </c>
      <c r="P214" s="140"/>
      <c r="Q214" s="17" t="e">
        <f t="shared" si="3"/>
        <v>#VALUE!</v>
      </c>
      <c r="S214" s="18"/>
    </row>
    <row r="215" spans="1:19" s="17" customFormat="1" ht="18.95" customHeight="1" outlineLevel="1" x14ac:dyDescent="0.25">
      <c r="A215" s="148"/>
      <c r="B215" s="148"/>
      <c r="C215" s="148"/>
      <c r="D215" s="137">
        <f>D211</f>
        <v>43454</v>
      </c>
      <c r="E215" s="137" t="str">
        <f>E211</f>
        <v>680-п</v>
      </c>
      <c r="F215" s="12">
        <v>43466</v>
      </c>
      <c r="G215" s="12">
        <v>43646</v>
      </c>
      <c r="H215" s="149"/>
      <c r="I215" s="15" t="s">
        <v>23</v>
      </c>
      <c r="J215" s="14" t="s">
        <v>23</v>
      </c>
      <c r="K215" s="14" t="s">
        <v>23</v>
      </c>
      <c r="L215" s="5" t="s">
        <v>23</v>
      </c>
      <c r="M215" s="5" t="s">
        <v>23</v>
      </c>
      <c r="N215" s="5" t="s">
        <v>23</v>
      </c>
      <c r="O215" s="13">
        <v>2226.64</v>
      </c>
      <c r="P215" s="139"/>
      <c r="Q215" s="17">
        <f t="shared" si="3"/>
        <v>1855.5333333333333</v>
      </c>
      <c r="R215" s="67">
        <f>I213-Q215</f>
        <v>101.92666666666673</v>
      </c>
      <c r="S215" s="18">
        <f>R215*1310.861</f>
        <v>133611.69219333344</v>
      </c>
    </row>
    <row r="216" spans="1:19" s="17" customFormat="1" ht="18.95" customHeight="1" outlineLevel="1" x14ac:dyDescent="0.25">
      <c r="A216" s="147"/>
      <c r="B216" s="147" t="s">
        <v>237</v>
      </c>
      <c r="C216" s="147" t="s">
        <v>213</v>
      </c>
      <c r="D216" s="141"/>
      <c r="E216" s="141"/>
      <c r="F216" s="12">
        <v>43647</v>
      </c>
      <c r="G216" s="12">
        <v>43830</v>
      </c>
      <c r="H216" s="151"/>
      <c r="I216" s="15" t="s">
        <v>23</v>
      </c>
      <c r="J216" s="14" t="s">
        <v>23</v>
      </c>
      <c r="K216" s="14" t="s">
        <v>23</v>
      </c>
      <c r="L216" s="5" t="s">
        <v>23</v>
      </c>
      <c r="M216" s="5" t="s">
        <v>23</v>
      </c>
      <c r="N216" s="5" t="s">
        <v>23</v>
      </c>
      <c r="O216" s="13">
        <v>2271.17</v>
      </c>
      <c r="P216" s="140"/>
      <c r="Q216" s="17">
        <f t="shared" si="3"/>
        <v>1892.6416666666669</v>
      </c>
      <c r="S216" s="18"/>
    </row>
    <row r="217" spans="1:19" s="17" customFormat="1" ht="18.95" customHeight="1" outlineLevel="1" x14ac:dyDescent="0.25">
      <c r="A217" s="146" t="s">
        <v>48</v>
      </c>
      <c r="B217" s="146" t="s">
        <v>306</v>
      </c>
      <c r="C217" s="146" t="s">
        <v>302</v>
      </c>
      <c r="D217" s="137">
        <f>D213</f>
        <v>43453</v>
      </c>
      <c r="E217" s="137" t="str">
        <f>E213</f>
        <v>461-п</v>
      </c>
      <c r="F217" s="12">
        <v>43466</v>
      </c>
      <c r="G217" s="12">
        <v>43646</v>
      </c>
      <c r="H217" s="142"/>
      <c r="I217" s="13">
        <v>3374.66</v>
      </c>
      <c r="J217" s="14" t="s">
        <v>23</v>
      </c>
      <c r="K217" s="14" t="s">
        <v>23</v>
      </c>
      <c r="L217" s="5" t="s">
        <v>23</v>
      </c>
      <c r="M217" s="5" t="s">
        <v>23</v>
      </c>
      <c r="N217" s="5" t="s">
        <v>23</v>
      </c>
      <c r="O217" s="4" t="s">
        <v>23</v>
      </c>
      <c r="P217" s="196" t="s">
        <v>68</v>
      </c>
      <c r="Q217" s="17" t="e">
        <f t="shared" si="3"/>
        <v>#VALUE!</v>
      </c>
      <c r="S217" s="18"/>
    </row>
    <row r="218" spans="1:19" s="17" customFormat="1" ht="18.95" customHeight="1" outlineLevel="1" x14ac:dyDescent="0.25">
      <c r="A218" s="148"/>
      <c r="B218" s="148"/>
      <c r="C218" s="148"/>
      <c r="D218" s="138"/>
      <c r="E218" s="138"/>
      <c r="F218" s="12">
        <v>43647</v>
      </c>
      <c r="G218" s="12">
        <v>43830</v>
      </c>
      <c r="H218" s="143"/>
      <c r="I218" s="13">
        <v>3716.05</v>
      </c>
      <c r="J218" s="14" t="s">
        <v>23</v>
      </c>
      <c r="K218" s="14" t="s">
        <v>23</v>
      </c>
      <c r="L218" s="5" t="s">
        <v>23</v>
      </c>
      <c r="M218" s="5" t="s">
        <v>23</v>
      </c>
      <c r="N218" s="5" t="s">
        <v>23</v>
      </c>
      <c r="O218" s="4" t="s">
        <v>23</v>
      </c>
      <c r="P218" s="197"/>
      <c r="Q218" s="17" t="e">
        <f t="shared" si="3"/>
        <v>#VALUE!</v>
      </c>
      <c r="S218" s="18"/>
    </row>
    <row r="219" spans="1:19" s="17" customFormat="1" ht="18.95" customHeight="1" outlineLevel="1" x14ac:dyDescent="0.25">
      <c r="A219" s="148"/>
      <c r="B219" s="148"/>
      <c r="C219" s="148"/>
      <c r="D219" s="137">
        <f>D215</f>
        <v>43454</v>
      </c>
      <c r="E219" s="137" t="str">
        <f>E215</f>
        <v>680-п</v>
      </c>
      <c r="F219" s="12">
        <v>43466</v>
      </c>
      <c r="G219" s="12">
        <v>43646</v>
      </c>
      <c r="H219" s="149"/>
      <c r="I219" s="15" t="s">
        <v>23</v>
      </c>
      <c r="J219" s="14" t="s">
        <v>23</v>
      </c>
      <c r="K219" s="14" t="s">
        <v>23</v>
      </c>
      <c r="L219" s="5" t="s">
        <v>23</v>
      </c>
      <c r="M219" s="5" t="s">
        <v>23</v>
      </c>
      <c r="N219" s="5" t="s">
        <v>23</v>
      </c>
      <c r="O219" s="13">
        <v>2961.08</v>
      </c>
      <c r="P219" s="197"/>
      <c r="Q219" s="17">
        <f t="shared" si="3"/>
        <v>2467.5666666666666</v>
      </c>
      <c r="R219" s="67">
        <f>I217-Q219</f>
        <v>907.09333333333325</v>
      </c>
      <c r="S219" s="18">
        <f>R219*536.38</f>
        <v>486546.72213333327</v>
      </c>
    </row>
    <row r="220" spans="1:19" s="17" customFormat="1" ht="18.95" customHeight="1" outlineLevel="1" x14ac:dyDescent="0.25">
      <c r="A220" s="147"/>
      <c r="B220" s="147" t="s">
        <v>226</v>
      </c>
      <c r="C220" s="147" t="s">
        <v>213</v>
      </c>
      <c r="D220" s="141"/>
      <c r="E220" s="141"/>
      <c r="F220" s="12">
        <v>43647</v>
      </c>
      <c r="G220" s="12">
        <v>43830</v>
      </c>
      <c r="H220" s="151"/>
      <c r="I220" s="15" t="s">
        <v>23</v>
      </c>
      <c r="J220" s="14" t="s">
        <v>23</v>
      </c>
      <c r="K220" s="14" t="s">
        <v>23</v>
      </c>
      <c r="L220" s="5" t="s">
        <v>23</v>
      </c>
      <c r="M220" s="5" t="s">
        <v>23</v>
      </c>
      <c r="N220" s="5" t="s">
        <v>23</v>
      </c>
      <c r="O220" s="13">
        <f>O219</f>
        <v>2961.08</v>
      </c>
      <c r="P220" s="198"/>
      <c r="Q220" s="17">
        <f t="shared" si="3"/>
        <v>2467.5666666666666</v>
      </c>
      <c r="S220" s="18"/>
    </row>
    <row r="221" spans="1:19" s="17" customFormat="1" ht="18.95" customHeight="1" outlineLevel="1" x14ac:dyDescent="0.25">
      <c r="A221" s="146" t="s">
        <v>48</v>
      </c>
      <c r="B221" s="146" t="s">
        <v>303</v>
      </c>
      <c r="C221" s="146" t="s">
        <v>302</v>
      </c>
      <c r="D221" s="137">
        <f>D217</f>
        <v>43453</v>
      </c>
      <c r="E221" s="137" t="str">
        <f>E217</f>
        <v>461-п</v>
      </c>
      <c r="F221" s="12">
        <v>43466</v>
      </c>
      <c r="G221" s="12">
        <v>43646</v>
      </c>
      <c r="H221" s="142"/>
      <c r="I221" s="13">
        <v>2810.9</v>
      </c>
      <c r="J221" s="14" t="s">
        <v>23</v>
      </c>
      <c r="K221" s="14" t="s">
        <v>23</v>
      </c>
      <c r="L221" s="5" t="s">
        <v>23</v>
      </c>
      <c r="M221" s="5" t="s">
        <v>23</v>
      </c>
      <c r="N221" s="5" t="s">
        <v>23</v>
      </c>
      <c r="O221" s="4" t="s">
        <v>23</v>
      </c>
      <c r="P221" s="139"/>
      <c r="Q221" s="17" t="e">
        <f t="shared" si="3"/>
        <v>#VALUE!</v>
      </c>
      <c r="S221" s="18"/>
    </row>
    <row r="222" spans="1:19" s="17" customFormat="1" ht="18.95" customHeight="1" outlineLevel="1" x14ac:dyDescent="0.25">
      <c r="A222" s="148"/>
      <c r="B222" s="148"/>
      <c r="C222" s="148"/>
      <c r="D222" s="138"/>
      <c r="E222" s="138"/>
      <c r="F222" s="12">
        <v>43647</v>
      </c>
      <c r="G222" s="12">
        <v>43830</v>
      </c>
      <c r="H222" s="143"/>
      <c r="I222" s="13">
        <v>3209.09</v>
      </c>
      <c r="J222" s="14" t="s">
        <v>23</v>
      </c>
      <c r="K222" s="14" t="s">
        <v>23</v>
      </c>
      <c r="L222" s="5" t="s">
        <v>23</v>
      </c>
      <c r="M222" s="5" t="s">
        <v>23</v>
      </c>
      <c r="N222" s="5" t="s">
        <v>23</v>
      </c>
      <c r="O222" s="4" t="s">
        <v>23</v>
      </c>
      <c r="P222" s="140"/>
      <c r="Q222" s="17" t="e">
        <f t="shared" si="3"/>
        <v>#VALUE!</v>
      </c>
      <c r="S222" s="18"/>
    </row>
    <row r="223" spans="1:19" s="17" customFormat="1" ht="18.95" customHeight="1" outlineLevel="1" x14ac:dyDescent="0.25">
      <c r="A223" s="148"/>
      <c r="B223" s="148"/>
      <c r="C223" s="148"/>
      <c r="D223" s="137">
        <f>D219</f>
        <v>43454</v>
      </c>
      <c r="E223" s="137" t="str">
        <f>E219</f>
        <v>680-п</v>
      </c>
      <c r="F223" s="12">
        <v>43466</v>
      </c>
      <c r="G223" s="12">
        <v>43646</v>
      </c>
      <c r="H223" s="149"/>
      <c r="I223" s="15" t="s">
        <v>23</v>
      </c>
      <c r="J223" s="14" t="s">
        <v>23</v>
      </c>
      <c r="K223" s="14" t="s">
        <v>23</v>
      </c>
      <c r="L223" s="5" t="s">
        <v>23</v>
      </c>
      <c r="M223" s="5" t="s">
        <v>23</v>
      </c>
      <c r="N223" s="5" t="s">
        <v>23</v>
      </c>
      <c r="O223" s="13">
        <v>2447.48</v>
      </c>
      <c r="P223" s="139"/>
      <c r="Q223" s="17">
        <f t="shared" si="3"/>
        <v>2039.5666666666668</v>
      </c>
      <c r="R223" s="67">
        <f>I221-Q223</f>
        <v>771.33333333333326</v>
      </c>
      <c r="S223" s="18">
        <f>R223*23.704</f>
        <v>18283.685333333331</v>
      </c>
    </row>
    <row r="224" spans="1:19" s="17" customFormat="1" ht="18.95" customHeight="1" outlineLevel="1" x14ac:dyDescent="0.25">
      <c r="A224" s="147" t="s">
        <v>48</v>
      </c>
      <c r="B224" s="147" t="s">
        <v>233</v>
      </c>
      <c r="C224" s="147" t="s">
        <v>213</v>
      </c>
      <c r="D224" s="141"/>
      <c r="E224" s="141"/>
      <c r="F224" s="12">
        <v>43647</v>
      </c>
      <c r="G224" s="12">
        <v>43830</v>
      </c>
      <c r="H224" s="151"/>
      <c r="I224" s="15" t="s">
        <v>23</v>
      </c>
      <c r="J224" s="14" t="s">
        <v>23</v>
      </c>
      <c r="K224" s="14" t="s">
        <v>23</v>
      </c>
      <c r="L224" s="5" t="s">
        <v>23</v>
      </c>
      <c r="M224" s="5" t="s">
        <v>23</v>
      </c>
      <c r="N224" s="5" t="s">
        <v>23</v>
      </c>
      <c r="O224" s="13">
        <v>2496.4299999999998</v>
      </c>
      <c r="P224" s="140"/>
      <c r="Q224" s="17">
        <f t="shared" si="3"/>
        <v>2080.3583333333331</v>
      </c>
      <c r="S224" s="18"/>
    </row>
    <row r="225" spans="1:19" s="17" customFormat="1" ht="18.95" customHeight="1" outlineLevel="1" x14ac:dyDescent="0.25">
      <c r="A225" s="146" t="s">
        <v>48</v>
      </c>
      <c r="B225" s="146" t="s">
        <v>304</v>
      </c>
      <c r="C225" s="146" t="s">
        <v>302</v>
      </c>
      <c r="D225" s="137">
        <f>D221</f>
        <v>43453</v>
      </c>
      <c r="E225" s="137" t="str">
        <f>E221</f>
        <v>461-п</v>
      </c>
      <c r="F225" s="12">
        <v>43466</v>
      </c>
      <c r="G225" s="12">
        <v>43646</v>
      </c>
      <c r="H225" s="142"/>
      <c r="I225" s="13">
        <f>I221</f>
        <v>2810.9</v>
      </c>
      <c r="J225" s="14" t="s">
        <v>23</v>
      </c>
      <c r="K225" s="14" t="s">
        <v>23</v>
      </c>
      <c r="L225" s="5" t="s">
        <v>23</v>
      </c>
      <c r="M225" s="5" t="s">
        <v>23</v>
      </c>
      <c r="N225" s="5" t="s">
        <v>23</v>
      </c>
      <c r="O225" s="4" t="s">
        <v>23</v>
      </c>
      <c r="P225" s="139"/>
      <c r="Q225" s="17" t="e">
        <f t="shared" si="3"/>
        <v>#VALUE!</v>
      </c>
      <c r="S225" s="18"/>
    </row>
    <row r="226" spans="1:19" s="17" customFormat="1" ht="18.95" customHeight="1" outlineLevel="1" x14ac:dyDescent="0.25">
      <c r="A226" s="148"/>
      <c r="B226" s="148"/>
      <c r="C226" s="148"/>
      <c r="D226" s="138"/>
      <c r="E226" s="138"/>
      <c r="F226" s="12">
        <v>43647</v>
      </c>
      <c r="G226" s="12">
        <v>43830</v>
      </c>
      <c r="H226" s="143"/>
      <c r="I226" s="13">
        <f>I222</f>
        <v>3209.09</v>
      </c>
      <c r="J226" s="14" t="s">
        <v>23</v>
      </c>
      <c r="K226" s="14" t="s">
        <v>23</v>
      </c>
      <c r="L226" s="5" t="s">
        <v>23</v>
      </c>
      <c r="M226" s="5" t="s">
        <v>23</v>
      </c>
      <c r="N226" s="5" t="s">
        <v>23</v>
      </c>
      <c r="O226" s="4" t="s">
        <v>23</v>
      </c>
      <c r="P226" s="140"/>
      <c r="Q226" s="17" t="e">
        <f t="shared" si="3"/>
        <v>#VALUE!</v>
      </c>
      <c r="S226" s="18"/>
    </row>
    <row r="227" spans="1:19" s="17" customFormat="1" ht="18.95" customHeight="1" outlineLevel="1" x14ac:dyDescent="0.25">
      <c r="A227" s="148"/>
      <c r="B227" s="148"/>
      <c r="C227" s="148"/>
      <c r="D227" s="137">
        <f>D223</f>
        <v>43454</v>
      </c>
      <c r="E227" s="137" t="str">
        <f>E223</f>
        <v>680-п</v>
      </c>
      <c r="F227" s="12">
        <v>43466</v>
      </c>
      <c r="G227" s="12">
        <v>43646</v>
      </c>
      <c r="H227" s="149"/>
      <c r="I227" s="15" t="s">
        <v>23</v>
      </c>
      <c r="J227" s="14" t="s">
        <v>23</v>
      </c>
      <c r="K227" s="14" t="s">
        <v>23</v>
      </c>
      <c r="L227" s="5" t="s">
        <v>23</v>
      </c>
      <c r="M227" s="5" t="s">
        <v>23</v>
      </c>
      <c r="N227" s="5" t="s">
        <v>23</v>
      </c>
      <c r="O227" s="13">
        <v>2732.4</v>
      </c>
      <c r="P227" s="139"/>
      <c r="Q227" s="17">
        <f t="shared" si="3"/>
        <v>2277</v>
      </c>
      <c r="R227" s="67">
        <f>I225-Q227</f>
        <v>533.90000000000009</v>
      </c>
      <c r="S227" s="18">
        <f>R227*182.773</f>
        <v>97582.50470000002</v>
      </c>
    </row>
    <row r="228" spans="1:19" s="17" customFormat="1" ht="18.95" customHeight="1" outlineLevel="1" x14ac:dyDescent="0.25">
      <c r="A228" s="147" t="s">
        <v>48</v>
      </c>
      <c r="B228" s="147" t="s">
        <v>233</v>
      </c>
      <c r="C228" s="147" t="s">
        <v>213</v>
      </c>
      <c r="D228" s="141"/>
      <c r="E228" s="141"/>
      <c r="F228" s="12">
        <v>43647</v>
      </c>
      <c r="G228" s="12">
        <v>43830</v>
      </c>
      <c r="H228" s="151"/>
      <c r="I228" s="15" t="s">
        <v>23</v>
      </c>
      <c r="J228" s="14" t="s">
        <v>23</v>
      </c>
      <c r="K228" s="14" t="s">
        <v>23</v>
      </c>
      <c r="L228" s="5" t="s">
        <v>23</v>
      </c>
      <c r="M228" s="5" t="s">
        <v>23</v>
      </c>
      <c r="N228" s="5" t="s">
        <v>23</v>
      </c>
      <c r="O228" s="13">
        <f>O227</f>
        <v>2732.4</v>
      </c>
      <c r="P228" s="140"/>
      <c r="Q228" s="17">
        <f t="shared" si="3"/>
        <v>2277</v>
      </c>
      <c r="S228" s="18"/>
    </row>
    <row r="229" spans="1:19" s="17" customFormat="1" ht="18.95" customHeight="1" outlineLevel="1" x14ac:dyDescent="0.25">
      <c r="A229" s="146" t="s">
        <v>48</v>
      </c>
      <c r="B229" s="146" t="s">
        <v>305</v>
      </c>
      <c r="C229" s="146" t="s">
        <v>302</v>
      </c>
      <c r="D229" s="137">
        <f>D225</f>
        <v>43453</v>
      </c>
      <c r="E229" s="137" t="str">
        <f>E225</f>
        <v>461-п</v>
      </c>
      <c r="F229" s="12">
        <v>43466</v>
      </c>
      <c r="G229" s="12">
        <v>43646</v>
      </c>
      <c r="H229" s="142"/>
      <c r="I229" s="13">
        <f>I225</f>
        <v>2810.9</v>
      </c>
      <c r="J229" s="14" t="s">
        <v>23</v>
      </c>
      <c r="K229" s="14" t="s">
        <v>23</v>
      </c>
      <c r="L229" s="5" t="s">
        <v>23</v>
      </c>
      <c r="M229" s="5" t="s">
        <v>23</v>
      </c>
      <c r="N229" s="5" t="s">
        <v>23</v>
      </c>
      <c r="O229" s="15"/>
      <c r="P229" s="139"/>
      <c r="Q229" s="17">
        <f t="shared" si="3"/>
        <v>0</v>
      </c>
      <c r="S229" s="18"/>
    </row>
    <row r="230" spans="1:19" s="17" customFormat="1" ht="18.95" customHeight="1" outlineLevel="1" x14ac:dyDescent="0.25">
      <c r="A230" s="148"/>
      <c r="B230" s="148"/>
      <c r="C230" s="148" t="s">
        <v>213</v>
      </c>
      <c r="D230" s="138"/>
      <c r="E230" s="138"/>
      <c r="F230" s="12">
        <v>43647</v>
      </c>
      <c r="G230" s="12">
        <v>43830</v>
      </c>
      <c r="H230" s="143"/>
      <c r="I230" s="13">
        <f>I226</f>
        <v>3209.09</v>
      </c>
      <c r="J230" s="14" t="s">
        <v>23</v>
      </c>
      <c r="K230" s="14" t="s">
        <v>23</v>
      </c>
      <c r="L230" s="5" t="s">
        <v>23</v>
      </c>
      <c r="M230" s="5" t="s">
        <v>23</v>
      </c>
      <c r="N230" s="5" t="s">
        <v>23</v>
      </c>
      <c r="O230" s="15" t="s">
        <v>23</v>
      </c>
      <c r="P230" s="140"/>
      <c r="Q230" s="17" t="e">
        <f t="shared" si="3"/>
        <v>#VALUE!</v>
      </c>
      <c r="S230" s="18"/>
    </row>
    <row r="231" spans="1:19" s="17" customFormat="1" ht="18.95" customHeight="1" outlineLevel="1" x14ac:dyDescent="0.25">
      <c r="A231" s="148"/>
      <c r="B231" s="148"/>
      <c r="C231" s="148"/>
      <c r="D231" s="137">
        <f>D227</f>
        <v>43454</v>
      </c>
      <c r="E231" s="137" t="str">
        <f>E227</f>
        <v>680-п</v>
      </c>
      <c r="F231" s="12">
        <v>43466</v>
      </c>
      <c r="G231" s="12">
        <v>43646</v>
      </c>
      <c r="H231" s="149"/>
      <c r="I231" s="15" t="s">
        <v>23</v>
      </c>
      <c r="J231" s="14" t="s">
        <v>23</v>
      </c>
      <c r="K231" s="14" t="s">
        <v>23</v>
      </c>
      <c r="L231" s="5" t="s">
        <v>23</v>
      </c>
      <c r="M231" s="5" t="s">
        <v>23</v>
      </c>
      <c r="N231" s="5" t="s">
        <v>23</v>
      </c>
      <c r="O231" s="13">
        <v>2732.4</v>
      </c>
      <c r="P231" s="139"/>
      <c r="Q231" s="17">
        <f t="shared" si="3"/>
        <v>2277</v>
      </c>
      <c r="R231" s="67">
        <f>I229-Q231</f>
        <v>533.90000000000009</v>
      </c>
      <c r="S231" s="18">
        <f>R231*23.704</f>
        <v>12655.565600000002</v>
      </c>
    </row>
    <row r="232" spans="1:19" s="17" customFormat="1" ht="18.95" customHeight="1" outlineLevel="1" x14ac:dyDescent="0.25">
      <c r="A232" s="147"/>
      <c r="B232" s="147"/>
      <c r="C232" s="147"/>
      <c r="D232" s="141"/>
      <c r="E232" s="141"/>
      <c r="F232" s="12">
        <v>43647</v>
      </c>
      <c r="G232" s="12">
        <v>43830</v>
      </c>
      <c r="H232" s="151"/>
      <c r="I232" s="15" t="s">
        <v>23</v>
      </c>
      <c r="J232" s="14" t="s">
        <v>23</v>
      </c>
      <c r="K232" s="14" t="s">
        <v>23</v>
      </c>
      <c r="L232" s="5" t="s">
        <v>23</v>
      </c>
      <c r="M232" s="5" t="s">
        <v>23</v>
      </c>
      <c r="N232" s="5" t="s">
        <v>23</v>
      </c>
      <c r="O232" s="13">
        <f>O231</f>
        <v>2732.4</v>
      </c>
      <c r="P232" s="140"/>
      <c r="Q232" s="17">
        <f t="shared" si="3"/>
        <v>2277</v>
      </c>
      <c r="S232" s="18"/>
    </row>
    <row r="233" spans="1:19" s="17" customFormat="1" ht="18.95" customHeight="1" outlineLevel="1" x14ac:dyDescent="0.25">
      <c r="A233" s="146" t="s">
        <v>48</v>
      </c>
      <c r="B233" s="146" t="s">
        <v>215</v>
      </c>
      <c r="C233" s="146" t="s">
        <v>302</v>
      </c>
      <c r="D233" s="137">
        <f>D229</f>
        <v>43453</v>
      </c>
      <c r="E233" s="137" t="str">
        <f>E229</f>
        <v>461-п</v>
      </c>
      <c r="F233" s="12">
        <v>43466</v>
      </c>
      <c r="G233" s="12">
        <v>43646</v>
      </c>
      <c r="H233" s="142"/>
      <c r="I233" s="13">
        <v>5528.88</v>
      </c>
      <c r="J233" s="14" t="s">
        <v>23</v>
      </c>
      <c r="K233" s="14" t="s">
        <v>23</v>
      </c>
      <c r="L233" s="5" t="s">
        <v>23</v>
      </c>
      <c r="M233" s="5" t="s">
        <v>23</v>
      </c>
      <c r="N233" s="5" t="s">
        <v>23</v>
      </c>
      <c r="O233" s="4" t="s">
        <v>23</v>
      </c>
      <c r="P233" s="139"/>
      <c r="Q233" s="17" t="e">
        <f t="shared" si="3"/>
        <v>#VALUE!</v>
      </c>
      <c r="S233" s="18"/>
    </row>
    <row r="234" spans="1:19" s="17" customFormat="1" ht="18.95" customHeight="1" outlineLevel="1" x14ac:dyDescent="0.25">
      <c r="A234" s="148" t="s">
        <v>48</v>
      </c>
      <c r="B234" s="148" t="s">
        <v>215</v>
      </c>
      <c r="C234" s="148"/>
      <c r="D234" s="141"/>
      <c r="E234" s="141"/>
      <c r="F234" s="12">
        <v>43647</v>
      </c>
      <c r="G234" s="12">
        <v>43830</v>
      </c>
      <c r="H234" s="143"/>
      <c r="I234" s="13">
        <v>6621.79</v>
      </c>
      <c r="J234" s="14" t="s">
        <v>23</v>
      </c>
      <c r="K234" s="14" t="s">
        <v>23</v>
      </c>
      <c r="L234" s="5" t="s">
        <v>23</v>
      </c>
      <c r="M234" s="5" t="s">
        <v>23</v>
      </c>
      <c r="N234" s="5" t="s">
        <v>23</v>
      </c>
      <c r="O234" s="4" t="s">
        <v>23</v>
      </c>
      <c r="P234" s="140"/>
      <c r="Q234" s="17" t="e">
        <f t="shared" si="3"/>
        <v>#VALUE!</v>
      </c>
      <c r="S234" s="18"/>
    </row>
    <row r="235" spans="1:19" s="17" customFormat="1" ht="18.95" customHeight="1" outlineLevel="1" x14ac:dyDescent="0.25">
      <c r="A235" s="148"/>
      <c r="B235" s="148"/>
      <c r="C235" s="148"/>
      <c r="D235" s="137">
        <f>D231</f>
        <v>43454</v>
      </c>
      <c r="E235" s="137" t="str">
        <f>E231</f>
        <v>680-п</v>
      </c>
      <c r="F235" s="12">
        <v>43466</v>
      </c>
      <c r="G235" s="12">
        <v>43646</v>
      </c>
      <c r="H235" s="149"/>
      <c r="I235" s="15" t="s">
        <v>23</v>
      </c>
      <c r="J235" s="14" t="s">
        <v>23</v>
      </c>
      <c r="K235" s="14" t="s">
        <v>23</v>
      </c>
      <c r="L235" s="5" t="s">
        <v>23</v>
      </c>
      <c r="M235" s="5" t="s">
        <v>23</v>
      </c>
      <c r="N235" s="5" t="s">
        <v>23</v>
      </c>
      <c r="O235" s="13">
        <v>2469.5700000000002</v>
      </c>
      <c r="P235" s="139"/>
      <c r="Q235" s="17">
        <f t="shared" si="3"/>
        <v>2057.9750000000004</v>
      </c>
      <c r="R235" s="67">
        <f>I233-Q235</f>
        <v>3470.9049999999997</v>
      </c>
      <c r="S235" s="18">
        <f>R235*241.467</f>
        <v>838109.01763499994</v>
      </c>
    </row>
    <row r="236" spans="1:19" s="17" customFormat="1" ht="18.95" customHeight="1" outlineLevel="1" x14ac:dyDescent="0.25">
      <c r="A236" s="147"/>
      <c r="B236" s="147"/>
      <c r="C236" s="147" t="s">
        <v>213</v>
      </c>
      <c r="D236" s="141"/>
      <c r="E236" s="141"/>
      <c r="F236" s="12">
        <v>43647</v>
      </c>
      <c r="G236" s="12">
        <v>43830</v>
      </c>
      <c r="H236" s="151"/>
      <c r="I236" s="15" t="s">
        <v>23</v>
      </c>
      <c r="J236" s="14" t="s">
        <v>23</v>
      </c>
      <c r="K236" s="14" t="s">
        <v>23</v>
      </c>
      <c r="L236" s="5" t="s">
        <v>23</v>
      </c>
      <c r="M236" s="5" t="s">
        <v>23</v>
      </c>
      <c r="N236" s="5" t="s">
        <v>23</v>
      </c>
      <c r="O236" s="13">
        <v>2518.96</v>
      </c>
      <c r="P236" s="140"/>
      <c r="Q236" s="17">
        <f t="shared" si="3"/>
        <v>2099.1333333333337</v>
      </c>
      <c r="S236" s="18"/>
    </row>
    <row r="237" spans="1:19" s="17" customFormat="1" ht="18.95" customHeight="1" outlineLevel="1" x14ac:dyDescent="0.25">
      <c r="A237" s="146" t="s">
        <v>48</v>
      </c>
      <c r="B237" s="146" t="s">
        <v>568</v>
      </c>
      <c r="C237" s="146" t="s">
        <v>232</v>
      </c>
      <c r="D237" s="137">
        <v>43453</v>
      </c>
      <c r="E237" s="137" t="s">
        <v>695</v>
      </c>
      <c r="F237" s="12">
        <v>43466</v>
      </c>
      <c r="G237" s="12">
        <v>43646</v>
      </c>
      <c r="H237" s="142"/>
      <c r="I237" s="13">
        <v>2195.2199999999998</v>
      </c>
      <c r="J237" s="14" t="s">
        <v>23</v>
      </c>
      <c r="K237" s="14" t="s">
        <v>23</v>
      </c>
      <c r="L237" s="5" t="s">
        <v>23</v>
      </c>
      <c r="M237" s="5" t="s">
        <v>23</v>
      </c>
      <c r="N237" s="5" t="s">
        <v>23</v>
      </c>
      <c r="O237" s="15" t="s">
        <v>23</v>
      </c>
      <c r="P237" s="153"/>
      <c r="S237" s="18"/>
    </row>
    <row r="238" spans="1:19" s="17" customFormat="1" ht="18.95" customHeight="1" outlineLevel="1" x14ac:dyDescent="0.25">
      <c r="A238" s="148"/>
      <c r="B238" s="148"/>
      <c r="C238" s="148"/>
      <c r="D238" s="138"/>
      <c r="E238" s="138"/>
      <c r="F238" s="12">
        <v>43647</v>
      </c>
      <c r="G238" s="12">
        <v>43830</v>
      </c>
      <c r="H238" s="143"/>
      <c r="I238" s="13">
        <v>2218.0100000000002</v>
      </c>
      <c r="J238" s="14" t="s">
        <v>23</v>
      </c>
      <c r="K238" s="14" t="s">
        <v>23</v>
      </c>
      <c r="L238" s="5" t="s">
        <v>23</v>
      </c>
      <c r="M238" s="5" t="s">
        <v>23</v>
      </c>
      <c r="N238" s="5" t="s">
        <v>23</v>
      </c>
      <c r="O238" s="15" t="s">
        <v>23</v>
      </c>
      <c r="P238" s="169"/>
      <c r="S238" s="18"/>
    </row>
    <row r="239" spans="1:19" s="17" customFormat="1" ht="18.95" customHeight="1" outlineLevel="1" x14ac:dyDescent="0.25">
      <c r="A239" s="148"/>
      <c r="B239" s="148"/>
      <c r="C239" s="148"/>
      <c r="D239" s="137">
        <v>43454</v>
      </c>
      <c r="E239" s="137" t="s">
        <v>606</v>
      </c>
      <c r="F239" s="12">
        <v>43466</v>
      </c>
      <c r="G239" s="12">
        <v>43646</v>
      </c>
      <c r="H239" s="149"/>
      <c r="I239" s="15" t="s">
        <v>23</v>
      </c>
      <c r="J239" s="14" t="s">
        <v>23</v>
      </c>
      <c r="K239" s="14" t="s">
        <v>23</v>
      </c>
      <c r="L239" s="5" t="s">
        <v>23</v>
      </c>
      <c r="M239" s="5" t="s">
        <v>23</v>
      </c>
      <c r="N239" s="5" t="s">
        <v>23</v>
      </c>
      <c r="O239" s="13">
        <v>2579.69</v>
      </c>
      <c r="P239" s="169"/>
      <c r="Q239" s="17">
        <f t="shared" si="3"/>
        <v>2149.7416666666668</v>
      </c>
      <c r="S239" s="18"/>
    </row>
    <row r="240" spans="1:19" s="17" customFormat="1" ht="18.95" customHeight="1" outlineLevel="1" x14ac:dyDescent="0.25">
      <c r="A240" s="147" t="s">
        <v>48</v>
      </c>
      <c r="B240" s="147" t="s">
        <v>231</v>
      </c>
      <c r="C240" s="147" t="s">
        <v>232</v>
      </c>
      <c r="D240" s="141"/>
      <c r="E240" s="141"/>
      <c r="F240" s="12">
        <v>43647</v>
      </c>
      <c r="G240" s="12">
        <v>43830</v>
      </c>
      <c r="H240" s="151"/>
      <c r="I240" s="15" t="s">
        <v>23</v>
      </c>
      <c r="J240" s="14" t="s">
        <v>23</v>
      </c>
      <c r="K240" s="14" t="s">
        <v>23</v>
      </c>
      <c r="L240" s="5" t="s">
        <v>23</v>
      </c>
      <c r="M240" s="5" t="s">
        <v>23</v>
      </c>
      <c r="N240" s="5" t="s">
        <v>23</v>
      </c>
      <c r="O240" s="13">
        <v>2579.69</v>
      </c>
      <c r="P240" s="152"/>
      <c r="Q240" s="17">
        <f t="shared" si="3"/>
        <v>2149.7416666666668</v>
      </c>
      <c r="S240" s="18"/>
    </row>
    <row r="241" spans="1:19" s="17" customFormat="1" ht="18.95" customHeight="1" outlineLevel="1" x14ac:dyDescent="0.25">
      <c r="A241" s="146" t="s">
        <v>48</v>
      </c>
      <c r="B241" s="146" t="s">
        <v>234</v>
      </c>
      <c r="C241" s="146" t="s">
        <v>370</v>
      </c>
      <c r="D241" s="137">
        <v>43087</v>
      </c>
      <c r="E241" s="137" t="s">
        <v>609</v>
      </c>
      <c r="F241" s="12">
        <v>43466</v>
      </c>
      <c r="G241" s="12">
        <v>43646</v>
      </c>
      <c r="H241" s="142" t="s">
        <v>834</v>
      </c>
      <c r="I241" s="13">
        <v>1940.05</v>
      </c>
      <c r="J241" s="14" t="s">
        <v>23</v>
      </c>
      <c r="K241" s="14" t="s">
        <v>23</v>
      </c>
      <c r="L241" s="5" t="s">
        <v>23</v>
      </c>
      <c r="M241" s="5" t="s">
        <v>23</v>
      </c>
      <c r="N241" s="5" t="s">
        <v>23</v>
      </c>
      <c r="O241" s="15" t="s">
        <v>23</v>
      </c>
      <c r="P241" s="133"/>
      <c r="Q241" s="17" t="e">
        <f t="shared" si="3"/>
        <v>#VALUE!</v>
      </c>
      <c r="S241" s="18"/>
    </row>
    <row r="242" spans="1:19" s="17" customFormat="1" ht="18.95" customHeight="1" outlineLevel="1" x14ac:dyDescent="0.25">
      <c r="A242" s="148"/>
      <c r="B242" s="148"/>
      <c r="C242" s="148"/>
      <c r="D242" s="138"/>
      <c r="E242" s="138"/>
      <c r="F242" s="12">
        <v>43647</v>
      </c>
      <c r="G242" s="12">
        <v>43830</v>
      </c>
      <c r="H242" s="143"/>
      <c r="I242" s="13">
        <v>2198.41</v>
      </c>
      <c r="J242" s="14" t="s">
        <v>23</v>
      </c>
      <c r="K242" s="14" t="s">
        <v>23</v>
      </c>
      <c r="L242" s="5" t="s">
        <v>23</v>
      </c>
      <c r="M242" s="5" t="s">
        <v>23</v>
      </c>
      <c r="N242" s="5" t="s">
        <v>23</v>
      </c>
      <c r="O242" s="15" t="s">
        <v>23</v>
      </c>
      <c r="P242" s="134" t="s">
        <v>461</v>
      </c>
      <c r="Q242" s="17" t="e">
        <f t="shared" si="3"/>
        <v>#VALUE!</v>
      </c>
      <c r="S242" s="18"/>
    </row>
    <row r="243" spans="1:19" s="17" customFormat="1" ht="18.95" customHeight="1" outlineLevel="1" x14ac:dyDescent="0.25">
      <c r="A243" s="148"/>
      <c r="B243" s="148"/>
      <c r="C243" s="148"/>
      <c r="D243" s="137">
        <v>43454</v>
      </c>
      <c r="E243" s="137" t="s">
        <v>606</v>
      </c>
      <c r="F243" s="12">
        <v>43466</v>
      </c>
      <c r="G243" s="12">
        <v>43646</v>
      </c>
      <c r="H243" s="149"/>
      <c r="I243" s="15" t="s">
        <v>23</v>
      </c>
      <c r="J243" s="14" t="s">
        <v>23</v>
      </c>
      <c r="K243" s="14" t="s">
        <v>23</v>
      </c>
      <c r="L243" s="5" t="s">
        <v>23</v>
      </c>
      <c r="M243" s="5" t="s">
        <v>23</v>
      </c>
      <c r="N243" s="5" t="s">
        <v>23</v>
      </c>
      <c r="O243" s="13">
        <v>2067.21</v>
      </c>
      <c r="P243" s="135"/>
      <c r="Q243" s="17">
        <f t="shared" si="3"/>
        <v>1722.6750000000002</v>
      </c>
      <c r="S243" s="18"/>
    </row>
    <row r="244" spans="1:19" s="17" customFormat="1" ht="18.95" customHeight="1" outlineLevel="1" x14ac:dyDescent="0.25">
      <c r="A244" s="147"/>
      <c r="B244" s="147" t="s">
        <v>234</v>
      </c>
      <c r="C244" s="147" t="s">
        <v>235</v>
      </c>
      <c r="D244" s="141"/>
      <c r="E244" s="141"/>
      <c r="F244" s="12">
        <v>43647</v>
      </c>
      <c r="G244" s="12">
        <v>43830</v>
      </c>
      <c r="H244" s="151"/>
      <c r="I244" s="15" t="s">
        <v>23</v>
      </c>
      <c r="J244" s="14" t="s">
        <v>23</v>
      </c>
      <c r="K244" s="14" t="s">
        <v>23</v>
      </c>
      <c r="L244" s="5" t="s">
        <v>23</v>
      </c>
      <c r="M244" s="5" t="s">
        <v>23</v>
      </c>
      <c r="N244" s="5" t="s">
        <v>23</v>
      </c>
      <c r="O244" s="13">
        <v>2108.5500000000002</v>
      </c>
      <c r="P244" s="134" t="s">
        <v>461</v>
      </c>
      <c r="Q244" s="17">
        <f t="shared" si="3"/>
        <v>1757.1250000000002</v>
      </c>
      <c r="S244" s="18"/>
    </row>
    <row r="245" spans="1:19" s="17" customFormat="1" ht="18.95" customHeight="1" outlineLevel="1" x14ac:dyDescent="0.25">
      <c r="A245" s="146" t="s">
        <v>48</v>
      </c>
      <c r="B245" s="146" t="s">
        <v>234</v>
      </c>
      <c r="C245" s="146" t="s">
        <v>369</v>
      </c>
      <c r="D245" s="137">
        <v>43087</v>
      </c>
      <c r="E245" s="137" t="s">
        <v>610</v>
      </c>
      <c r="F245" s="12">
        <v>43466</v>
      </c>
      <c r="G245" s="12">
        <v>43646</v>
      </c>
      <c r="H245" s="142" t="s">
        <v>611</v>
      </c>
      <c r="I245" s="13">
        <v>1891.63</v>
      </c>
      <c r="J245" s="14" t="s">
        <v>23</v>
      </c>
      <c r="K245" s="14" t="s">
        <v>23</v>
      </c>
      <c r="L245" s="5" t="s">
        <v>23</v>
      </c>
      <c r="M245" s="5" t="s">
        <v>23</v>
      </c>
      <c r="N245" s="5" t="s">
        <v>23</v>
      </c>
      <c r="O245" s="15" t="s">
        <v>23</v>
      </c>
      <c r="P245" s="139"/>
      <c r="Q245" s="17" t="e">
        <f t="shared" si="3"/>
        <v>#VALUE!</v>
      </c>
      <c r="S245" s="18"/>
    </row>
    <row r="246" spans="1:19" s="17" customFormat="1" ht="18.95" customHeight="1" outlineLevel="1" x14ac:dyDescent="0.25">
      <c r="A246" s="148"/>
      <c r="B246" s="148"/>
      <c r="C246" s="148"/>
      <c r="D246" s="138"/>
      <c r="E246" s="138"/>
      <c r="F246" s="12">
        <v>43647</v>
      </c>
      <c r="G246" s="12">
        <v>43830</v>
      </c>
      <c r="H246" s="154"/>
      <c r="I246" s="13">
        <v>1971.73</v>
      </c>
      <c r="J246" s="14" t="s">
        <v>23</v>
      </c>
      <c r="K246" s="14" t="s">
        <v>23</v>
      </c>
      <c r="L246" s="5" t="s">
        <v>23</v>
      </c>
      <c r="M246" s="5" t="s">
        <v>23</v>
      </c>
      <c r="N246" s="5" t="s">
        <v>23</v>
      </c>
      <c r="O246" s="15" t="s">
        <v>23</v>
      </c>
      <c r="P246" s="140"/>
      <c r="Q246" s="17" t="e">
        <f t="shared" si="3"/>
        <v>#VALUE!</v>
      </c>
      <c r="S246" s="18"/>
    </row>
    <row r="247" spans="1:19" s="17" customFormat="1" ht="18.95" customHeight="1" outlineLevel="1" x14ac:dyDescent="0.25">
      <c r="A247" s="148"/>
      <c r="B247" s="148"/>
      <c r="C247" s="148"/>
      <c r="D247" s="138"/>
      <c r="E247" s="138"/>
      <c r="F247" s="12">
        <v>43466</v>
      </c>
      <c r="G247" s="12">
        <v>43646</v>
      </c>
      <c r="H247" s="170"/>
      <c r="I247" s="13">
        <v>232.8</v>
      </c>
      <c r="J247" s="74"/>
      <c r="K247" s="74"/>
      <c r="L247" s="76"/>
      <c r="M247" s="76"/>
      <c r="N247" s="76"/>
      <c r="O247" s="75" t="s">
        <v>23</v>
      </c>
      <c r="P247" s="153" t="s">
        <v>379</v>
      </c>
      <c r="Q247" s="17" t="e">
        <f t="shared" si="3"/>
        <v>#VALUE!</v>
      </c>
      <c r="S247" s="18"/>
    </row>
    <row r="248" spans="1:19" s="17" customFormat="1" ht="18.95" customHeight="1" outlineLevel="1" x14ac:dyDescent="0.25">
      <c r="A248" s="148"/>
      <c r="B248" s="148"/>
      <c r="C248" s="148"/>
      <c r="D248" s="141"/>
      <c r="E248" s="141"/>
      <c r="F248" s="12">
        <v>43647</v>
      </c>
      <c r="G248" s="12">
        <v>43830</v>
      </c>
      <c r="H248" s="171"/>
      <c r="I248" s="13">
        <v>237.48</v>
      </c>
      <c r="J248" s="74"/>
      <c r="K248" s="74"/>
      <c r="L248" s="76"/>
      <c r="M248" s="76"/>
      <c r="N248" s="76"/>
      <c r="O248" s="75" t="s">
        <v>23</v>
      </c>
      <c r="P248" s="152"/>
      <c r="Q248" s="17" t="e">
        <f t="shared" ref="Q248:Q309" si="4">O248/1.2</f>
        <v>#VALUE!</v>
      </c>
      <c r="S248" s="18"/>
    </row>
    <row r="249" spans="1:19" s="17" customFormat="1" ht="18.95" customHeight="1" outlineLevel="1" x14ac:dyDescent="0.25">
      <c r="A249" s="148"/>
      <c r="B249" s="148"/>
      <c r="C249" s="148"/>
      <c r="D249" s="137">
        <v>43454</v>
      </c>
      <c r="E249" s="137" t="s">
        <v>606</v>
      </c>
      <c r="F249" s="12">
        <v>43466</v>
      </c>
      <c r="G249" s="12">
        <v>43646</v>
      </c>
      <c r="H249" s="149"/>
      <c r="I249" s="15" t="s">
        <v>23</v>
      </c>
      <c r="J249" s="14" t="s">
        <v>23</v>
      </c>
      <c r="K249" s="14" t="s">
        <v>23</v>
      </c>
      <c r="L249" s="5" t="s">
        <v>23</v>
      </c>
      <c r="M249" s="5" t="s">
        <v>23</v>
      </c>
      <c r="N249" s="5" t="s">
        <v>23</v>
      </c>
      <c r="O249" s="13">
        <v>2067.21</v>
      </c>
      <c r="P249" s="139"/>
      <c r="Q249" s="17">
        <f t="shared" si="4"/>
        <v>1722.6750000000002</v>
      </c>
      <c r="S249" s="18"/>
    </row>
    <row r="250" spans="1:19" s="17" customFormat="1" ht="18.95" customHeight="1" outlineLevel="1" x14ac:dyDescent="0.25">
      <c r="A250" s="147"/>
      <c r="B250" s="147" t="s">
        <v>234</v>
      </c>
      <c r="C250" s="147" t="s">
        <v>235</v>
      </c>
      <c r="D250" s="141"/>
      <c r="E250" s="141"/>
      <c r="F250" s="12">
        <v>43647</v>
      </c>
      <c r="G250" s="12">
        <v>43830</v>
      </c>
      <c r="H250" s="151"/>
      <c r="I250" s="15" t="s">
        <v>23</v>
      </c>
      <c r="J250" s="14" t="s">
        <v>23</v>
      </c>
      <c r="K250" s="14" t="s">
        <v>23</v>
      </c>
      <c r="L250" s="5" t="s">
        <v>23</v>
      </c>
      <c r="M250" s="5" t="s">
        <v>23</v>
      </c>
      <c r="N250" s="5" t="s">
        <v>23</v>
      </c>
      <c r="O250" s="13">
        <v>2108.5500000000002</v>
      </c>
      <c r="P250" s="140"/>
      <c r="Q250" s="17">
        <f t="shared" si="4"/>
        <v>1757.1250000000002</v>
      </c>
      <c r="S250" s="18"/>
    </row>
    <row r="251" spans="1:19" s="17" customFormat="1" ht="18.95" customHeight="1" outlineLevel="1" x14ac:dyDescent="0.25">
      <c r="A251" s="146" t="s">
        <v>48</v>
      </c>
      <c r="B251" s="146" t="s">
        <v>234</v>
      </c>
      <c r="C251" s="146" t="s">
        <v>466</v>
      </c>
      <c r="D251" s="156">
        <v>43441</v>
      </c>
      <c r="E251" s="156" t="s">
        <v>354</v>
      </c>
      <c r="F251" s="12">
        <v>43466</v>
      </c>
      <c r="G251" s="12">
        <v>43646</v>
      </c>
      <c r="H251" s="168"/>
      <c r="I251" s="13">
        <v>1672.81</v>
      </c>
      <c r="J251" s="14" t="s">
        <v>23</v>
      </c>
      <c r="K251" s="14" t="s">
        <v>23</v>
      </c>
      <c r="L251" s="5" t="s">
        <v>23</v>
      </c>
      <c r="M251" s="5" t="s">
        <v>23</v>
      </c>
      <c r="N251" s="5" t="s">
        <v>23</v>
      </c>
      <c r="O251" s="15" t="s">
        <v>23</v>
      </c>
      <c r="P251" s="139"/>
      <c r="Q251" s="17" t="e">
        <f t="shared" si="4"/>
        <v>#VALUE!</v>
      </c>
      <c r="S251" s="18"/>
    </row>
    <row r="252" spans="1:19" s="17" customFormat="1" ht="38.25" customHeight="1" outlineLevel="1" x14ac:dyDescent="0.25">
      <c r="A252" s="148"/>
      <c r="B252" s="148"/>
      <c r="C252" s="148"/>
      <c r="D252" s="156"/>
      <c r="E252" s="156"/>
      <c r="F252" s="12">
        <v>43647</v>
      </c>
      <c r="G252" s="12">
        <v>43830</v>
      </c>
      <c r="H252" s="168"/>
      <c r="I252" s="13">
        <v>1697.89</v>
      </c>
      <c r="J252" s="14" t="s">
        <v>23</v>
      </c>
      <c r="K252" s="14" t="s">
        <v>23</v>
      </c>
      <c r="L252" s="5" t="s">
        <v>23</v>
      </c>
      <c r="M252" s="5" t="s">
        <v>23</v>
      </c>
      <c r="N252" s="5" t="s">
        <v>23</v>
      </c>
      <c r="O252" s="15" t="s">
        <v>23</v>
      </c>
      <c r="P252" s="140"/>
      <c r="Q252" s="17" t="e">
        <f t="shared" si="4"/>
        <v>#VALUE!</v>
      </c>
      <c r="S252" s="18"/>
    </row>
    <row r="253" spans="1:19" s="17" customFormat="1" ht="38.25" customHeight="1" outlineLevel="1" x14ac:dyDescent="0.25">
      <c r="A253" s="148"/>
      <c r="B253" s="148"/>
      <c r="C253" s="148"/>
      <c r="D253" s="137">
        <v>43454</v>
      </c>
      <c r="E253" s="137" t="s">
        <v>606</v>
      </c>
      <c r="F253" s="12">
        <v>43466</v>
      </c>
      <c r="G253" s="12">
        <v>43646</v>
      </c>
      <c r="H253" s="168"/>
      <c r="I253" s="15" t="s">
        <v>23</v>
      </c>
      <c r="J253" s="14" t="s">
        <v>23</v>
      </c>
      <c r="K253" s="14" t="s">
        <v>23</v>
      </c>
      <c r="L253" s="5" t="s">
        <v>23</v>
      </c>
      <c r="M253" s="5" t="s">
        <v>23</v>
      </c>
      <c r="N253" s="5" t="s">
        <v>23</v>
      </c>
      <c r="O253" s="13">
        <v>2007.37</v>
      </c>
      <c r="P253" s="144" t="s">
        <v>444</v>
      </c>
      <c r="Q253" s="17">
        <f t="shared" si="4"/>
        <v>1672.8083333333334</v>
      </c>
      <c r="S253" s="18"/>
    </row>
    <row r="254" spans="1:19" s="17" customFormat="1" ht="38.25" customHeight="1" outlineLevel="1" x14ac:dyDescent="0.25">
      <c r="A254" s="148"/>
      <c r="B254" s="148"/>
      <c r="C254" s="148"/>
      <c r="D254" s="138"/>
      <c r="E254" s="138"/>
      <c r="F254" s="12">
        <v>43647</v>
      </c>
      <c r="G254" s="12">
        <v>43830</v>
      </c>
      <c r="H254" s="168"/>
      <c r="I254" s="15" t="s">
        <v>23</v>
      </c>
      <c r="J254" s="14" t="s">
        <v>23</v>
      </c>
      <c r="K254" s="14" t="s">
        <v>23</v>
      </c>
      <c r="L254" s="5" t="s">
        <v>23</v>
      </c>
      <c r="M254" s="5" t="s">
        <v>23</v>
      </c>
      <c r="N254" s="5" t="s">
        <v>23</v>
      </c>
      <c r="O254" s="13">
        <v>2037.47</v>
      </c>
      <c r="P254" s="145"/>
      <c r="Q254" s="17">
        <f t="shared" si="4"/>
        <v>1697.8916666666667</v>
      </c>
      <c r="S254" s="18"/>
    </row>
    <row r="255" spans="1:19" s="17" customFormat="1" ht="38.25" customHeight="1" outlineLevel="1" x14ac:dyDescent="0.25">
      <c r="A255" s="148"/>
      <c r="B255" s="148"/>
      <c r="C255" s="148"/>
      <c r="D255" s="138"/>
      <c r="E255" s="138"/>
      <c r="F255" s="12">
        <v>43466</v>
      </c>
      <c r="G255" s="12">
        <v>43646</v>
      </c>
      <c r="H255" s="168"/>
      <c r="I255" s="15" t="s">
        <v>23</v>
      </c>
      <c r="J255" s="14" t="s">
        <v>23</v>
      </c>
      <c r="K255" s="14" t="s">
        <v>23</v>
      </c>
      <c r="L255" s="5" t="s">
        <v>23</v>
      </c>
      <c r="M255" s="5" t="s">
        <v>23</v>
      </c>
      <c r="N255" s="5" t="s">
        <v>23</v>
      </c>
      <c r="O255" s="13">
        <v>2007.37</v>
      </c>
      <c r="P255" s="144" t="s">
        <v>446</v>
      </c>
      <c r="Q255" s="17">
        <f t="shared" si="4"/>
        <v>1672.8083333333334</v>
      </c>
      <c r="S255" s="18"/>
    </row>
    <row r="256" spans="1:19" s="17" customFormat="1" ht="18.95" customHeight="1" outlineLevel="1" x14ac:dyDescent="0.25">
      <c r="A256" s="147"/>
      <c r="B256" s="147"/>
      <c r="C256" s="148"/>
      <c r="D256" s="141"/>
      <c r="E256" s="141"/>
      <c r="F256" s="12">
        <v>43647</v>
      </c>
      <c r="G256" s="12">
        <v>43830</v>
      </c>
      <c r="H256" s="168"/>
      <c r="I256" s="15" t="s">
        <v>23</v>
      </c>
      <c r="J256" s="14" t="s">
        <v>23</v>
      </c>
      <c r="K256" s="14" t="s">
        <v>23</v>
      </c>
      <c r="L256" s="5" t="s">
        <v>23</v>
      </c>
      <c r="M256" s="5" t="s">
        <v>23</v>
      </c>
      <c r="N256" s="5" t="s">
        <v>23</v>
      </c>
      <c r="O256" s="13">
        <v>2037.47</v>
      </c>
      <c r="P256" s="145"/>
      <c r="Q256" s="17">
        <f t="shared" si="4"/>
        <v>1697.8916666666667</v>
      </c>
      <c r="S256" s="18"/>
    </row>
    <row r="257" spans="1:19" s="17" customFormat="1" ht="18.95" customHeight="1" outlineLevel="1" x14ac:dyDescent="0.25">
      <c r="A257" s="146" t="s">
        <v>48</v>
      </c>
      <c r="B257" s="146" t="s">
        <v>192</v>
      </c>
      <c r="C257" s="148"/>
      <c r="D257" s="156">
        <v>43441</v>
      </c>
      <c r="E257" s="156" t="s">
        <v>612</v>
      </c>
      <c r="F257" s="12">
        <v>43466</v>
      </c>
      <c r="G257" s="12">
        <v>43646</v>
      </c>
      <c r="H257" s="149"/>
      <c r="I257" s="13">
        <v>1580</v>
      </c>
      <c r="J257" s="14" t="s">
        <v>23</v>
      </c>
      <c r="K257" s="14" t="s">
        <v>23</v>
      </c>
      <c r="L257" s="5" t="s">
        <v>23</v>
      </c>
      <c r="M257" s="5" t="s">
        <v>23</v>
      </c>
      <c r="N257" s="5" t="s">
        <v>23</v>
      </c>
      <c r="O257" s="15" t="s">
        <v>23</v>
      </c>
      <c r="P257" s="139"/>
      <c r="Q257" s="17" t="e">
        <f t="shared" si="4"/>
        <v>#VALUE!</v>
      </c>
      <c r="S257" s="18"/>
    </row>
    <row r="258" spans="1:19" s="17" customFormat="1" ht="18.95" customHeight="1" outlineLevel="1" x14ac:dyDescent="0.25">
      <c r="A258" s="148"/>
      <c r="B258" s="148"/>
      <c r="C258" s="148"/>
      <c r="D258" s="156"/>
      <c r="E258" s="156"/>
      <c r="F258" s="12">
        <v>43647</v>
      </c>
      <c r="G258" s="12">
        <v>43830</v>
      </c>
      <c r="H258" s="151"/>
      <c r="I258" s="13">
        <v>1611.57</v>
      </c>
      <c r="J258" s="14" t="s">
        <v>23</v>
      </c>
      <c r="K258" s="14" t="s">
        <v>23</v>
      </c>
      <c r="L258" s="5" t="s">
        <v>23</v>
      </c>
      <c r="M258" s="5" t="s">
        <v>23</v>
      </c>
      <c r="N258" s="5" t="s">
        <v>23</v>
      </c>
      <c r="O258" s="15" t="s">
        <v>23</v>
      </c>
      <c r="P258" s="140"/>
      <c r="Q258" s="17" t="e">
        <f t="shared" si="4"/>
        <v>#VALUE!</v>
      </c>
      <c r="S258" s="18"/>
    </row>
    <row r="259" spans="1:19" s="17" customFormat="1" ht="18.95" customHeight="1" outlineLevel="1" x14ac:dyDescent="0.25">
      <c r="A259" s="148"/>
      <c r="B259" s="148"/>
      <c r="C259" s="148"/>
      <c r="D259" s="137">
        <v>43454</v>
      </c>
      <c r="E259" s="137" t="s">
        <v>606</v>
      </c>
      <c r="F259" s="12">
        <v>43466</v>
      </c>
      <c r="G259" s="12">
        <v>43646</v>
      </c>
      <c r="H259" s="149"/>
      <c r="I259" s="15" t="s">
        <v>23</v>
      </c>
      <c r="J259" s="14" t="s">
        <v>23</v>
      </c>
      <c r="K259" s="14" t="s">
        <v>23</v>
      </c>
      <c r="L259" s="5" t="s">
        <v>23</v>
      </c>
      <c r="M259" s="5" t="s">
        <v>23</v>
      </c>
      <c r="N259" s="5" t="s">
        <v>23</v>
      </c>
      <c r="O259" s="13">
        <v>1896</v>
      </c>
      <c r="P259" s="144" t="s">
        <v>444</v>
      </c>
      <c r="Q259" s="17">
        <f t="shared" si="4"/>
        <v>1580</v>
      </c>
      <c r="S259" s="18"/>
    </row>
    <row r="260" spans="1:19" s="17" customFormat="1" ht="18.95" customHeight="1" outlineLevel="1" x14ac:dyDescent="0.25">
      <c r="A260" s="148"/>
      <c r="B260" s="148"/>
      <c r="C260" s="148"/>
      <c r="D260" s="138"/>
      <c r="E260" s="138"/>
      <c r="F260" s="12">
        <v>43647</v>
      </c>
      <c r="G260" s="12">
        <v>43830</v>
      </c>
      <c r="H260" s="151"/>
      <c r="I260" s="15" t="s">
        <v>23</v>
      </c>
      <c r="J260" s="14" t="s">
        <v>23</v>
      </c>
      <c r="K260" s="14" t="s">
        <v>23</v>
      </c>
      <c r="L260" s="5" t="s">
        <v>23</v>
      </c>
      <c r="M260" s="5" t="s">
        <v>23</v>
      </c>
      <c r="N260" s="5" t="s">
        <v>23</v>
      </c>
      <c r="O260" s="13">
        <v>1933.88</v>
      </c>
      <c r="P260" s="145"/>
      <c r="Q260" s="17">
        <f t="shared" si="4"/>
        <v>1611.5666666666668</v>
      </c>
      <c r="S260" s="18"/>
    </row>
    <row r="261" spans="1:19" s="17" customFormat="1" ht="18.95" customHeight="1" outlineLevel="1" x14ac:dyDescent="0.25">
      <c r="A261" s="148"/>
      <c r="B261" s="148"/>
      <c r="C261" s="148"/>
      <c r="D261" s="138"/>
      <c r="E261" s="138"/>
      <c r="F261" s="12">
        <v>43466</v>
      </c>
      <c r="G261" s="12">
        <v>43646</v>
      </c>
      <c r="H261" s="149"/>
      <c r="I261" s="15" t="s">
        <v>23</v>
      </c>
      <c r="J261" s="14" t="s">
        <v>23</v>
      </c>
      <c r="K261" s="14" t="s">
        <v>23</v>
      </c>
      <c r="L261" s="5" t="s">
        <v>23</v>
      </c>
      <c r="M261" s="5" t="s">
        <v>23</v>
      </c>
      <c r="N261" s="5" t="s">
        <v>23</v>
      </c>
      <c r="O261" s="13">
        <v>1896</v>
      </c>
      <c r="P261" s="144" t="s">
        <v>446</v>
      </c>
      <c r="Q261" s="17">
        <f t="shared" si="4"/>
        <v>1580</v>
      </c>
      <c r="S261" s="18"/>
    </row>
    <row r="262" spans="1:19" s="17" customFormat="1" ht="18.95" customHeight="1" outlineLevel="1" x14ac:dyDescent="0.25">
      <c r="A262" s="147"/>
      <c r="B262" s="147"/>
      <c r="C262" s="147"/>
      <c r="D262" s="141"/>
      <c r="E262" s="141"/>
      <c r="F262" s="12">
        <v>43647</v>
      </c>
      <c r="G262" s="12">
        <v>43830</v>
      </c>
      <c r="H262" s="151"/>
      <c r="I262" s="15" t="s">
        <v>23</v>
      </c>
      <c r="J262" s="14" t="s">
        <v>23</v>
      </c>
      <c r="K262" s="14" t="s">
        <v>23</v>
      </c>
      <c r="L262" s="5" t="s">
        <v>23</v>
      </c>
      <c r="M262" s="5" t="s">
        <v>23</v>
      </c>
      <c r="N262" s="5" t="s">
        <v>23</v>
      </c>
      <c r="O262" s="13">
        <v>1933.88</v>
      </c>
      <c r="P262" s="145"/>
      <c r="Q262" s="17">
        <f t="shared" si="4"/>
        <v>1611.5666666666668</v>
      </c>
      <c r="S262" s="18"/>
    </row>
    <row r="263" spans="1:19" s="17" customFormat="1" ht="18.95" customHeight="1" outlineLevel="1" x14ac:dyDescent="0.25">
      <c r="A263" s="174" t="s">
        <v>48</v>
      </c>
      <c r="B263" s="174" t="s">
        <v>199</v>
      </c>
      <c r="C263" s="174" t="s">
        <v>317</v>
      </c>
      <c r="D263" s="137">
        <v>43434</v>
      </c>
      <c r="E263" s="137" t="s">
        <v>613</v>
      </c>
      <c r="F263" s="12">
        <v>43466</v>
      </c>
      <c r="G263" s="12">
        <v>43646</v>
      </c>
      <c r="H263" s="142"/>
      <c r="I263" s="13">
        <v>1613.27</v>
      </c>
      <c r="J263" s="14" t="s">
        <v>23</v>
      </c>
      <c r="K263" s="14" t="s">
        <v>23</v>
      </c>
      <c r="L263" s="5" t="s">
        <v>23</v>
      </c>
      <c r="M263" s="5" t="s">
        <v>23</v>
      </c>
      <c r="N263" s="5" t="s">
        <v>23</v>
      </c>
      <c r="O263" s="15" t="s">
        <v>23</v>
      </c>
      <c r="P263" s="153" t="s">
        <v>461</v>
      </c>
      <c r="Q263" s="17" t="e">
        <f t="shared" si="4"/>
        <v>#VALUE!</v>
      </c>
      <c r="S263" s="18"/>
    </row>
    <row r="264" spans="1:19" s="17" customFormat="1" ht="18.95" customHeight="1" outlineLevel="1" x14ac:dyDescent="0.25">
      <c r="A264" s="175" t="s">
        <v>48</v>
      </c>
      <c r="B264" s="175" t="s">
        <v>206</v>
      </c>
      <c r="C264" s="175"/>
      <c r="D264" s="141"/>
      <c r="E264" s="141"/>
      <c r="F264" s="12">
        <v>43647</v>
      </c>
      <c r="G264" s="12">
        <v>43830</v>
      </c>
      <c r="H264" s="143"/>
      <c r="I264" s="13">
        <v>1637.46</v>
      </c>
      <c r="J264" s="14" t="s">
        <v>23</v>
      </c>
      <c r="K264" s="14" t="s">
        <v>23</v>
      </c>
      <c r="L264" s="5" t="s">
        <v>23</v>
      </c>
      <c r="M264" s="5" t="s">
        <v>23</v>
      </c>
      <c r="N264" s="5" t="s">
        <v>23</v>
      </c>
      <c r="O264" s="15" t="s">
        <v>23</v>
      </c>
      <c r="P264" s="152"/>
      <c r="Q264" s="17" t="e">
        <f t="shared" si="4"/>
        <v>#VALUE!</v>
      </c>
      <c r="S264" s="18"/>
    </row>
    <row r="265" spans="1:19" s="17" customFormat="1" ht="18.95" customHeight="1" outlineLevel="1" x14ac:dyDescent="0.25">
      <c r="A265" s="146" t="s">
        <v>48</v>
      </c>
      <c r="B265" s="146" t="s">
        <v>199</v>
      </c>
      <c r="C265" s="146" t="s">
        <v>428</v>
      </c>
      <c r="D265" s="137">
        <v>43084</v>
      </c>
      <c r="E265" s="137" t="s">
        <v>626</v>
      </c>
      <c r="F265" s="12">
        <v>43466</v>
      </c>
      <c r="G265" s="12">
        <v>43646</v>
      </c>
      <c r="H265" s="142" t="s">
        <v>625</v>
      </c>
      <c r="I265" s="13">
        <v>2020.73</v>
      </c>
      <c r="J265" s="14" t="s">
        <v>23</v>
      </c>
      <c r="K265" s="14" t="s">
        <v>23</v>
      </c>
      <c r="L265" s="5" t="s">
        <v>23</v>
      </c>
      <c r="M265" s="5" t="s">
        <v>23</v>
      </c>
      <c r="N265" s="5" t="s">
        <v>23</v>
      </c>
      <c r="O265" s="15" t="s">
        <v>23</v>
      </c>
      <c r="P265" s="153" t="s">
        <v>461</v>
      </c>
      <c r="Q265" s="17" t="e">
        <f t="shared" si="4"/>
        <v>#VALUE!</v>
      </c>
      <c r="S265" s="18"/>
    </row>
    <row r="266" spans="1:19" s="17" customFormat="1" ht="18.95" customHeight="1" outlineLevel="1" x14ac:dyDescent="0.25">
      <c r="A266" s="148"/>
      <c r="B266" s="148"/>
      <c r="C266" s="148"/>
      <c r="D266" s="138"/>
      <c r="E266" s="138"/>
      <c r="F266" s="12">
        <v>43647</v>
      </c>
      <c r="G266" s="12">
        <v>43830</v>
      </c>
      <c r="H266" s="143"/>
      <c r="I266" s="13">
        <v>2051.04</v>
      </c>
      <c r="J266" s="14" t="s">
        <v>23</v>
      </c>
      <c r="K266" s="14" t="s">
        <v>23</v>
      </c>
      <c r="L266" s="5" t="s">
        <v>23</v>
      </c>
      <c r="M266" s="5" t="s">
        <v>23</v>
      </c>
      <c r="N266" s="5" t="s">
        <v>23</v>
      </c>
      <c r="O266" s="15" t="s">
        <v>23</v>
      </c>
      <c r="P266" s="152"/>
      <c r="Q266" s="17" t="e">
        <f t="shared" si="4"/>
        <v>#VALUE!</v>
      </c>
      <c r="S266" s="18"/>
    </row>
    <row r="267" spans="1:19" s="17" customFormat="1" ht="18.95" customHeight="1" outlineLevel="1" x14ac:dyDescent="0.25">
      <c r="A267" s="148"/>
      <c r="B267" s="148"/>
      <c r="C267" s="148"/>
      <c r="D267" s="137">
        <v>43454</v>
      </c>
      <c r="E267" s="137" t="s">
        <v>606</v>
      </c>
      <c r="F267" s="12">
        <v>43466</v>
      </c>
      <c r="G267" s="12">
        <v>43646</v>
      </c>
      <c r="H267" s="149"/>
      <c r="I267" s="15" t="s">
        <v>23</v>
      </c>
      <c r="J267" s="14" t="s">
        <v>23</v>
      </c>
      <c r="K267" s="14" t="s">
        <v>23</v>
      </c>
      <c r="L267" s="5" t="s">
        <v>23</v>
      </c>
      <c r="M267" s="5" t="s">
        <v>23</v>
      </c>
      <c r="N267" s="5" t="s">
        <v>23</v>
      </c>
      <c r="O267" s="13">
        <v>1975.97</v>
      </c>
      <c r="P267" s="153" t="s">
        <v>445</v>
      </c>
      <c r="Q267" s="17">
        <f t="shared" si="4"/>
        <v>1646.6416666666667</v>
      </c>
      <c r="S267" s="18"/>
    </row>
    <row r="268" spans="1:19" s="17" customFormat="1" ht="18.95" customHeight="1" outlineLevel="1" x14ac:dyDescent="0.25">
      <c r="A268" s="148" t="s">
        <v>48</v>
      </c>
      <c r="B268" s="148" t="s">
        <v>206</v>
      </c>
      <c r="C268" s="148"/>
      <c r="D268" s="138"/>
      <c r="E268" s="138"/>
      <c r="F268" s="12">
        <v>43647</v>
      </c>
      <c r="G268" s="12">
        <v>43830</v>
      </c>
      <c r="H268" s="150"/>
      <c r="I268" s="15" t="s">
        <v>23</v>
      </c>
      <c r="J268" s="14" t="s">
        <v>23</v>
      </c>
      <c r="K268" s="14" t="s">
        <v>23</v>
      </c>
      <c r="L268" s="5" t="s">
        <v>23</v>
      </c>
      <c r="M268" s="5" t="s">
        <v>23</v>
      </c>
      <c r="N268" s="5" t="s">
        <v>23</v>
      </c>
      <c r="O268" s="13">
        <v>2015.49</v>
      </c>
      <c r="P268" s="152"/>
      <c r="Q268" s="17">
        <f t="shared" si="4"/>
        <v>1679.575</v>
      </c>
      <c r="S268" s="18"/>
    </row>
    <row r="269" spans="1:19" s="17" customFormat="1" ht="18.95" customHeight="1" outlineLevel="1" x14ac:dyDescent="0.25">
      <c r="A269" s="148"/>
      <c r="B269" s="148"/>
      <c r="C269" s="148"/>
      <c r="D269" s="172"/>
      <c r="E269" s="172"/>
      <c r="F269" s="12">
        <v>43466</v>
      </c>
      <c r="G269" s="12">
        <v>43646</v>
      </c>
      <c r="H269" s="150"/>
      <c r="I269" s="15" t="s">
        <v>23</v>
      </c>
      <c r="J269" s="14" t="s">
        <v>23</v>
      </c>
      <c r="K269" s="14" t="s">
        <v>23</v>
      </c>
      <c r="L269" s="5" t="s">
        <v>23</v>
      </c>
      <c r="M269" s="5" t="s">
        <v>23</v>
      </c>
      <c r="N269" s="5" t="s">
        <v>23</v>
      </c>
      <c r="O269" s="13">
        <v>1646.63</v>
      </c>
      <c r="P269" s="144" t="s">
        <v>462</v>
      </c>
      <c r="Q269" s="17">
        <f t="shared" si="4"/>
        <v>1372.1916666666668</v>
      </c>
      <c r="S269" s="18"/>
    </row>
    <row r="270" spans="1:19" s="17" customFormat="1" ht="18.95" customHeight="1" outlineLevel="1" x14ac:dyDescent="0.25">
      <c r="A270" s="147"/>
      <c r="B270" s="147"/>
      <c r="C270" s="147"/>
      <c r="D270" s="173"/>
      <c r="E270" s="173"/>
      <c r="F270" s="12">
        <v>43647</v>
      </c>
      <c r="G270" s="12">
        <v>43830</v>
      </c>
      <c r="H270" s="151"/>
      <c r="I270" s="15" t="s">
        <v>23</v>
      </c>
      <c r="J270" s="14" t="s">
        <v>23</v>
      </c>
      <c r="K270" s="14" t="s">
        <v>23</v>
      </c>
      <c r="L270" s="5" t="s">
        <v>23</v>
      </c>
      <c r="M270" s="5" t="s">
        <v>23</v>
      </c>
      <c r="N270" s="5" t="s">
        <v>23</v>
      </c>
      <c r="O270" s="13">
        <v>1679.56</v>
      </c>
      <c r="P270" s="145"/>
      <c r="Q270" s="17">
        <f t="shared" si="4"/>
        <v>1399.6333333333334</v>
      </c>
      <c r="S270" s="18"/>
    </row>
    <row r="271" spans="1:19" s="17" customFormat="1" ht="18.95" customHeight="1" outlineLevel="1" x14ac:dyDescent="0.25">
      <c r="A271" s="146" t="s">
        <v>48</v>
      </c>
      <c r="B271" s="146" t="s">
        <v>837</v>
      </c>
      <c r="C271" s="146" t="s">
        <v>342</v>
      </c>
      <c r="D271" s="137">
        <v>42723</v>
      </c>
      <c r="E271" s="137" t="s">
        <v>615</v>
      </c>
      <c r="F271" s="12">
        <v>43466</v>
      </c>
      <c r="G271" s="12">
        <v>43646</v>
      </c>
      <c r="H271" s="142" t="s">
        <v>614</v>
      </c>
      <c r="I271" s="13">
        <v>1931.87</v>
      </c>
      <c r="J271" s="14" t="s">
        <v>23</v>
      </c>
      <c r="K271" s="14" t="s">
        <v>23</v>
      </c>
      <c r="L271" s="5" t="s">
        <v>23</v>
      </c>
      <c r="M271" s="5" t="s">
        <v>23</v>
      </c>
      <c r="N271" s="5" t="s">
        <v>23</v>
      </c>
      <c r="O271" s="15" t="s">
        <v>23</v>
      </c>
      <c r="P271" s="139"/>
      <c r="Q271" s="17" t="e">
        <f t="shared" si="4"/>
        <v>#VALUE!</v>
      </c>
      <c r="S271" s="18"/>
    </row>
    <row r="272" spans="1:19" s="17" customFormat="1" ht="18.95" customHeight="1" outlineLevel="1" x14ac:dyDescent="0.25">
      <c r="A272" s="148"/>
      <c r="B272" s="148"/>
      <c r="C272" s="148"/>
      <c r="D272" s="138"/>
      <c r="E272" s="138"/>
      <c r="F272" s="12">
        <v>43647</v>
      </c>
      <c r="G272" s="12">
        <v>43830</v>
      </c>
      <c r="H272" s="143"/>
      <c r="I272" s="13">
        <v>1960.85</v>
      </c>
      <c r="J272" s="14" t="s">
        <v>23</v>
      </c>
      <c r="K272" s="14" t="s">
        <v>23</v>
      </c>
      <c r="L272" s="5" t="s">
        <v>23</v>
      </c>
      <c r="M272" s="5" t="s">
        <v>23</v>
      </c>
      <c r="N272" s="5" t="s">
        <v>23</v>
      </c>
      <c r="O272" s="15" t="s">
        <v>23</v>
      </c>
      <c r="P272" s="140"/>
      <c r="Q272" s="17" t="e">
        <f t="shared" si="4"/>
        <v>#VALUE!</v>
      </c>
      <c r="S272" s="18"/>
    </row>
    <row r="273" spans="1:19" s="17" customFormat="1" ht="18.95" customHeight="1" outlineLevel="1" x14ac:dyDescent="0.25">
      <c r="A273" s="148"/>
      <c r="B273" s="148"/>
      <c r="C273" s="148"/>
      <c r="D273" s="137">
        <v>43454</v>
      </c>
      <c r="E273" s="137" t="s">
        <v>606</v>
      </c>
      <c r="F273" s="12">
        <v>43466</v>
      </c>
      <c r="G273" s="12">
        <v>43646</v>
      </c>
      <c r="H273" s="149"/>
      <c r="I273" s="15" t="s">
        <v>23</v>
      </c>
      <c r="J273" s="14" t="s">
        <v>23</v>
      </c>
      <c r="K273" s="14" t="s">
        <v>23</v>
      </c>
      <c r="L273" s="5" t="s">
        <v>23</v>
      </c>
      <c r="M273" s="5" t="s">
        <v>23</v>
      </c>
      <c r="N273" s="5" t="s">
        <v>23</v>
      </c>
      <c r="O273" s="13">
        <v>2318.2399999999998</v>
      </c>
      <c r="P273" s="144" t="s">
        <v>444</v>
      </c>
      <c r="Q273" s="17">
        <f t="shared" si="4"/>
        <v>1931.8666666666666</v>
      </c>
      <c r="S273" s="18"/>
    </row>
    <row r="274" spans="1:19" s="17" customFormat="1" ht="18.95" customHeight="1" outlineLevel="1" x14ac:dyDescent="0.25">
      <c r="A274" s="148"/>
      <c r="B274" s="148"/>
      <c r="C274" s="148"/>
      <c r="D274" s="138"/>
      <c r="E274" s="138"/>
      <c r="F274" s="12">
        <v>43647</v>
      </c>
      <c r="G274" s="12">
        <v>43830</v>
      </c>
      <c r="H274" s="150"/>
      <c r="I274" s="15" t="s">
        <v>23</v>
      </c>
      <c r="J274" s="14" t="s">
        <v>23</v>
      </c>
      <c r="K274" s="14" t="s">
        <v>23</v>
      </c>
      <c r="L274" s="5" t="s">
        <v>23</v>
      </c>
      <c r="M274" s="5" t="s">
        <v>23</v>
      </c>
      <c r="N274" s="5" t="s">
        <v>23</v>
      </c>
      <c r="O274" s="13">
        <v>2353.02</v>
      </c>
      <c r="P274" s="145"/>
      <c r="Q274" s="17">
        <f t="shared" si="4"/>
        <v>1960.8500000000001</v>
      </c>
      <c r="S274" s="18"/>
    </row>
    <row r="275" spans="1:19" s="17" customFormat="1" ht="18.95" customHeight="1" outlineLevel="1" x14ac:dyDescent="0.25">
      <c r="A275" s="148"/>
      <c r="B275" s="148"/>
      <c r="C275" s="148"/>
      <c r="D275" s="138"/>
      <c r="E275" s="138"/>
      <c r="F275" s="12">
        <v>43466</v>
      </c>
      <c r="G275" s="12">
        <v>43646</v>
      </c>
      <c r="H275" s="150"/>
      <c r="I275" s="15" t="s">
        <v>23</v>
      </c>
      <c r="J275" s="14" t="s">
        <v>23</v>
      </c>
      <c r="K275" s="14" t="s">
        <v>23</v>
      </c>
      <c r="L275" s="5" t="s">
        <v>23</v>
      </c>
      <c r="M275" s="5" t="s">
        <v>23</v>
      </c>
      <c r="N275" s="5" t="s">
        <v>23</v>
      </c>
      <c r="O275" s="13">
        <v>2118.64</v>
      </c>
      <c r="P275" s="144" t="s">
        <v>446</v>
      </c>
      <c r="Q275" s="17">
        <f t="shared" si="4"/>
        <v>1765.5333333333333</v>
      </c>
      <c r="S275" s="18"/>
    </row>
    <row r="276" spans="1:19" s="17" customFormat="1" ht="18.95" customHeight="1" outlineLevel="1" x14ac:dyDescent="0.25">
      <c r="A276" s="147"/>
      <c r="B276" s="147"/>
      <c r="C276" s="148"/>
      <c r="D276" s="141"/>
      <c r="E276" s="141"/>
      <c r="F276" s="12">
        <v>43647</v>
      </c>
      <c r="G276" s="12">
        <v>43830</v>
      </c>
      <c r="H276" s="151"/>
      <c r="I276" s="15" t="s">
        <v>23</v>
      </c>
      <c r="J276" s="14" t="s">
        <v>23</v>
      </c>
      <c r="K276" s="14" t="s">
        <v>23</v>
      </c>
      <c r="L276" s="5" t="s">
        <v>23</v>
      </c>
      <c r="M276" s="5" t="s">
        <v>23</v>
      </c>
      <c r="N276" s="5" t="s">
        <v>23</v>
      </c>
      <c r="O276" s="13">
        <v>2161.0100000000002</v>
      </c>
      <c r="P276" s="145"/>
      <c r="Q276" s="17">
        <f t="shared" si="4"/>
        <v>1800.8416666666669</v>
      </c>
      <c r="S276" s="18"/>
    </row>
    <row r="277" spans="1:19" s="17" customFormat="1" ht="18.95" customHeight="1" outlineLevel="1" x14ac:dyDescent="0.25">
      <c r="A277" s="146" t="s">
        <v>48</v>
      </c>
      <c r="B277" s="146" t="s">
        <v>367</v>
      </c>
      <c r="C277" s="148"/>
      <c r="D277" s="137">
        <v>42723</v>
      </c>
      <c r="E277" s="137" t="s">
        <v>616</v>
      </c>
      <c r="F277" s="12">
        <v>43466</v>
      </c>
      <c r="G277" s="12">
        <v>43646</v>
      </c>
      <c r="H277" s="142" t="s">
        <v>617</v>
      </c>
      <c r="I277" s="13">
        <v>1381.93</v>
      </c>
      <c r="J277" s="14" t="s">
        <v>23</v>
      </c>
      <c r="K277" s="14" t="s">
        <v>23</v>
      </c>
      <c r="L277" s="5" t="s">
        <v>23</v>
      </c>
      <c r="M277" s="5" t="s">
        <v>23</v>
      </c>
      <c r="N277" s="5" t="s">
        <v>23</v>
      </c>
      <c r="O277" s="27" t="s">
        <v>23</v>
      </c>
      <c r="P277" s="139"/>
      <c r="Q277" s="17" t="e">
        <f t="shared" si="4"/>
        <v>#VALUE!</v>
      </c>
      <c r="S277" s="18"/>
    </row>
    <row r="278" spans="1:19" s="17" customFormat="1" ht="18.95" customHeight="1" outlineLevel="1" x14ac:dyDescent="0.25">
      <c r="A278" s="148"/>
      <c r="B278" s="148"/>
      <c r="C278" s="148"/>
      <c r="D278" s="138"/>
      <c r="E278" s="138"/>
      <c r="F278" s="12">
        <v>43647</v>
      </c>
      <c r="G278" s="12">
        <v>43830</v>
      </c>
      <c r="H278" s="143"/>
      <c r="I278" s="13">
        <v>1409.56</v>
      </c>
      <c r="J278" s="14" t="s">
        <v>23</v>
      </c>
      <c r="K278" s="14" t="s">
        <v>23</v>
      </c>
      <c r="L278" s="5" t="s">
        <v>23</v>
      </c>
      <c r="M278" s="5" t="s">
        <v>23</v>
      </c>
      <c r="N278" s="5" t="s">
        <v>23</v>
      </c>
      <c r="O278" s="15" t="s">
        <v>23</v>
      </c>
      <c r="P278" s="140"/>
      <c r="Q278" s="17" t="e">
        <f t="shared" si="4"/>
        <v>#VALUE!</v>
      </c>
      <c r="S278" s="18"/>
    </row>
    <row r="279" spans="1:19" s="17" customFormat="1" ht="18.95" customHeight="1" outlineLevel="1" x14ac:dyDescent="0.25">
      <c r="A279" s="148"/>
      <c r="B279" s="148"/>
      <c r="C279" s="148"/>
      <c r="D279" s="137">
        <v>43454</v>
      </c>
      <c r="E279" s="137" t="s">
        <v>606</v>
      </c>
      <c r="F279" s="12">
        <v>43466</v>
      </c>
      <c r="G279" s="12">
        <v>43646</v>
      </c>
      <c r="H279" s="149"/>
      <c r="I279" s="15" t="s">
        <v>23</v>
      </c>
      <c r="J279" s="14" t="s">
        <v>23</v>
      </c>
      <c r="K279" s="14" t="s">
        <v>23</v>
      </c>
      <c r="L279" s="5" t="s">
        <v>23</v>
      </c>
      <c r="M279" s="5" t="s">
        <v>23</v>
      </c>
      <c r="N279" s="5" t="s">
        <v>23</v>
      </c>
      <c r="O279" s="13">
        <v>1658.32</v>
      </c>
      <c r="P279" s="144" t="s">
        <v>444</v>
      </c>
      <c r="Q279" s="17">
        <f t="shared" si="4"/>
        <v>1381.9333333333334</v>
      </c>
      <c r="S279" s="18"/>
    </row>
    <row r="280" spans="1:19" s="17" customFormat="1" ht="18.95" customHeight="1" outlineLevel="1" x14ac:dyDescent="0.25">
      <c r="A280" s="148"/>
      <c r="B280" s="148"/>
      <c r="C280" s="148"/>
      <c r="D280" s="138"/>
      <c r="E280" s="138"/>
      <c r="F280" s="12">
        <v>43647</v>
      </c>
      <c r="G280" s="12">
        <v>43830</v>
      </c>
      <c r="H280" s="150"/>
      <c r="I280" s="15" t="s">
        <v>23</v>
      </c>
      <c r="J280" s="14" t="s">
        <v>23</v>
      </c>
      <c r="K280" s="14" t="s">
        <v>23</v>
      </c>
      <c r="L280" s="5" t="s">
        <v>23</v>
      </c>
      <c r="M280" s="5" t="s">
        <v>23</v>
      </c>
      <c r="N280" s="5" t="s">
        <v>23</v>
      </c>
      <c r="O280" s="13">
        <v>1691.47</v>
      </c>
      <c r="P280" s="145"/>
      <c r="Q280" s="17">
        <f t="shared" si="4"/>
        <v>1409.5583333333334</v>
      </c>
      <c r="S280" s="18"/>
    </row>
    <row r="281" spans="1:19" s="17" customFormat="1" ht="18.95" customHeight="1" outlineLevel="1" x14ac:dyDescent="0.25">
      <c r="A281" s="148"/>
      <c r="B281" s="148"/>
      <c r="C281" s="148"/>
      <c r="D281" s="138"/>
      <c r="E281" s="138"/>
      <c r="F281" s="12">
        <v>43466</v>
      </c>
      <c r="G281" s="12">
        <v>43646</v>
      </c>
      <c r="H281" s="150"/>
      <c r="I281" s="15" t="s">
        <v>23</v>
      </c>
      <c r="J281" s="14" t="s">
        <v>23</v>
      </c>
      <c r="K281" s="14" t="s">
        <v>23</v>
      </c>
      <c r="L281" s="5" t="s">
        <v>23</v>
      </c>
      <c r="M281" s="5" t="s">
        <v>23</v>
      </c>
      <c r="N281" s="5" t="s">
        <v>23</v>
      </c>
      <c r="O281" s="13">
        <v>1142.8699999999999</v>
      </c>
      <c r="P281" s="144" t="s">
        <v>446</v>
      </c>
      <c r="Q281" s="17">
        <f t="shared" si="4"/>
        <v>952.39166666666665</v>
      </c>
      <c r="S281" s="18"/>
    </row>
    <row r="282" spans="1:19" s="17" customFormat="1" ht="18.95" customHeight="1" outlineLevel="1" x14ac:dyDescent="0.25">
      <c r="A282" s="147"/>
      <c r="B282" s="147"/>
      <c r="C282" s="148"/>
      <c r="D282" s="141"/>
      <c r="E282" s="141"/>
      <c r="F282" s="12">
        <v>43647</v>
      </c>
      <c r="G282" s="12">
        <v>43830</v>
      </c>
      <c r="H282" s="151"/>
      <c r="I282" s="15" t="s">
        <v>23</v>
      </c>
      <c r="J282" s="14" t="s">
        <v>23</v>
      </c>
      <c r="K282" s="14" t="s">
        <v>23</v>
      </c>
      <c r="L282" s="5" t="s">
        <v>23</v>
      </c>
      <c r="M282" s="5" t="s">
        <v>23</v>
      </c>
      <c r="N282" s="5" t="s">
        <v>23</v>
      </c>
      <c r="O282" s="13">
        <v>1165.73</v>
      </c>
      <c r="P282" s="145"/>
      <c r="Q282" s="17">
        <f t="shared" si="4"/>
        <v>971.44166666666672</v>
      </c>
      <c r="S282" s="18"/>
    </row>
    <row r="283" spans="1:19" s="17" customFormat="1" ht="18.95" customHeight="1" outlineLevel="1" x14ac:dyDescent="0.25">
      <c r="A283" s="146" t="s">
        <v>48</v>
      </c>
      <c r="B283" s="146" t="s">
        <v>216</v>
      </c>
      <c r="C283" s="148"/>
      <c r="D283" s="137">
        <v>43441</v>
      </c>
      <c r="E283" s="137" t="s">
        <v>618</v>
      </c>
      <c r="F283" s="12">
        <v>43466</v>
      </c>
      <c r="G283" s="12">
        <v>43646</v>
      </c>
      <c r="H283" s="149"/>
      <c r="I283" s="13">
        <v>2300</v>
      </c>
      <c r="J283" s="14" t="s">
        <v>23</v>
      </c>
      <c r="K283" s="14" t="s">
        <v>23</v>
      </c>
      <c r="L283" s="5" t="s">
        <v>23</v>
      </c>
      <c r="M283" s="5" t="s">
        <v>23</v>
      </c>
      <c r="N283" s="5" t="s">
        <v>23</v>
      </c>
      <c r="O283" s="15" t="s">
        <v>23</v>
      </c>
      <c r="P283" s="160" t="s">
        <v>843</v>
      </c>
      <c r="Q283" s="17" t="e">
        <f t="shared" si="4"/>
        <v>#VALUE!</v>
      </c>
      <c r="S283" s="18"/>
    </row>
    <row r="284" spans="1:19" s="17" customFormat="1" ht="18.95" customHeight="1" outlineLevel="1" x14ac:dyDescent="0.25">
      <c r="A284" s="148"/>
      <c r="B284" s="148"/>
      <c r="C284" s="148"/>
      <c r="D284" s="141"/>
      <c r="E284" s="141"/>
      <c r="F284" s="12">
        <v>43647</v>
      </c>
      <c r="G284" s="12">
        <v>43830</v>
      </c>
      <c r="H284" s="151"/>
      <c r="I284" s="13">
        <v>2369.02</v>
      </c>
      <c r="J284" s="14"/>
      <c r="K284" s="14"/>
      <c r="L284" s="5"/>
      <c r="M284" s="5"/>
      <c r="N284" s="5"/>
      <c r="O284" s="15" t="s">
        <v>23</v>
      </c>
      <c r="P284" s="161"/>
      <c r="Q284" s="17" t="e">
        <f t="shared" si="4"/>
        <v>#VALUE!</v>
      </c>
      <c r="S284" s="18"/>
    </row>
    <row r="285" spans="1:19" s="17" customFormat="1" ht="47.25" customHeight="1" outlineLevel="1" x14ac:dyDescent="0.25">
      <c r="A285" s="148"/>
      <c r="B285" s="148"/>
      <c r="C285" s="148"/>
      <c r="D285" s="137">
        <v>43454</v>
      </c>
      <c r="E285" s="137" t="s">
        <v>606</v>
      </c>
      <c r="F285" s="12">
        <v>43466</v>
      </c>
      <c r="G285" s="12">
        <v>43643</v>
      </c>
      <c r="H285" s="129"/>
      <c r="I285" s="15" t="s">
        <v>23</v>
      </c>
      <c r="J285" s="14" t="s">
        <v>23</v>
      </c>
      <c r="K285" s="14" t="s">
        <v>23</v>
      </c>
      <c r="L285" s="5" t="s">
        <v>23</v>
      </c>
      <c r="M285" s="5" t="s">
        <v>23</v>
      </c>
      <c r="N285" s="5" t="s">
        <v>23</v>
      </c>
      <c r="O285" s="13">
        <v>1877.45</v>
      </c>
      <c r="P285" s="136" t="s">
        <v>841</v>
      </c>
      <c r="Q285" s="17">
        <f t="shared" si="4"/>
        <v>1564.5416666666667</v>
      </c>
      <c r="S285" s="18"/>
    </row>
    <row r="286" spans="1:19" s="17" customFormat="1" ht="47.25" customHeight="1" outlineLevel="1" x14ac:dyDescent="0.25">
      <c r="A286" s="148"/>
      <c r="B286" s="148"/>
      <c r="C286" s="148"/>
      <c r="D286" s="138"/>
      <c r="E286" s="138"/>
      <c r="F286" s="12">
        <v>43466</v>
      </c>
      <c r="G286" s="12">
        <v>43643</v>
      </c>
      <c r="H286" s="129"/>
      <c r="I286" s="15" t="s">
        <v>23</v>
      </c>
      <c r="J286" s="14"/>
      <c r="K286" s="14"/>
      <c r="L286" s="5"/>
      <c r="M286" s="5"/>
      <c r="N286" s="5"/>
      <c r="O286" s="13">
        <v>1877.45</v>
      </c>
      <c r="P286" s="136" t="s">
        <v>842</v>
      </c>
      <c r="Q286" s="17">
        <f t="shared" si="4"/>
        <v>1564.5416666666667</v>
      </c>
      <c r="S286" s="18"/>
    </row>
    <row r="287" spans="1:19" s="17" customFormat="1" ht="18.95" customHeight="1" outlineLevel="1" x14ac:dyDescent="0.25">
      <c r="A287" s="146" t="s">
        <v>48</v>
      </c>
      <c r="B287" s="146" t="s">
        <v>199</v>
      </c>
      <c r="C287" s="146" t="s">
        <v>345</v>
      </c>
      <c r="D287" s="137">
        <v>42723</v>
      </c>
      <c r="E287" s="137" t="s">
        <v>620</v>
      </c>
      <c r="F287" s="12">
        <v>43466</v>
      </c>
      <c r="G287" s="12">
        <v>43646</v>
      </c>
      <c r="H287" s="142" t="s">
        <v>621</v>
      </c>
      <c r="I287" s="13">
        <v>2057.88</v>
      </c>
      <c r="J287" s="14" t="s">
        <v>23</v>
      </c>
      <c r="K287" s="14" t="s">
        <v>23</v>
      </c>
      <c r="L287" s="5" t="s">
        <v>23</v>
      </c>
      <c r="M287" s="5" t="s">
        <v>23</v>
      </c>
      <c r="N287" s="5" t="s">
        <v>23</v>
      </c>
      <c r="O287" s="15" t="s">
        <v>23</v>
      </c>
      <c r="P287" s="139"/>
      <c r="Q287" s="17" t="e">
        <f>O287/1.2</f>
        <v>#VALUE!</v>
      </c>
      <c r="S287" s="18"/>
    </row>
    <row r="288" spans="1:19" s="17" customFormat="1" ht="18.95" customHeight="1" outlineLevel="1" x14ac:dyDescent="0.25">
      <c r="A288" s="148"/>
      <c r="B288" s="148"/>
      <c r="C288" s="148"/>
      <c r="D288" s="138"/>
      <c r="E288" s="138"/>
      <c r="F288" s="12">
        <v>43647</v>
      </c>
      <c r="G288" s="12">
        <v>43830</v>
      </c>
      <c r="H288" s="143"/>
      <c r="I288" s="13">
        <v>2906.88</v>
      </c>
      <c r="J288" s="14" t="s">
        <v>23</v>
      </c>
      <c r="K288" s="14" t="s">
        <v>23</v>
      </c>
      <c r="L288" s="5" t="s">
        <v>23</v>
      </c>
      <c r="M288" s="5" t="s">
        <v>23</v>
      </c>
      <c r="N288" s="5" t="s">
        <v>23</v>
      </c>
      <c r="O288" s="15" t="s">
        <v>23</v>
      </c>
      <c r="P288" s="140"/>
      <c r="Q288" s="17" t="e">
        <f t="shared" si="4"/>
        <v>#VALUE!</v>
      </c>
      <c r="S288" s="18"/>
    </row>
    <row r="289" spans="1:19" s="17" customFormat="1" ht="18.95" customHeight="1" outlineLevel="1" x14ac:dyDescent="0.25">
      <c r="A289" s="148"/>
      <c r="B289" s="148"/>
      <c r="C289" s="148"/>
      <c r="D289" s="137">
        <v>43454</v>
      </c>
      <c r="E289" s="137" t="s">
        <v>606</v>
      </c>
      <c r="F289" s="12">
        <v>43466</v>
      </c>
      <c r="G289" s="12">
        <v>43646</v>
      </c>
      <c r="H289" s="149"/>
      <c r="I289" s="15" t="s">
        <v>23</v>
      </c>
      <c r="J289" s="14" t="s">
        <v>23</v>
      </c>
      <c r="K289" s="14" t="s">
        <v>23</v>
      </c>
      <c r="L289" s="5" t="s">
        <v>23</v>
      </c>
      <c r="M289" s="5" t="s">
        <v>23</v>
      </c>
      <c r="N289" s="5" t="s">
        <v>23</v>
      </c>
      <c r="O289" s="13">
        <v>2019.19</v>
      </c>
      <c r="P289" s="139"/>
      <c r="Q289" s="17">
        <f t="shared" si="4"/>
        <v>1682.6583333333335</v>
      </c>
      <c r="S289" s="18"/>
    </row>
    <row r="290" spans="1:19" s="17" customFormat="1" ht="18.95" customHeight="1" outlineLevel="1" x14ac:dyDescent="0.25">
      <c r="A290" s="147" t="s">
        <v>48</v>
      </c>
      <c r="B290" s="147" t="s">
        <v>206</v>
      </c>
      <c r="C290" s="147"/>
      <c r="D290" s="141"/>
      <c r="E290" s="141"/>
      <c r="F290" s="12">
        <v>43647</v>
      </c>
      <c r="G290" s="12">
        <v>43830</v>
      </c>
      <c r="H290" s="151"/>
      <c r="I290" s="15" t="s">
        <v>23</v>
      </c>
      <c r="J290" s="14" t="s">
        <v>23</v>
      </c>
      <c r="K290" s="14" t="s">
        <v>23</v>
      </c>
      <c r="L290" s="5" t="s">
        <v>23</v>
      </c>
      <c r="M290" s="5" t="s">
        <v>23</v>
      </c>
      <c r="N290" s="5" t="s">
        <v>23</v>
      </c>
      <c r="O290" s="13">
        <v>2059.58</v>
      </c>
      <c r="P290" s="140"/>
      <c r="Q290" s="17">
        <f t="shared" si="4"/>
        <v>1716.3166666666666</v>
      </c>
      <c r="S290" s="18"/>
    </row>
    <row r="291" spans="1:19" s="17" customFormat="1" ht="18.95" customHeight="1" outlineLevel="1" x14ac:dyDescent="0.25">
      <c r="A291" s="146" t="s">
        <v>48</v>
      </c>
      <c r="B291" s="165" t="s">
        <v>191</v>
      </c>
      <c r="C291" s="146" t="s">
        <v>347</v>
      </c>
      <c r="D291" s="137">
        <v>42723</v>
      </c>
      <c r="E291" s="137" t="s">
        <v>696</v>
      </c>
      <c r="F291" s="12">
        <v>43466</v>
      </c>
      <c r="G291" s="12">
        <v>43646</v>
      </c>
      <c r="H291" s="142" t="s">
        <v>697</v>
      </c>
      <c r="I291" s="13">
        <v>335.48</v>
      </c>
      <c r="J291" s="89" t="s">
        <v>23</v>
      </c>
      <c r="K291" s="89" t="s">
        <v>23</v>
      </c>
      <c r="L291" s="92" t="s">
        <v>23</v>
      </c>
      <c r="M291" s="92" t="s">
        <v>23</v>
      </c>
      <c r="N291" s="92" t="s">
        <v>23</v>
      </c>
      <c r="O291" s="28" t="s">
        <v>23</v>
      </c>
      <c r="P291" s="144" t="s">
        <v>379</v>
      </c>
      <c r="Q291" s="17" t="e">
        <f t="shared" si="4"/>
        <v>#VALUE!</v>
      </c>
      <c r="S291" s="18"/>
    </row>
    <row r="292" spans="1:19" s="17" customFormat="1" ht="18.95" customHeight="1" outlineLevel="1" x14ac:dyDescent="0.25">
      <c r="A292" s="148"/>
      <c r="B292" s="166"/>
      <c r="C292" s="148"/>
      <c r="D292" s="141"/>
      <c r="E292" s="141"/>
      <c r="F292" s="12">
        <v>43647</v>
      </c>
      <c r="G292" s="12">
        <v>43830</v>
      </c>
      <c r="H292" s="143"/>
      <c r="I292" s="13">
        <v>342.74</v>
      </c>
      <c r="J292" s="89" t="s">
        <v>23</v>
      </c>
      <c r="K292" s="89" t="s">
        <v>23</v>
      </c>
      <c r="L292" s="92" t="s">
        <v>23</v>
      </c>
      <c r="M292" s="92" t="s">
        <v>23</v>
      </c>
      <c r="N292" s="92" t="s">
        <v>23</v>
      </c>
      <c r="O292" s="91" t="s">
        <v>23</v>
      </c>
      <c r="P292" s="152"/>
      <c r="Q292" s="17" t="e">
        <f t="shared" si="4"/>
        <v>#VALUE!</v>
      </c>
      <c r="S292" s="18"/>
    </row>
    <row r="293" spans="1:19" s="17" customFormat="1" ht="18.95" customHeight="1" outlineLevel="1" x14ac:dyDescent="0.25">
      <c r="A293" s="146" t="s">
        <v>48</v>
      </c>
      <c r="B293" s="165" t="s">
        <v>190</v>
      </c>
      <c r="C293" s="148"/>
      <c r="D293" s="137">
        <v>42723</v>
      </c>
      <c r="E293" s="137" t="s">
        <v>696</v>
      </c>
      <c r="F293" s="12">
        <v>43466</v>
      </c>
      <c r="G293" s="12">
        <v>43646</v>
      </c>
      <c r="H293" s="142" t="s">
        <v>697</v>
      </c>
      <c r="I293" s="13">
        <v>335.48</v>
      </c>
      <c r="J293" s="89" t="s">
        <v>23</v>
      </c>
      <c r="K293" s="89" t="s">
        <v>23</v>
      </c>
      <c r="L293" s="92" t="s">
        <v>23</v>
      </c>
      <c r="M293" s="92" t="s">
        <v>23</v>
      </c>
      <c r="N293" s="92" t="s">
        <v>23</v>
      </c>
      <c r="O293" s="28" t="s">
        <v>23</v>
      </c>
      <c r="P293" s="144" t="s">
        <v>379</v>
      </c>
      <c r="Q293" s="17" t="e">
        <f t="shared" si="4"/>
        <v>#VALUE!</v>
      </c>
      <c r="S293" s="18"/>
    </row>
    <row r="294" spans="1:19" s="17" customFormat="1" ht="18.95" customHeight="1" outlineLevel="1" x14ac:dyDescent="0.25">
      <c r="A294" s="147"/>
      <c r="B294" s="167"/>
      <c r="C294" s="148"/>
      <c r="D294" s="141"/>
      <c r="E294" s="141"/>
      <c r="F294" s="12">
        <v>43647</v>
      </c>
      <c r="G294" s="12">
        <v>43830</v>
      </c>
      <c r="H294" s="143"/>
      <c r="I294" s="13">
        <v>342.74</v>
      </c>
      <c r="J294" s="89" t="s">
        <v>23</v>
      </c>
      <c r="K294" s="89" t="s">
        <v>23</v>
      </c>
      <c r="L294" s="92" t="s">
        <v>23</v>
      </c>
      <c r="M294" s="92" t="s">
        <v>23</v>
      </c>
      <c r="N294" s="92" t="s">
        <v>23</v>
      </c>
      <c r="O294" s="91" t="s">
        <v>23</v>
      </c>
      <c r="P294" s="152"/>
      <c r="Q294" s="17" t="e">
        <f t="shared" si="4"/>
        <v>#VALUE!</v>
      </c>
      <c r="S294" s="18"/>
    </row>
    <row r="295" spans="1:19" s="17" customFormat="1" ht="18.95" customHeight="1" outlineLevel="1" x14ac:dyDescent="0.25">
      <c r="A295" s="146" t="s">
        <v>48</v>
      </c>
      <c r="B295" s="165" t="s">
        <v>275</v>
      </c>
      <c r="C295" s="148"/>
      <c r="D295" s="137">
        <v>42723</v>
      </c>
      <c r="E295" s="137" t="s">
        <v>698</v>
      </c>
      <c r="F295" s="12">
        <v>43466</v>
      </c>
      <c r="G295" s="12">
        <v>43646</v>
      </c>
      <c r="H295" s="142" t="s">
        <v>699</v>
      </c>
      <c r="I295" s="13">
        <v>1968.49</v>
      </c>
      <c r="J295" s="89" t="s">
        <v>23</v>
      </c>
      <c r="K295" s="89" t="s">
        <v>23</v>
      </c>
      <c r="L295" s="92" t="s">
        <v>23</v>
      </c>
      <c r="M295" s="92" t="s">
        <v>23</v>
      </c>
      <c r="N295" s="92" t="s">
        <v>23</v>
      </c>
      <c r="O295" s="28" t="s">
        <v>23</v>
      </c>
      <c r="P295" s="139"/>
      <c r="Q295" s="17" t="e">
        <f t="shared" si="4"/>
        <v>#VALUE!</v>
      </c>
      <c r="S295" s="18"/>
    </row>
    <row r="296" spans="1:19" s="17" customFormat="1" ht="18.95" customHeight="1" outlineLevel="1" x14ac:dyDescent="0.25">
      <c r="A296" s="148"/>
      <c r="B296" s="166"/>
      <c r="C296" s="148"/>
      <c r="D296" s="138"/>
      <c r="E296" s="138"/>
      <c r="F296" s="12">
        <v>43647</v>
      </c>
      <c r="G296" s="12">
        <v>43830</v>
      </c>
      <c r="H296" s="143"/>
      <c r="I296" s="13">
        <v>1982.79</v>
      </c>
      <c r="J296" s="89" t="s">
        <v>23</v>
      </c>
      <c r="K296" s="89" t="s">
        <v>23</v>
      </c>
      <c r="L296" s="92" t="s">
        <v>23</v>
      </c>
      <c r="M296" s="92" t="s">
        <v>23</v>
      </c>
      <c r="N296" s="92" t="s">
        <v>23</v>
      </c>
      <c r="O296" s="91" t="s">
        <v>23</v>
      </c>
      <c r="P296" s="140"/>
      <c r="Q296" s="17" t="e">
        <f t="shared" si="4"/>
        <v>#VALUE!</v>
      </c>
      <c r="S296" s="18"/>
    </row>
    <row r="297" spans="1:19" s="17" customFormat="1" ht="18.95" customHeight="1" outlineLevel="1" x14ac:dyDescent="0.25">
      <c r="A297" s="148"/>
      <c r="B297" s="166"/>
      <c r="C297" s="148"/>
      <c r="D297" s="137">
        <v>43454</v>
      </c>
      <c r="E297" s="137" t="s">
        <v>606</v>
      </c>
      <c r="F297" s="12">
        <v>43466</v>
      </c>
      <c r="G297" s="12">
        <v>43646</v>
      </c>
      <c r="H297" s="149"/>
      <c r="I297" s="91" t="s">
        <v>23</v>
      </c>
      <c r="J297" s="89" t="s">
        <v>23</v>
      </c>
      <c r="K297" s="89" t="s">
        <v>23</v>
      </c>
      <c r="L297" s="92" t="s">
        <v>23</v>
      </c>
      <c r="M297" s="92" t="s">
        <v>23</v>
      </c>
      <c r="N297" s="92" t="s">
        <v>23</v>
      </c>
      <c r="O297" s="13">
        <v>2362.19</v>
      </c>
      <c r="P297" s="144" t="s">
        <v>444</v>
      </c>
      <c r="Q297" s="17">
        <f t="shared" si="4"/>
        <v>1968.4916666666668</v>
      </c>
      <c r="S297" s="18"/>
    </row>
    <row r="298" spans="1:19" s="17" customFormat="1" ht="18.95" customHeight="1" outlineLevel="1" x14ac:dyDescent="0.25">
      <c r="A298" s="148"/>
      <c r="B298" s="166"/>
      <c r="C298" s="148"/>
      <c r="D298" s="141"/>
      <c r="E298" s="141"/>
      <c r="F298" s="12">
        <v>43647</v>
      </c>
      <c r="G298" s="12">
        <v>43830</v>
      </c>
      <c r="H298" s="150"/>
      <c r="I298" s="91" t="s">
        <v>23</v>
      </c>
      <c r="J298" s="89" t="s">
        <v>23</v>
      </c>
      <c r="K298" s="89" t="s">
        <v>23</v>
      </c>
      <c r="L298" s="92" t="s">
        <v>23</v>
      </c>
      <c r="M298" s="92" t="s">
        <v>23</v>
      </c>
      <c r="N298" s="92" t="s">
        <v>23</v>
      </c>
      <c r="O298" s="13">
        <v>2379.35</v>
      </c>
      <c r="P298" s="145"/>
      <c r="Q298" s="17">
        <f t="shared" si="4"/>
        <v>1982.7916666666667</v>
      </c>
      <c r="S298" s="18"/>
    </row>
    <row r="299" spans="1:19" s="17" customFormat="1" ht="18.95" customHeight="1" outlineLevel="1" x14ac:dyDescent="0.25">
      <c r="A299" s="148"/>
      <c r="B299" s="166"/>
      <c r="C299" s="148"/>
      <c r="D299" s="137">
        <v>43454</v>
      </c>
      <c r="E299" s="137" t="s">
        <v>606</v>
      </c>
      <c r="F299" s="12">
        <v>43466</v>
      </c>
      <c r="G299" s="12">
        <v>43646</v>
      </c>
      <c r="H299" s="150"/>
      <c r="I299" s="91" t="s">
        <v>23</v>
      </c>
      <c r="J299" s="89" t="s">
        <v>23</v>
      </c>
      <c r="K299" s="89" t="s">
        <v>23</v>
      </c>
      <c r="L299" s="92" t="s">
        <v>23</v>
      </c>
      <c r="M299" s="92" t="s">
        <v>23</v>
      </c>
      <c r="N299" s="92" t="s">
        <v>23</v>
      </c>
      <c r="O299" s="13">
        <v>1118.6400000000001</v>
      </c>
      <c r="P299" s="144" t="s">
        <v>446</v>
      </c>
      <c r="Q299" s="17">
        <f t="shared" si="4"/>
        <v>932.20000000000016</v>
      </c>
      <c r="S299" s="18"/>
    </row>
    <row r="300" spans="1:19" s="17" customFormat="1" ht="18.95" customHeight="1" outlineLevel="1" x14ac:dyDescent="0.25">
      <c r="A300" s="147"/>
      <c r="B300" s="167"/>
      <c r="C300" s="148"/>
      <c r="D300" s="141"/>
      <c r="E300" s="141"/>
      <c r="F300" s="12">
        <v>43647</v>
      </c>
      <c r="G300" s="12">
        <v>43830</v>
      </c>
      <c r="H300" s="151"/>
      <c r="I300" s="91" t="s">
        <v>23</v>
      </c>
      <c r="J300" s="89" t="s">
        <v>23</v>
      </c>
      <c r="K300" s="89" t="s">
        <v>23</v>
      </c>
      <c r="L300" s="92" t="s">
        <v>23</v>
      </c>
      <c r="M300" s="92" t="s">
        <v>23</v>
      </c>
      <c r="N300" s="92" t="s">
        <v>23</v>
      </c>
      <c r="O300" s="13">
        <v>1141.01</v>
      </c>
      <c r="P300" s="145"/>
      <c r="Q300" s="17">
        <f t="shared" si="4"/>
        <v>950.8416666666667</v>
      </c>
      <c r="S300" s="18"/>
    </row>
    <row r="301" spans="1:19" s="17" customFormat="1" ht="18.95" customHeight="1" outlineLevel="1" x14ac:dyDescent="0.25">
      <c r="A301" s="146" t="s">
        <v>48</v>
      </c>
      <c r="B301" s="146" t="s">
        <v>206</v>
      </c>
      <c r="C301" s="148"/>
      <c r="D301" s="156">
        <v>43454</v>
      </c>
      <c r="E301" s="156" t="s">
        <v>700</v>
      </c>
      <c r="F301" s="12">
        <v>43466</v>
      </c>
      <c r="G301" s="12">
        <v>43646</v>
      </c>
      <c r="H301" s="168"/>
      <c r="I301" s="13">
        <v>1793.14</v>
      </c>
      <c r="J301" s="89" t="s">
        <v>23</v>
      </c>
      <c r="K301" s="89" t="s">
        <v>23</v>
      </c>
      <c r="L301" s="92" t="s">
        <v>23</v>
      </c>
      <c r="M301" s="92" t="s">
        <v>23</v>
      </c>
      <c r="N301" s="92" t="s">
        <v>23</v>
      </c>
      <c r="O301" s="91" t="s">
        <v>23</v>
      </c>
      <c r="P301" s="159"/>
      <c r="Q301" s="17" t="e">
        <f t="shared" si="4"/>
        <v>#VALUE!</v>
      </c>
      <c r="S301" s="18"/>
    </row>
    <row r="302" spans="1:19" s="17" customFormat="1" ht="18.95" customHeight="1" outlineLevel="1" x14ac:dyDescent="0.25">
      <c r="A302" s="148"/>
      <c r="B302" s="148" t="s">
        <v>206</v>
      </c>
      <c r="C302" s="148"/>
      <c r="D302" s="156"/>
      <c r="E302" s="156"/>
      <c r="F302" s="12">
        <v>43647</v>
      </c>
      <c r="G302" s="12">
        <v>43830</v>
      </c>
      <c r="H302" s="168"/>
      <c r="I302" s="13">
        <v>2009.11</v>
      </c>
      <c r="J302" s="89" t="s">
        <v>23</v>
      </c>
      <c r="K302" s="89" t="s">
        <v>23</v>
      </c>
      <c r="L302" s="92" t="s">
        <v>23</v>
      </c>
      <c r="M302" s="92" t="s">
        <v>23</v>
      </c>
      <c r="N302" s="92" t="s">
        <v>23</v>
      </c>
      <c r="O302" s="91" t="s">
        <v>23</v>
      </c>
      <c r="P302" s="159"/>
      <c r="Q302" s="17" t="e">
        <f t="shared" si="4"/>
        <v>#VALUE!</v>
      </c>
      <c r="S302" s="18"/>
    </row>
    <row r="303" spans="1:19" s="17" customFormat="1" ht="18.95" customHeight="1" outlineLevel="1" x14ac:dyDescent="0.25">
      <c r="A303" s="148"/>
      <c r="B303" s="148"/>
      <c r="C303" s="148"/>
      <c r="D303" s="137">
        <v>43454</v>
      </c>
      <c r="E303" s="137" t="s">
        <v>606</v>
      </c>
      <c r="F303" s="12">
        <v>43466</v>
      </c>
      <c r="G303" s="12">
        <v>43646</v>
      </c>
      <c r="H303" s="168"/>
      <c r="I303" s="91" t="s">
        <v>23</v>
      </c>
      <c r="J303" s="89" t="s">
        <v>23</v>
      </c>
      <c r="K303" s="89" t="s">
        <v>23</v>
      </c>
      <c r="L303" s="92" t="s">
        <v>23</v>
      </c>
      <c r="M303" s="92" t="s">
        <v>23</v>
      </c>
      <c r="N303" s="92" t="s">
        <v>23</v>
      </c>
      <c r="O303" s="13">
        <v>1871.22</v>
      </c>
      <c r="P303" s="159"/>
      <c r="Q303" s="17">
        <f t="shared" si="4"/>
        <v>1559.3500000000001</v>
      </c>
      <c r="S303" s="18"/>
    </row>
    <row r="304" spans="1:19" s="17" customFormat="1" ht="17.25" customHeight="1" outlineLevel="1" x14ac:dyDescent="0.25">
      <c r="A304" s="147"/>
      <c r="B304" s="147"/>
      <c r="C304" s="147"/>
      <c r="D304" s="141"/>
      <c r="E304" s="141"/>
      <c r="F304" s="12">
        <v>43647</v>
      </c>
      <c r="G304" s="12">
        <v>43830</v>
      </c>
      <c r="H304" s="168"/>
      <c r="I304" s="91" t="s">
        <v>23</v>
      </c>
      <c r="J304" s="89" t="s">
        <v>23</v>
      </c>
      <c r="K304" s="89" t="s">
        <v>23</v>
      </c>
      <c r="L304" s="92" t="s">
        <v>23</v>
      </c>
      <c r="M304" s="92" t="s">
        <v>23</v>
      </c>
      <c r="N304" s="92" t="s">
        <v>23</v>
      </c>
      <c r="O304" s="13">
        <v>1908.64</v>
      </c>
      <c r="P304" s="159"/>
      <c r="Q304" s="17">
        <f t="shared" si="4"/>
        <v>1590.5333333333335</v>
      </c>
      <c r="S304" s="18"/>
    </row>
    <row r="305" spans="1:16354" s="17" customFormat="1" ht="18.95" customHeight="1" outlineLevel="1" x14ac:dyDescent="0.25">
      <c r="A305" s="146" t="s">
        <v>48</v>
      </c>
      <c r="B305" s="165" t="s">
        <v>191</v>
      </c>
      <c r="C305" s="146" t="s">
        <v>429</v>
      </c>
      <c r="D305" s="137">
        <v>43442</v>
      </c>
      <c r="E305" s="137" t="s">
        <v>701</v>
      </c>
      <c r="F305" s="12">
        <v>43466</v>
      </c>
      <c r="G305" s="12">
        <v>43646</v>
      </c>
      <c r="H305" s="142" t="s">
        <v>702</v>
      </c>
      <c r="I305" s="13">
        <v>1942.88</v>
      </c>
      <c r="J305" s="89" t="s">
        <v>23</v>
      </c>
      <c r="K305" s="89" t="s">
        <v>23</v>
      </c>
      <c r="L305" s="92" t="s">
        <v>23</v>
      </c>
      <c r="M305" s="92" t="s">
        <v>23</v>
      </c>
      <c r="N305" s="92" t="s">
        <v>23</v>
      </c>
      <c r="O305" s="28" t="s">
        <v>23</v>
      </c>
      <c r="P305" s="139"/>
      <c r="Q305" s="17" t="e">
        <f t="shared" si="4"/>
        <v>#VALUE!</v>
      </c>
      <c r="S305" s="18"/>
    </row>
    <row r="306" spans="1:16354" s="17" customFormat="1" ht="18.95" customHeight="1" outlineLevel="1" x14ac:dyDescent="0.25">
      <c r="A306" s="148"/>
      <c r="B306" s="166"/>
      <c r="C306" s="148"/>
      <c r="D306" s="141"/>
      <c r="E306" s="138"/>
      <c r="F306" s="12">
        <v>43647</v>
      </c>
      <c r="G306" s="12">
        <v>43830</v>
      </c>
      <c r="H306" s="143"/>
      <c r="I306" s="13">
        <v>1965.32</v>
      </c>
      <c r="J306" s="89" t="s">
        <v>23</v>
      </c>
      <c r="K306" s="89" t="s">
        <v>23</v>
      </c>
      <c r="L306" s="92" t="s">
        <v>23</v>
      </c>
      <c r="M306" s="92" t="s">
        <v>23</v>
      </c>
      <c r="N306" s="92" t="s">
        <v>23</v>
      </c>
      <c r="O306" s="91" t="s">
        <v>23</v>
      </c>
      <c r="P306" s="140"/>
      <c r="Q306" s="17" t="e">
        <f t="shared" si="4"/>
        <v>#VALUE!</v>
      </c>
      <c r="S306" s="18"/>
    </row>
    <row r="307" spans="1:16354" s="39" customFormat="1" ht="18.95" customHeight="1" outlineLevel="1" x14ac:dyDescent="0.25">
      <c r="A307" s="148"/>
      <c r="B307" s="166"/>
      <c r="C307" s="148"/>
      <c r="D307" s="137">
        <v>43454</v>
      </c>
      <c r="E307" s="137" t="s">
        <v>606</v>
      </c>
      <c r="F307" s="12">
        <v>43466</v>
      </c>
      <c r="G307" s="12">
        <v>43646</v>
      </c>
      <c r="H307" s="149"/>
      <c r="I307" s="91" t="s">
        <v>23</v>
      </c>
      <c r="J307" s="89" t="s">
        <v>23</v>
      </c>
      <c r="K307" s="89" t="s">
        <v>23</v>
      </c>
      <c r="L307" s="92" t="s">
        <v>23</v>
      </c>
      <c r="M307" s="92" t="s">
        <v>23</v>
      </c>
      <c r="N307" s="92" t="s">
        <v>23</v>
      </c>
      <c r="O307" s="13">
        <v>2331.46</v>
      </c>
      <c r="P307" s="153" t="s">
        <v>444</v>
      </c>
      <c r="Q307" s="17">
        <f t="shared" si="4"/>
        <v>1942.8833333333334</v>
      </c>
      <c r="R307" s="206"/>
      <c r="S307" s="209"/>
      <c r="T307" s="204"/>
      <c r="U307" s="35"/>
      <c r="V307" s="202"/>
      <c r="W307" s="203"/>
      <c r="X307" s="36"/>
      <c r="Y307" s="36"/>
      <c r="Z307" s="205"/>
      <c r="AA307" s="33"/>
      <c r="AB307" s="37"/>
      <c r="AC307" s="37"/>
      <c r="AD307" s="37"/>
      <c r="AE307" s="37"/>
      <c r="AF307" s="37"/>
      <c r="AG307" s="33"/>
      <c r="AH307" s="206"/>
      <c r="AI307" s="207"/>
      <c r="AJ307" s="204"/>
      <c r="AK307" s="35"/>
      <c r="AL307" s="202"/>
      <c r="AM307" s="203"/>
      <c r="AN307" s="36"/>
      <c r="AO307" s="36"/>
      <c r="AP307" s="205"/>
      <c r="AQ307" s="33"/>
      <c r="AR307" s="37"/>
      <c r="AS307" s="37"/>
      <c r="AT307" s="37"/>
      <c r="AU307" s="37"/>
      <c r="AV307" s="37"/>
      <c r="AW307" s="33"/>
      <c r="AX307" s="206"/>
      <c r="AY307" s="207"/>
      <c r="AZ307" s="204"/>
      <c r="BA307" s="35"/>
      <c r="BB307" s="202"/>
      <c r="BC307" s="203"/>
      <c r="BD307" s="36"/>
      <c r="BE307" s="36"/>
      <c r="BF307" s="205"/>
      <c r="BG307" s="33"/>
      <c r="BH307" s="37"/>
      <c r="BI307" s="37"/>
      <c r="BJ307" s="37"/>
      <c r="BK307" s="37"/>
      <c r="BL307" s="37"/>
      <c r="BM307" s="33"/>
      <c r="BN307" s="206"/>
      <c r="BO307" s="207"/>
      <c r="BP307" s="204"/>
      <c r="BQ307" s="35"/>
      <c r="BR307" s="202"/>
      <c r="BS307" s="203"/>
      <c r="BT307" s="36"/>
      <c r="BU307" s="36"/>
      <c r="BV307" s="205"/>
      <c r="BW307" s="33"/>
      <c r="BX307" s="37"/>
      <c r="BY307" s="37"/>
      <c r="BZ307" s="37"/>
      <c r="CA307" s="37"/>
      <c r="CB307" s="37"/>
      <c r="CC307" s="33"/>
      <c r="CD307" s="206"/>
      <c r="CE307" s="207"/>
      <c r="CF307" s="204"/>
      <c r="CG307" s="35"/>
      <c r="CH307" s="202"/>
      <c r="CI307" s="203"/>
      <c r="CJ307" s="36"/>
      <c r="CK307" s="36"/>
      <c r="CL307" s="205"/>
      <c r="CM307" s="33"/>
      <c r="CN307" s="37"/>
      <c r="CO307" s="37"/>
      <c r="CP307" s="37"/>
      <c r="CQ307" s="37"/>
      <c r="CR307" s="37"/>
      <c r="CS307" s="33"/>
      <c r="CT307" s="206"/>
      <c r="CU307" s="207"/>
      <c r="CV307" s="204"/>
      <c r="CW307" s="35"/>
      <c r="CX307" s="202"/>
      <c r="CY307" s="203"/>
      <c r="CZ307" s="36"/>
      <c r="DA307" s="36"/>
      <c r="DB307" s="205"/>
      <c r="DC307" s="33"/>
      <c r="DD307" s="37"/>
      <c r="DE307" s="37"/>
      <c r="DF307" s="37"/>
      <c r="DG307" s="37"/>
      <c r="DH307" s="37"/>
      <c r="DI307" s="33"/>
      <c r="DJ307" s="206"/>
      <c r="DK307" s="207"/>
      <c r="DL307" s="204"/>
      <c r="DM307" s="35"/>
      <c r="DN307" s="202"/>
      <c r="DO307" s="203"/>
      <c r="DP307" s="36"/>
      <c r="DQ307" s="36"/>
      <c r="DR307" s="205"/>
      <c r="DS307" s="33"/>
      <c r="DT307" s="37"/>
      <c r="DU307" s="37"/>
      <c r="DV307" s="37"/>
      <c r="DW307" s="37"/>
      <c r="DX307" s="37"/>
      <c r="DY307" s="33"/>
      <c r="DZ307" s="206"/>
      <c r="EA307" s="207"/>
      <c r="EB307" s="204"/>
      <c r="EC307" s="35"/>
      <c r="ED307" s="202"/>
      <c r="EE307" s="203"/>
      <c r="EF307" s="36"/>
      <c r="EG307" s="36"/>
      <c r="EH307" s="205"/>
      <c r="EI307" s="33"/>
      <c r="EJ307" s="37"/>
      <c r="EK307" s="37"/>
      <c r="EL307" s="37"/>
      <c r="EM307" s="37"/>
      <c r="EN307" s="37"/>
      <c r="EO307" s="33"/>
      <c r="EP307" s="206"/>
      <c r="EQ307" s="207"/>
      <c r="ER307" s="204"/>
      <c r="ES307" s="35"/>
      <c r="ET307" s="202"/>
      <c r="EU307" s="203"/>
      <c r="EV307" s="36"/>
      <c r="EW307" s="36"/>
      <c r="EX307" s="205"/>
      <c r="EY307" s="33"/>
      <c r="EZ307" s="37"/>
      <c r="FA307" s="37"/>
      <c r="FB307" s="37"/>
      <c r="FC307" s="37"/>
      <c r="FD307" s="37"/>
      <c r="FE307" s="33"/>
      <c r="FF307" s="206"/>
      <c r="FG307" s="207"/>
      <c r="FH307" s="204"/>
      <c r="FI307" s="35"/>
      <c r="FJ307" s="202"/>
      <c r="FK307" s="203"/>
      <c r="FL307" s="36"/>
      <c r="FM307" s="36"/>
      <c r="FN307" s="205"/>
      <c r="FO307" s="33"/>
      <c r="FP307" s="37"/>
      <c r="FQ307" s="37"/>
      <c r="FR307" s="37"/>
      <c r="FS307" s="37"/>
      <c r="FT307" s="37"/>
      <c r="FU307" s="33"/>
      <c r="FV307" s="206"/>
      <c r="FW307" s="207"/>
      <c r="FX307" s="204"/>
      <c r="FY307" s="35"/>
      <c r="FZ307" s="202"/>
      <c r="GA307" s="203"/>
      <c r="GB307" s="36"/>
      <c r="GC307" s="36"/>
      <c r="GD307" s="205"/>
      <c r="GE307" s="33"/>
      <c r="GF307" s="37"/>
      <c r="GG307" s="37"/>
      <c r="GH307" s="37"/>
      <c r="GI307" s="37"/>
      <c r="GJ307" s="37"/>
      <c r="GK307" s="33"/>
      <c r="GL307" s="206"/>
      <c r="GM307" s="207"/>
      <c r="GN307" s="204"/>
      <c r="GO307" s="35"/>
      <c r="GP307" s="202"/>
      <c r="GQ307" s="203"/>
      <c r="GR307" s="36"/>
      <c r="GS307" s="36"/>
      <c r="GT307" s="205"/>
      <c r="GU307" s="33"/>
      <c r="GV307" s="37"/>
      <c r="GW307" s="37"/>
      <c r="GX307" s="37"/>
      <c r="GY307" s="37"/>
      <c r="GZ307" s="37"/>
      <c r="HA307" s="33"/>
      <c r="HB307" s="206"/>
      <c r="HC307" s="207"/>
      <c r="HD307" s="204"/>
      <c r="HE307" s="35"/>
      <c r="HF307" s="202"/>
      <c r="HG307" s="203"/>
      <c r="HH307" s="36"/>
      <c r="HI307" s="36"/>
      <c r="HJ307" s="205"/>
      <c r="HK307" s="33"/>
      <c r="HL307" s="37"/>
      <c r="HM307" s="37"/>
      <c r="HN307" s="37"/>
      <c r="HO307" s="37"/>
      <c r="HP307" s="37"/>
      <c r="HQ307" s="33"/>
      <c r="HR307" s="206"/>
      <c r="HS307" s="207"/>
      <c r="HT307" s="204"/>
      <c r="HU307" s="35"/>
      <c r="HV307" s="202"/>
      <c r="HW307" s="203"/>
      <c r="HX307" s="36"/>
      <c r="HY307" s="36"/>
      <c r="HZ307" s="205"/>
      <c r="IA307" s="33"/>
      <c r="IB307" s="37"/>
      <c r="IC307" s="37"/>
      <c r="ID307" s="37"/>
      <c r="IE307" s="37"/>
      <c r="IF307" s="37"/>
      <c r="IG307" s="33"/>
      <c r="IH307" s="206"/>
      <c r="II307" s="207"/>
      <c r="IJ307" s="204"/>
      <c r="IK307" s="35"/>
      <c r="IL307" s="202"/>
      <c r="IM307" s="203"/>
      <c r="IN307" s="36"/>
      <c r="IO307" s="36"/>
      <c r="IP307" s="205"/>
      <c r="IQ307" s="33"/>
      <c r="IR307" s="37"/>
      <c r="IS307" s="37"/>
      <c r="IT307" s="37"/>
      <c r="IU307" s="37"/>
      <c r="IV307" s="37"/>
      <c r="IW307" s="33"/>
      <c r="IX307" s="206"/>
      <c r="IY307" s="207"/>
      <c r="IZ307" s="204"/>
      <c r="JA307" s="35"/>
      <c r="JB307" s="202"/>
      <c r="JC307" s="203"/>
      <c r="JD307" s="36"/>
      <c r="JE307" s="36"/>
      <c r="JF307" s="205"/>
      <c r="JG307" s="33"/>
      <c r="JH307" s="37"/>
      <c r="JI307" s="37"/>
      <c r="JJ307" s="37"/>
      <c r="JK307" s="37"/>
      <c r="JL307" s="37"/>
      <c r="JM307" s="33"/>
      <c r="JN307" s="206"/>
      <c r="JO307" s="207"/>
      <c r="JP307" s="204"/>
      <c r="JQ307" s="35"/>
      <c r="JR307" s="202"/>
      <c r="JS307" s="203"/>
      <c r="JT307" s="36"/>
      <c r="JU307" s="36"/>
      <c r="JV307" s="205"/>
      <c r="JW307" s="33"/>
      <c r="JX307" s="37"/>
      <c r="JY307" s="37"/>
      <c r="JZ307" s="37"/>
      <c r="KA307" s="37"/>
      <c r="KB307" s="37"/>
      <c r="KC307" s="33"/>
      <c r="KD307" s="206"/>
      <c r="KE307" s="207"/>
      <c r="KF307" s="204"/>
      <c r="KG307" s="35"/>
      <c r="KH307" s="202"/>
      <c r="KI307" s="203"/>
      <c r="KJ307" s="36"/>
      <c r="KK307" s="36"/>
      <c r="KL307" s="205"/>
      <c r="KM307" s="33"/>
      <c r="KN307" s="37"/>
      <c r="KO307" s="37"/>
      <c r="KP307" s="37"/>
      <c r="KQ307" s="37"/>
      <c r="KR307" s="37"/>
      <c r="KS307" s="33"/>
      <c r="KT307" s="206"/>
      <c r="KU307" s="207"/>
      <c r="KV307" s="204"/>
      <c r="KW307" s="35"/>
      <c r="KX307" s="202"/>
      <c r="KY307" s="203"/>
      <c r="KZ307" s="36"/>
      <c r="LA307" s="36"/>
      <c r="LB307" s="205"/>
      <c r="LC307" s="33"/>
      <c r="LD307" s="37"/>
      <c r="LE307" s="37"/>
      <c r="LF307" s="37"/>
      <c r="LG307" s="37"/>
      <c r="LH307" s="37"/>
      <c r="LI307" s="33"/>
      <c r="LJ307" s="206"/>
      <c r="LK307" s="207"/>
      <c r="LL307" s="204"/>
      <c r="LM307" s="35"/>
      <c r="LN307" s="202"/>
      <c r="LO307" s="203"/>
      <c r="LP307" s="36"/>
      <c r="LQ307" s="36"/>
      <c r="LR307" s="205"/>
      <c r="LS307" s="33"/>
      <c r="LT307" s="37"/>
      <c r="LU307" s="37"/>
      <c r="LV307" s="37"/>
      <c r="LW307" s="37"/>
      <c r="LX307" s="37"/>
      <c r="LY307" s="33"/>
      <c r="LZ307" s="206"/>
      <c r="MA307" s="207"/>
      <c r="MB307" s="204"/>
      <c r="MC307" s="35"/>
      <c r="MD307" s="202"/>
      <c r="ME307" s="203"/>
      <c r="MF307" s="36"/>
      <c r="MG307" s="36"/>
      <c r="MH307" s="205"/>
      <c r="MI307" s="33"/>
      <c r="MJ307" s="37"/>
      <c r="MK307" s="37"/>
      <c r="ML307" s="37"/>
      <c r="MM307" s="37"/>
      <c r="MN307" s="37"/>
      <c r="MO307" s="33"/>
      <c r="MP307" s="206"/>
      <c r="MQ307" s="207"/>
      <c r="MR307" s="204"/>
      <c r="MS307" s="35"/>
      <c r="MT307" s="202"/>
      <c r="MU307" s="203"/>
      <c r="MV307" s="36"/>
      <c r="MW307" s="36"/>
      <c r="MX307" s="205"/>
      <c r="MY307" s="33"/>
      <c r="MZ307" s="37"/>
      <c r="NA307" s="37"/>
      <c r="NB307" s="37"/>
      <c r="NC307" s="37"/>
      <c r="ND307" s="37"/>
      <c r="NE307" s="33"/>
      <c r="NF307" s="206"/>
      <c r="NG307" s="207"/>
      <c r="NH307" s="204"/>
      <c r="NI307" s="35"/>
      <c r="NJ307" s="202"/>
      <c r="NK307" s="203"/>
      <c r="NL307" s="36"/>
      <c r="NM307" s="36"/>
      <c r="NN307" s="205"/>
      <c r="NO307" s="33"/>
      <c r="NP307" s="37"/>
      <c r="NQ307" s="37"/>
      <c r="NR307" s="37"/>
      <c r="NS307" s="37"/>
      <c r="NT307" s="37"/>
      <c r="NU307" s="33"/>
      <c r="NV307" s="206"/>
      <c r="NW307" s="207"/>
      <c r="NX307" s="204"/>
      <c r="NY307" s="35"/>
      <c r="NZ307" s="202"/>
      <c r="OA307" s="203"/>
      <c r="OB307" s="36"/>
      <c r="OC307" s="36"/>
      <c r="OD307" s="205"/>
      <c r="OE307" s="33"/>
      <c r="OF307" s="37"/>
      <c r="OG307" s="37"/>
      <c r="OH307" s="37"/>
      <c r="OI307" s="37"/>
      <c r="OJ307" s="37"/>
      <c r="OK307" s="33"/>
      <c r="OL307" s="206"/>
      <c r="OM307" s="207"/>
      <c r="ON307" s="204"/>
      <c r="OO307" s="35"/>
      <c r="OP307" s="202"/>
      <c r="OQ307" s="203"/>
      <c r="OR307" s="36"/>
      <c r="OS307" s="36"/>
      <c r="OT307" s="205"/>
      <c r="OU307" s="33"/>
      <c r="OV307" s="37"/>
      <c r="OW307" s="37"/>
      <c r="OX307" s="37"/>
      <c r="OY307" s="37"/>
      <c r="OZ307" s="37"/>
      <c r="PA307" s="33"/>
      <c r="PB307" s="206"/>
      <c r="PC307" s="207"/>
      <c r="PD307" s="204"/>
      <c r="PE307" s="35"/>
      <c r="PF307" s="202"/>
      <c r="PG307" s="203"/>
      <c r="PH307" s="36"/>
      <c r="PI307" s="36"/>
      <c r="PJ307" s="205"/>
      <c r="PK307" s="33"/>
      <c r="PL307" s="37"/>
      <c r="PM307" s="37"/>
      <c r="PN307" s="37"/>
      <c r="PO307" s="37"/>
      <c r="PP307" s="37"/>
      <c r="PQ307" s="33"/>
      <c r="PR307" s="206"/>
      <c r="PS307" s="207"/>
      <c r="PT307" s="204"/>
      <c r="PU307" s="35"/>
      <c r="PV307" s="202"/>
      <c r="PW307" s="203"/>
      <c r="PX307" s="36"/>
      <c r="PY307" s="36"/>
      <c r="PZ307" s="205"/>
      <c r="QA307" s="33"/>
      <c r="QB307" s="37"/>
      <c r="QC307" s="37"/>
      <c r="QD307" s="37"/>
      <c r="QE307" s="37"/>
      <c r="QF307" s="37"/>
      <c r="QG307" s="33"/>
      <c r="QH307" s="206"/>
      <c r="QI307" s="207"/>
      <c r="QJ307" s="204"/>
      <c r="QK307" s="35"/>
      <c r="QL307" s="202"/>
      <c r="QM307" s="203"/>
      <c r="QN307" s="36"/>
      <c r="QO307" s="36"/>
      <c r="QP307" s="205"/>
      <c r="QQ307" s="33"/>
      <c r="QR307" s="37"/>
      <c r="QS307" s="37"/>
      <c r="QT307" s="37"/>
      <c r="QU307" s="37"/>
      <c r="QV307" s="37"/>
      <c r="QW307" s="33"/>
      <c r="QX307" s="206"/>
      <c r="QY307" s="207"/>
      <c r="QZ307" s="204"/>
      <c r="RA307" s="35"/>
      <c r="RB307" s="202"/>
      <c r="RC307" s="203"/>
      <c r="RD307" s="36"/>
      <c r="RE307" s="36"/>
      <c r="RF307" s="205"/>
      <c r="RG307" s="33"/>
      <c r="RH307" s="37"/>
      <c r="RI307" s="37"/>
      <c r="RJ307" s="37"/>
      <c r="RK307" s="37"/>
      <c r="RL307" s="37"/>
      <c r="RM307" s="33"/>
      <c r="RN307" s="206"/>
      <c r="RO307" s="207"/>
      <c r="RP307" s="204"/>
      <c r="RQ307" s="35"/>
      <c r="RR307" s="202"/>
      <c r="RS307" s="203"/>
      <c r="RT307" s="36"/>
      <c r="RU307" s="36"/>
      <c r="RV307" s="205"/>
      <c r="RW307" s="33"/>
      <c r="RX307" s="37"/>
      <c r="RY307" s="37"/>
      <c r="RZ307" s="37"/>
      <c r="SA307" s="37"/>
      <c r="SB307" s="37"/>
      <c r="SC307" s="33"/>
      <c r="SD307" s="206"/>
      <c r="SE307" s="207"/>
      <c r="SF307" s="204"/>
      <c r="SG307" s="35"/>
      <c r="SH307" s="202"/>
      <c r="SI307" s="203"/>
      <c r="SJ307" s="36"/>
      <c r="SK307" s="36"/>
      <c r="SL307" s="205"/>
      <c r="SM307" s="33"/>
      <c r="SN307" s="37"/>
      <c r="SO307" s="37"/>
      <c r="SP307" s="37"/>
      <c r="SQ307" s="37"/>
      <c r="SR307" s="37"/>
      <c r="SS307" s="33"/>
      <c r="ST307" s="206"/>
      <c r="SU307" s="207"/>
      <c r="SV307" s="204"/>
      <c r="SW307" s="35"/>
      <c r="SX307" s="202"/>
      <c r="SY307" s="203"/>
      <c r="SZ307" s="36"/>
      <c r="TA307" s="36"/>
      <c r="TB307" s="205"/>
      <c r="TC307" s="33"/>
      <c r="TD307" s="37"/>
      <c r="TE307" s="37"/>
      <c r="TF307" s="37"/>
      <c r="TG307" s="37"/>
      <c r="TH307" s="37"/>
      <c r="TI307" s="33"/>
      <c r="TJ307" s="206"/>
      <c r="TK307" s="207"/>
      <c r="TL307" s="204"/>
      <c r="TM307" s="35"/>
      <c r="TN307" s="202"/>
      <c r="TO307" s="203"/>
      <c r="TP307" s="36"/>
      <c r="TQ307" s="36"/>
      <c r="TR307" s="205"/>
      <c r="TS307" s="33"/>
      <c r="TT307" s="37"/>
      <c r="TU307" s="37"/>
      <c r="TV307" s="37"/>
      <c r="TW307" s="37"/>
      <c r="TX307" s="37"/>
      <c r="TY307" s="33"/>
      <c r="TZ307" s="206"/>
      <c r="UA307" s="207"/>
      <c r="UB307" s="204"/>
      <c r="UC307" s="35"/>
      <c r="UD307" s="202"/>
      <c r="UE307" s="203"/>
      <c r="UF307" s="36"/>
      <c r="UG307" s="36"/>
      <c r="UH307" s="205"/>
      <c r="UI307" s="33"/>
      <c r="UJ307" s="37"/>
      <c r="UK307" s="37"/>
      <c r="UL307" s="37"/>
      <c r="UM307" s="37"/>
      <c r="UN307" s="37"/>
      <c r="UO307" s="33"/>
      <c r="UP307" s="206"/>
      <c r="UQ307" s="207"/>
      <c r="UR307" s="204"/>
      <c r="US307" s="35"/>
      <c r="UT307" s="202"/>
      <c r="UU307" s="203"/>
      <c r="UV307" s="36"/>
      <c r="UW307" s="36"/>
      <c r="UX307" s="205"/>
      <c r="UY307" s="33"/>
      <c r="UZ307" s="37"/>
      <c r="VA307" s="37"/>
      <c r="VB307" s="37"/>
      <c r="VC307" s="37"/>
      <c r="VD307" s="37"/>
      <c r="VE307" s="33"/>
      <c r="VF307" s="206"/>
      <c r="VG307" s="207"/>
      <c r="VH307" s="204"/>
      <c r="VI307" s="35"/>
      <c r="VJ307" s="202"/>
      <c r="VK307" s="203"/>
      <c r="VL307" s="36"/>
      <c r="VM307" s="36"/>
      <c r="VN307" s="205"/>
      <c r="VO307" s="33"/>
      <c r="VP307" s="37"/>
      <c r="VQ307" s="37"/>
      <c r="VR307" s="37"/>
      <c r="VS307" s="37"/>
      <c r="VT307" s="37"/>
      <c r="VU307" s="33"/>
      <c r="VV307" s="206"/>
      <c r="VW307" s="207"/>
      <c r="VX307" s="204"/>
      <c r="VY307" s="35"/>
      <c r="VZ307" s="202"/>
      <c r="WA307" s="203"/>
      <c r="WB307" s="36"/>
      <c r="WC307" s="36"/>
      <c r="WD307" s="205"/>
      <c r="WE307" s="33"/>
      <c r="WF307" s="37"/>
      <c r="WG307" s="37"/>
      <c r="WH307" s="37"/>
      <c r="WI307" s="37"/>
      <c r="WJ307" s="37"/>
      <c r="WK307" s="33"/>
      <c r="WL307" s="206"/>
      <c r="WM307" s="207"/>
      <c r="WN307" s="204"/>
      <c r="WO307" s="35"/>
      <c r="WP307" s="202"/>
      <c r="WQ307" s="203"/>
      <c r="WR307" s="36"/>
      <c r="WS307" s="36"/>
      <c r="WT307" s="205"/>
      <c r="WU307" s="33"/>
      <c r="WV307" s="37"/>
      <c r="WW307" s="37"/>
      <c r="WX307" s="37"/>
      <c r="WY307" s="37"/>
      <c r="WZ307" s="37"/>
      <c r="XA307" s="33"/>
      <c r="XB307" s="206"/>
      <c r="XC307" s="207"/>
      <c r="XD307" s="204"/>
      <c r="XE307" s="35"/>
      <c r="XF307" s="202"/>
      <c r="XG307" s="203"/>
      <c r="XH307" s="36"/>
      <c r="XI307" s="36"/>
      <c r="XJ307" s="205"/>
      <c r="XK307" s="33"/>
      <c r="XL307" s="37"/>
      <c r="XM307" s="37"/>
      <c r="XN307" s="37"/>
      <c r="XO307" s="37"/>
      <c r="XP307" s="37"/>
      <c r="XQ307" s="33"/>
      <c r="XR307" s="206"/>
      <c r="XS307" s="207"/>
      <c r="XT307" s="204"/>
      <c r="XU307" s="35"/>
      <c r="XV307" s="202"/>
      <c r="XW307" s="203"/>
      <c r="XX307" s="36"/>
      <c r="XY307" s="36"/>
      <c r="XZ307" s="205"/>
      <c r="YA307" s="33"/>
      <c r="YB307" s="37"/>
      <c r="YC307" s="37"/>
      <c r="YD307" s="37"/>
      <c r="YE307" s="37"/>
      <c r="YF307" s="37"/>
      <c r="YG307" s="33"/>
      <c r="YH307" s="206"/>
      <c r="YI307" s="207"/>
      <c r="YJ307" s="204"/>
      <c r="YK307" s="35"/>
      <c r="YL307" s="202"/>
      <c r="YM307" s="203"/>
      <c r="YN307" s="36"/>
      <c r="YO307" s="36"/>
      <c r="YP307" s="205"/>
      <c r="YQ307" s="33"/>
      <c r="YR307" s="37"/>
      <c r="YS307" s="37"/>
      <c r="YT307" s="37"/>
      <c r="YU307" s="37"/>
      <c r="YV307" s="37"/>
      <c r="YW307" s="33"/>
      <c r="YX307" s="206"/>
      <c r="YY307" s="207"/>
      <c r="YZ307" s="204"/>
      <c r="ZA307" s="35"/>
      <c r="ZB307" s="202"/>
      <c r="ZC307" s="203"/>
      <c r="ZD307" s="36"/>
      <c r="ZE307" s="36"/>
      <c r="ZF307" s="205"/>
      <c r="ZG307" s="33"/>
      <c r="ZH307" s="37"/>
      <c r="ZI307" s="37"/>
      <c r="ZJ307" s="37"/>
      <c r="ZK307" s="37"/>
      <c r="ZL307" s="37"/>
      <c r="ZM307" s="33"/>
      <c r="ZN307" s="206"/>
      <c r="ZO307" s="207"/>
      <c r="ZP307" s="204"/>
      <c r="ZQ307" s="35"/>
      <c r="ZR307" s="202"/>
      <c r="ZS307" s="203"/>
      <c r="ZT307" s="36"/>
      <c r="ZU307" s="36"/>
      <c r="ZV307" s="205"/>
      <c r="ZW307" s="33"/>
      <c r="ZX307" s="37"/>
      <c r="ZY307" s="37"/>
      <c r="ZZ307" s="37"/>
      <c r="AAA307" s="37"/>
      <c r="AAB307" s="37"/>
      <c r="AAC307" s="33"/>
      <c r="AAD307" s="206"/>
      <c r="AAE307" s="207"/>
      <c r="AAF307" s="204"/>
      <c r="AAG307" s="35"/>
      <c r="AAH307" s="202"/>
      <c r="AAI307" s="203"/>
      <c r="AAJ307" s="36"/>
      <c r="AAK307" s="36"/>
      <c r="AAL307" s="205"/>
      <c r="AAM307" s="33"/>
      <c r="AAN307" s="37"/>
      <c r="AAO307" s="37"/>
      <c r="AAP307" s="37"/>
      <c r="AAQ307" s="37"/>
      <c r="AAR307" s="37"/>
      <c r="AAS307" s="33"/>
      <c r="AAT307" s="206"/>
      <c r="AAU307" s="207"/>
      <c r="AAV307" s="204"/>
      <c r="AAW307" s="35"/>
      <c r="AAX307" s="202"/>
      <c r="AAY307" s="203"/>
      <c r="AAZ307" s="36"/>
      <c r="ABA307" s="36"/>
      <c r="ABB307" s="205"/>
      <c r="ABC307" s="33"/>
      <c r="ABD307" s="37"/>
      <c r="ABE307" s="37"/>
      <c r="ABF307" s="37"/>
      <c r="ABG307" s="37"/>
      <c r="ABH307" s="37"/>
      <c r="ABI307" s="33"/>
      <c r="ABJ307" s="206"/>
      <c r="ABK307" s="207"/>
      <c r="ABL307" s="204"/>
      <c r="ABM307" s="35"/>
      <c r="ABN307" s="202"/>
      <c r="ABO307" s="203"/>
      <c r="ABP307" s="36"/>
      <c r="ABQ307" s="36"/>
      <c r="ABR307" s="205"/>
      <c r="ABS307" s="33"/>
      <c r="ABT307" s="37"/>
      <c r="ABU307" s="37"/>
      <c r="ABV307" s="37"/>
      <c r="ABW307" s="37"/>
      <c r="ABX307" s="37"/>
      <c r="ABY307" s="33"/>
      <c r="ABZ307" s="206"/>
      <c r="ACA307" s="207"/>
      <c r="ACB307" s="204"/>
      <c r="ACC307" s="35"/>
      <c r="ACD307" s="202"/>
      <c r="ACE307" s="203"/>
      <c r="ACF307" s="36"/>
      <c r="ACG307" s="36"/>
      <c r="ACH307" s="205"/>
      <c r="ACI307" s="33"/>
      <c r="ACJ307" s="37"/>
      <c r="ACK307" s="37"/>
      <c r="ACL307" s="37"/>
      <c r="ACM307" s="37"/>
      <c r="ACN307" s="37"/>
      <c r="ACO307" s="33"/>
      <c r="ACP307" s="206"/>
      <c r="ACQ307" s="207"/>
      <c r="ACR307" s="204"/>
      <c r="ACS307" s="35"/>
      <c r="ACT307" s="202"/>
      <c r="ACU307" s="203"/>
      <c r="ACV307" s="36"/>
      <c r="ACW307" s="36"/>
      <c r="ACX307" s="205"/>
      <c r="ACY307" s="33"/>
      <c r="ACZ307" s="37"/>
      <c r="ADA307" s="37"/>
      <c r="ADB307" s="37"/>
      <c r="ADC307" s="37"/>
      <c r="ADD307" s="37"/>
      <c r="ADE307" s="33"/>
      <c r="ADF307" s="206"/>
      <c r="ADG307" s="207"/>
      <c r="ADH307" s="204"/>
      <c r="ADI307" s="35"/>
      <c r="ADJ307" s="202"/>
      <c r="ADK307" s="203"/>
      <c r="ADL307" s="36"/>
      <c r="ADM307" s="36"/>
      <c r="ADN307" s="205"/>
      <c r="ADO307" s="33"/>
      <c r="ADP307" s="37"/>
      <c r="ADQ307" s="37"/>
      <c r="ADR307" s="37"/>
      <c r="ADS307" s="37"/>
      <c r="ADT307" s="37"/>
      <c r="ADU307" s="33"/>
      <c r="ADV307" s="206"/>
      <c r="ADW307" s="207"/>
      <c r="ADX307" s="204"/>
      <c r="ADY307" s="35"/>
      <c r="ADZ307" s="202"/>
      <c r="AEA307" s="203"/>
      <c r="AEB307" s="36"/>
      <c r="AEC307" s="36"/>
      <c r="AED307" s="205"/>
      <c r="AEE307" s="33"/>
      <c r="AEF307" s="37"/>
      <c r="AEG307" s="37"/>
      <c r="AEH307" s="37"/>
      <c r="AEI307" s="37"/>
      <c r="AEJ307" s="37"/>
      <c r="AEK307" s="33"/>
      <c r="AEL307" s="206"/>
      <c r="AEM307" s="207"/>
      <c r="AEN307" s="204"/>
      <c r="AEO307" s="35"/>
      <c r="AEP307" s="202"/>
      <c r="AEQ307" s="203"/>
      <c r="AER307" s="36"/>
      <c r="AES307" s="36"/>
      <c r="AET307" s="205"/>
      <c r="AEU307" s="33"/>
      <c r="AEV307" s="37"/>
      <c r="AEW307" s="37"/>
      <c r="AEX307" s="37"/>
      <c r="AEY307" s="37"/>
      <c r="AEZ307" s="37"/>
      <c r="AFA307" s="33"/>
      <c r="AFB307" s="206"/>
      <c r="AFC307" s="207"/>
      <c r="AFD307" s="204"/>
      <c r="AFE307" s="35"/>
      <c r="AFF307" s="202"/>
      <c r="AFG307" s="203"/>
      <c r="AFH307" s="36"/>
      <c r="AFI307" s="36"/>
      <c r="AFJ307" s="205"/>
      <c r="AFK307" s="33"/>
      <c r="AFL307" s="37"/>
      <c r="AFM307" s="37"/>
      <c r="AFN307" s="37"/>
      <c r="AFO307" s="37"/>
      <c r="AFP307" s="37"/>
      <c r="AFQ307" s="33"/>
      <c r="AFR307" s="206"/>
      <c r="AFS307" s="207"/>
      <c r="AFT307" s="204"/>
      <c r="AFU307" s="35"/>
      <c r="AFV307" s="202"/>
      <c r="AFW307" s="203"/>
      <c r="AFX307" s="36"/>
      <c r="AFY307" s="36"/>
      <c r="AFZ307" s="205"/>
      <c r="AGA307" s="33"/>
      <c r="AGB307" s="37"/>
      <c r="AGC307" s="37"/>
      <c r="AGD307" s="37"/>
      <c r="AGE307" s="37"/>
      <c r="AGF307" s="37"/>
      <c r="AGG307" s="33"/>
      <c r="AGH307" s="206"/>
      <c r="AGI307" s="207"/>
      <c r="AGJ307" s="204"/>
      <c r="AGK307" s="35"/>
      <c r="AGL307" s="202"/>
      <c r="AGM307" s="203"/>
      <c r="AGN307" s="36"/>
      <c r="AGO307" s="36"/>
      <c r="AGP307" s="205"/>
      <c r="AGQ307" s="33"/>
      <c r="AGR307" s="37"/>
      <c r="AGS307" s="37"/>
      <c r="AGT307" s="37"/>
      <c r="AGU307" s="37"/>
      <c r="AGV307" s="37"/>
      <c r="AGW307" s="33"/>
      <c r="AGX307" s="206"/>
      <c r="AGY307" s="207"/>
      <c r="AGZ307" s="204"/>
      <c r="AHA307" s="35"/>
      <c r="AHB307" s="202"/>
      <c r="AHC307" s="203"/>
      <c r="AHD307" s="36"/>
      <c r="AHE307" s="36"/>
      <c r="AHF307" s="205"/>
      <c r="AHG307" s="33"/>
      <c r="AHH307" s="37"/>
      <c r="AHI307" s="37"/>
      <c r="AHJ307" s="37"/>
      <c r="AHK307" s="37"/>
      <c r="AHL307" s="37"/>
      <c r="AHM307" s="33"/>
      <c r="AHN307" s="206"/>
      <c r="AHO307" s="207"/>
      <c r="AHP307" s="204"/>
      <c r="AHQ307" s="35"/>
      <c r="AHR307" s="202"/>
      <c r="AHS307" s="203"/>
      <c r="AHT307" s="36"/>
      <c r="AHU307" s="36"/>
      <c r="AHV307" s="205"/>
      <c r="AHW307" s="33"/>
      <c r="AHX307" s="37"/>
      <c r="AHY307" s="37"/>
      <c r="AHZ307" s="37"/>
      <c r="AIA307" s="37"/>
      <c r="AIB307" s="37"/>
      <c r="AIC307" s="33"/>
      <c r="AID307" s="206"/>
      <c r="AIE307" s="207"/>
      <c r="AIF307" s="204"/>
      <c r="AIG307" s="35"/>
      <c r="AIH307" s="202"/>
      <c r="AII307" s="203"/>
      <c r="AIJ307" s="36"/>
      <c r="AIK307" s="36"/>
      <c r="AIL307" s="205"/>
      <c r="AIM307" s="33"/>
      <c r="AIN307" s="37"/>
      <c r="AIO307" s="37"/>
      <c r="AIP307" s="37"/>
      <c r="AIQ307" s="37"/>
      <c r="AIR307" s="37"/>
      <c r="AIS307" s="33"/>
      <c r="AIT307" s="206"/>
      <c r="AIU307" s="207"/>
      <c r="AIV307" s="204"/>
      <c r="AIW307" s="35"/>
      <c r="AIX307" s="202"/>
      <c r="AIY307" s="203"/>
      <c r="AIZ307" s="36"/>
      <c r="AJA307" s="36"/>
      <c r="AJB307" s="205"/>
      <c r="AJC307" s="33"/>
      <c r="AJD307" s="37"/>
      <c r="AJE307" s="37"/>
      <c r="AJF307" s="37"/>
      <c r="AJG307" s="37"/>
      <c r="AJH307" s="37"/>
      <c r="AJI307" s="33"/>
      <c r="AJJ307" s="206"/>
      <c r="AJK307" s="207"/>
      <c r="AJL307" s="204"/>
      <c r="AJM307" s="35"/>
      <c r="AJN307" s="202"/>
      <c r="AJO307" s="203"/>
      <c r="AJP307" s="36"/>
      <c r="AJQ307" s="36"/>
      <c r="AJR307" s="205"/>
      <c r="AJS307" s="33"/>
      <c r="AJT307" s="37"/>
      <c r="AJU307" s="37"/>
      <c r="AJV307" s="37"/>
      <c r="AJW307" s="37"/>
      <c r="AJX307" s="37"/>
      <c r="AJY307" s="33"/>
      <c r="AJZ307" s="206"/>
      <c r="AKA307" s="207"/>
      <c r="AKB307" s="204"/>
      <c r="AKC307" s="35"/>
      <c r="AKD307" s="202"/>
      <c r="AKE307" s="203"/>
      <c r="AKF307" s="36"/>
      <c r="AKG307" s="36"/>
      <c r="AKH307" s="205"/>
      <c r="AKI307" s="33"/>
      <c r="AKJ307" s="37"/>
      <c r="AKK307" s="37"/>
      <c r="AKL307" s="37"/>
      <c r="AKM307" s="37"/>
      <c r="AKN307" s="37"/>
      <c r="AKO307" s="33"/>
      <c r="AKP307" s="206"/>
      <c r="AKQ307" s="207"/>
      <c r="AKR307" s="204"/>
      <c r="AKS307" s="35"/>
      <c r="AKT307" s="202"/>
      <c r="AKU307" s="203"/>
      <c r="AKV307" s="36"/>
      <c r="AKW307" s="36"/>
      <c r="AKX307" s="205"/>
      <c r="AKY307" s="33"/>
      <c r="AKZ307" s="37"/>
      <c r="ALA307" s="37"/>
      <c r="ALB307" s="37"/>
      <c r="ALC307" s="37"/>
      <c r="ALD307" s="37"/>
      <c r="ALE307" s="33"/>
      <c r="ALF307" s="206"/>
      <c r="ALG307" s="207"/>
      <c r="ALH307" s="204"/>
      <c r="ALI307" s="35"/>
      <c r="ALJ307" s="202"/>
      <c r="ALK307" s="203"/>
      <c r="ALL307" s="36"/>
      <c r="ALM307" s="36"/>
      <c r="ALN307" s="205"/>
      <c r="ALO307" s="33"/>
      <c r="ALP307" s="37"/>
      <c r="ALQ307" s="37"/>
      <c r="ALR307" s="37"/>
      <c r="ALS307" s="37"/>
      <c r="ALT307" s="37"/>
      <c r="ALU307" s="33"/>
      <c r="ALV307" s="206"/>
      <c r="ALW307" s="207"/>
      <c r="ALX307" s="204"/>
      <c r="ALY307" s="35"/>
      <c r="ALZ307" s="202"/>
      <c r="AMA307" s="203"/>
      <c r="AMB307" s="36"/>
      <c r="AMC307" s="36"/>
      <c r="AMD307" s="205"/>
      <c r="AME307" s="33"/>
      <c r="AMF307" s="37"/>
      <c r="AMG307" s="37"/>
      <c r="AMH307" s="37"/>
      <c r="AMI307" s="37"/>
      <c r="AMJ307" s="37"/>
      <c r="AMK307" s="33"/>
      <c r="AML307" s="206"/>
      <c r="AMM307" s="207"/>
      <c r="AMN307" s="204"/>
      <c r="AMO307" s="35"/>
      <c r="AMP307" s="202"/>
      <c r="AMQ307" s="203"/>
      <c r="AMR307" s="36"/>
      <c r="AMS307" s="36"/>
      <c r="AMT307" s="205"/>
      <c r="AMU307" s="33"/>
      <c r="AMV307" s="37"/>
      <c r="AMW307" s="37"/>
      <c r="AMX307" s="37"/>
      <c r="AMY307" s="37"/>
      <c r="AMZ307" s="37"/>
      <c r="ANA307" s="33"/>
      <c r="ANB307" s="206"/>
      <c r="ANC307" s="207"/>
      <c r="AND307" s="204"/>
      <c r="ANE307" s="35"/>
      <c r="ANF307" s="202"/>
      <c r="ANG307" s="203"/>
      <c r="ANH307" s="36"/>
      <c r="ANI307" s="36"/>
      <c r="ANJ307" s="205"/>
      <c r="ANK307" s="33"/>
      <c r="ANL307" s="37"/>
      <c r="ANM307" s="37"/>
      <c r="ANN307" s="37"/>
      <c r="ANO307" s="37"/>
      <c r="ANP307" s="37"/>
      <c r="ANQ307" s="33"/>
      <c r="ANR307" s="206"/>
      <c r="ANS307" s="207"/>
      <c r="ANT307" s="204"/>
      <c r="ANU307" s="35"/>
      <c r="ANV307" s="202"/>
      <c r="ANW307" s="203"/>
      <c r="ANX307" s="36"/>
      <c r="ANY307" s="36"/>
      <c r="ANZ307" s="205"/>
      <c r="AOA307" s="33"/>
      <c r="AOB307" s="37"/>
      <c r="AOC307" s="37"/>
      <c r="AOD307" s="37"/>
      <c r="AOE307" s="37"/>
      <c r="AOF307" s="37"/>
      <c r="AOG307" s="33"/>
      <c r="AOH307" s="206"/>
      <c r="AOI307" s="207"/>
      <c r="AOJ307" s="204"/>
      <c r="AOK307" s="35"/>
      <c r="AOL307" s="202"/>
      <c r="AOM307" s="203"/>
      <c r="AON307" s="36"/>
      <c r="AOO307" s="36"/>
      <c r="AOP307" s="205"/>
      <c r="AOQ307" s="33"/>
      <c r="AOR307" s="37"/>
      <c r="AOS307" s="37"/>
      <c r="AOT307" s="37"/>
      <c r="AOU307" s="37"/>
      <c r="AOV307" s="37"/>
      <c r="AOW307" s="33"/>
      <c r="AOX307" s="206"/>
      <c r="AOY307" s="207"/>
      <c r="AOZ307" s="204"/>
      <c r="APA307" s="35"/>
      <c r="APB307" s="202"/>
      <c r="APC307" s="203"/>
      <c r="APD307" s="36"/>
      <c r="APE307" s="36"/>
      <c r="APF307" s="205"/>
      <c r="APG307" s="33"/>
      <c r="APH307" s="37"/>
      <c r="API307" s="37"/>
      <c r="APJ307" s="37"/>
      <c r="APK307" s="37"/>
      <c r="APL307" s="37"/>
      <c r="APM307" s="33"/>
      <c r="APN307" s="206"/>
      <c r="APO307" s="207"/>
      <c r="APP307" s="204"/>
      <c r="APQ307" s="35"/>
      <c r="APR307" s="202"/>
      <c r="APS307" s="203"/>
      <c r="APT307" s="36"/>
      <c r="APU307" s="36"/>
      <c r="APV307" s="205"/>
      <c r="APW307" s="33"/>
      <c r="APX307" s="37"/>
      <c r="APY307" s="37"/>
      <c r="APZ307" s="37"/>
      <c r="AQA307" s="37"/>
      <c r="AQB307" s="37"/>
      <c r="AQC307" s="33"/>
      <c r="AQD307" s="206"/>
      <c r="AQE307" s="207"/>
      <c r="AQF307" s="204"/>
      <c r="AQG307" s="35"/>
      <c r="AQH307" s="202"/>
      <c r="AQI307" s="203"/>
      <c r="AQJ307" s="36"/>
      <c r="AQK307" s="36"/>
      <c r="AQL307" s="205"/>
      <c r="AQM307" s="33"/>
      <c r="AQN307" s="37"/>
      <c r="AQO307" s="37"/>
      <c r="AQP307" s="37"/>
      <c r="AQQ307" s="37"/>
      <c r="AQR307" s="37"/>
      <c r="AQS307" s="33"/>
      <c r="AQT307" s="206"/>
      <c r="AQU307" s="207"/>
      <c r="AQV307" s="204"/>
      <c r="AQW307" s="35"/>
      <c r="AQX307" s="202"/>
      <c r="AQY307" s="203"/>
      <c r="AQZ307" s="36"/>
      <c r="ARA307" s="36"/>
      <c r="ARB307" s="205"/>
      <c r="ARC307" s="33"/>
      <c r="ARD307" s="37"/>
      <c r="ARE307" s="37"/>
      <c r="ARF307" s="37"/>
      <c r="ARG307" s="37"/>
      <c r="ARH307" s="37"/>
      <c r="ARI307" s="33"/>
      <c r="ARJ307" s="206"/>
      <c r="ARK307" s="207"/>
      <c r="ARL307" s="204"/>
      <c r="ARM307" s="35"/>
      <c r="ARN307" s="202"/>
      <c r="ARO307" s="203"/>
      <c r="ARP307" s="36"/>
      <c r="ARQ307" s="36"/>
      <c r="ARR307" s="205"/>
      <c r="ARS307" s="33"/>
      <c r="ART307" s="37"/>
      <c r="ARU307" s="37"/>
      <c r="ARV307" s="37"/>
      <c r="ARW307" s="37"/>
      <c r="ARX307" s="37"/>
      <c r="ARY307" s="33"/>
      <c r="ARZ307" s="206"/>
      <c r="ASA307" s="207"/>
      <c r="ASB307" s="204"/>
      <c r="ASC307" s="35"/>
      <c r="ASD307" s="202"/>
      <c r="ASE307" s="203"/>
      <c r="ASF307" s="36"/>
      <c r="ASG307" s="36"/>
      <c r="ASH307" s="205"/>
      <c r="ASI307" s="33"/>
      <c r="ASJ307" s="37"/>
      <c r="ASK307" s="37"/>
      <c r="ASL307" s="37"/>
      <c r="ASM307" s="37"/>
      <c r="ASN307" s="37"/>
      <c r="ASO307" s="33"/>
      <c r="ASP307" s="206"/>
      <c r="ASQ307" s="207"/>
      <c r="ASR307" s="204"/>
      <c r="ASS307" s="35"/>
      <c r="AST307" s="202"/>
      <c r="ASU307" s="203"/>
      <c r="ASV307" s="36"/>
      <c r="ASW307" s="36"/>
      <c r="ASX307" s="205"/>
      <c r="ASY307" s="33"/>
      <c r="ASZ307" s="37"/>
      <c r="ATA307" s="37"/>
      <c r="ATB307" s="37"/>
      <c r="ATC307" s="37"/>
      <c r="ATD307" s="37"/>
      <c r="ATE307" s="33"/>
      <c r="ATF307" s="206"/>
      <c r="ATG307" s="207"/>
      <c r="ATH307" s="204"/>
      <c r="ATI307" s="35"/>
      <c r="ATJ307" s="202"/>
      <c r="ATK307" s="203"/>
      <c r="ATL307" s="36"/>
      <c r="ATM307" s="36"/>
      <c r="ATN307" s="205"/>
      <c r="ATO307" s="33"/>
      <c r="ATP307" s="37"/>
      <c r="ATQ307" s="37"/>
      <c r="ATR307" s="37"/>
      <c r="ATS307" s="37"/>
      <c r="ATT307" s="37"/>
      <c r="ATU307" s="33"/>
      <c r="ATV307" s="206"/>
      <c r="ATW307" s="207"/>
      <c r="ATX307" s="204"/>
      <c r="ATY307" s="35"/>
      <c r="ATZ307" s="202"/>
      <c r="AUA307" s="203"/>
      <c r="AUB307" s="36"/>
      <c r="AUC307" s="36"/>
      <c r="AUD307" s="205"/>
      <c r="AUE307" s="33"/>
      <c r="AUF307" s="37"/>
      <c r="AUG307" s="37"/>
      <c r="AUH307" s="37"/>
      <c r="AUI307" s="37"/>
      <c r="AUJ307" s="37"/>
      <c r="AUK307" s="33"/>
      <c r="AUL307" s="206"/>
      <c r="AUM307" s="207"/>
      <c r="AUN307" s="204"/>
      <c r="AUO307" s="35"/>
      <c r="AUP307" s="202"/>
      <c r="AUQ307" s="203"/>
      <c r="AUR307" s="36"/>
      <c r="AUS307" s="36"/>
      <c r="AUT307" s="205"/>
      <c r="AUU307" s="33"/>
      <c r="AUV307" s="37"/>
      <c r="AUW307" s="37"/>
      <c r="AUX307" s="37"/>
      <c r="AUY307" s="37"/>
      <c r="AUZ307" s="37"/>
      <c r="AVA307" s="33"/>
      <c r="AVB307" s="206"/>
      <c r="AVC307" s="207"/>
      <c r="AVD307" s="204"/>
      <c r="AVE307" s="35"/>
      <c r="AVF307" s="202"/>
      <c r="AVG307" s="203"/>
      <c r="AVH307" s="36"/>
      <c r="AVI307" s="36"/>
      <c r="AVJ307" s="205"/>
      <c r="AVK307" s="33"/>
      <c r="AVL307" s="37"/>
      <c r="AVM307" s="37"/>
      <c r="AVN307" s="37"/>
      <c r="AVO307" s="37"/>
      <c r="AVP307" s="37"/>
      <c r="AVQ307" s="33"/>
      <c r="AVR307" s="206"/>
      <c r="AVS307" s="207"/>
      <c r="AVT307" s="204"/>
      <c r="AVU307" s="35"/>
      <c r="AVV307" s="202"/>
      <c r="AVW307" s="203"/>
      <c r="AVX307" s="36"/>
      <c r="AVY307" s="36"/>
      <c r="AVZ307" s="205"/>
      <c r="AWA307" s="33"/>
      <c r="AWB307" s="37"/>
      <c r="AWC307" s="37"/>
      <c r="AWD307" s="37"/>
      <c r="AWE307" s="37"/>
      <c r="AWF307" s="37"/>
      <c r="AWG307" s="33"/>
      <c r="AWH307" s="206"/>
      <c r="AWI307" s="207"/>
      <c r="AWJ307" s="204"/>
      <c r="AWK307" s="35"/>
      <c r="AWL307" s="202"/>
      <c r="AWM307" s="203"/>
      <c r="AWN307" s="36"/>
      <c r="AWO307" s="36"/>
      <c r="AWP307" s="205"/>
      <c r="AWQ307" s="33"/>
      <c r="AWR307" s="37"/>
      <c r="AWS307" s="37"/>
      <c r="AWT307" s="37"/>
      <c r="AWU307" s="37"/>
      <c r="AWV307" s="37"/>
      <c r="AWW307" s="33"/>
      <c r="AWX307" s="206"/>
      <c r="AWY307" s="207"/>
      <c r="AWZ307" s="204"/>
      <c r="AXA307" s="35"/>
      <c r="AXB307" s="202"/>
      <c r="AXC307" s="203"/>
      <c r="AXD307" s="36"/>
      <c r="AXE307" s="36"/>
      <c r="AXF307" s="205"/>
      <c r="AXG307" s="33"/>
      <c r="AXH307" s="37"/>
      <c r="AXI307" s="37"/>
      <c r="AXJ307" s="37"/>
      <c r="AXK307" s="37"/>
      <c r="AXL307" s="37"/>
      <c r="AXM307" s="33"/>
      <c r="AXN307" s="206"/>
      <c r="AXO307" s="207"/>
      <c r="AXP307" s="204"/>
      <c r="AXQ307" s="35"/>
      <c r="AXR307" s="202"/>
      <c r="AXS307" s="203"/>
      <c r="AXT307" s="36"/>
      <c r="AXU307" s="36"/>
      <c r="AXV307" s="205"/>
      <c r="AXW307" s="33"/>
      <c r="AXX307" s="37"/>
      <c r="AXY307" s="37"/>
      <c r="AXZ307" s="37"/>
      <c r="AYA307" s="37"/>
      <c r="AYB307" s="37"/>
      <c r="AYC307" s="33"/>
      <c r="AYD307" s="206"/>
      <c r="AYE307" s="207"/>
      <c r="AYF307" s="204"/>
      <c r="AYG307" s="35"/>
      <c r="AYH307" s="202"/>
      <c r="AYI307" s="203"/>
      <c r="AYJ307" s="36"/>
      <c r="AYK307" s="36"/>
      <c r="AYL307" s="205"/>
      <c r="AYM307" s="33"/>
      <c r="AYN307" s="37"/>
      <c r="AYO307" s="37"/>
      <c r="AYP307" s="37"/>
      <c r="AYQ307" s="37"/>
      <c r="AYR307" s="37"/>
      <c r="AYS307" s="33"/>
      <c r="AYT307" s="206"/>
      <c r="AYU307" s="207"/>
      <c r="AYV307" s="204"/>
      <c r="AYW307" s="35"/>
      <c r="AYX307" s="202"/>
      <c r="AYY307" s="203"/>
      <c r="AYZ307" s="36"/>
      <c r="AZA307" s="36"/>
      <c r="AZB307" s="205"/>
      <c r="AZC307" s="33"/>
      <c r="AZD307" s="37"/>
      <c r="AZE307" s="37"/>
      <c r="AZF307" s="37"/>
      <c r="AZG307" s="37"/>
      <c r="AZH307" s="37"/>
      <c r="AZI307" s="33"/>
      <c r="AZJ307" s="206"/>
      <c r="AZK307" s="207"/>
      <c r="AZL307" s="204"/>
      <c r="AZM307" s="35"/>
      <c r="AZN307" s="202"/>
      <c r="AZO307" s="203"/>
      <c r="AZP307" s="36"/>
      <c r="AZQ307" s="36"/>
      <c r="AZR307" s="205"/>
      <c r="AZS307" s="33"/>
      <c r="AZT307" s="37"/>
      <c r="AZU307" s="37"/>
      <c r="AZV307" s="37"/>
      <c r="AZW307" s="37"/>
      <c r="AZX307" s="37"/>
      <c r="AZY307" s="33"/>
      <c r="AZZ307" s="206"/>
      <c r="BAA307" s="207"/>
      <c r="BAB307" s="204"/>
      <c r="BAC307" s="35"/>
      <c r="BAD307" s="202"/>
      <c r="BAE307" s="203"/>
      <c r="BAF307" s="36"/>
      <c r="BAG307" s="36"/>
      <c r="BAH307" s="205"/>
      <c r="BAI307" s="33"/>
      <c r="BAJ307" s="37"/>
      <c r="BAK307" s="37"/>
      <c r="BAL307" s="37"/>
      <c r="BAM307" s="37"/>
      <c r="BAN307" s="37"/>
      <c r="BAO307" s="33"/>
      <c r="BAP307" s="206"/>
      <c r="BAQ307" s="207"/>
      <c r="BAR307" s="204"/>
      <c r="BAS307" s="35"/>
      <c r="BAT307" s="202"/>
      <c r="BAU307" s="203"/>
      <c r="BAV307" s="36"/>
      <c r="BAW307" s="36"/>
      <c r="BAX307" s="205"/>
      <c r="BAY307" s="33"/>
      <c r="BAZ307" s="37"/>
      <c r="BBA307" s="37"/>
      <c r="BBB307" s="37"/>
      <c r="BBC307" s="37"/>
      <c r="BBD307" s="37"/>
      <c r="BBE307" s="33"/>
      <c r="BBF307" s="206"/>
      <c r="BBG307" s="207"/>
      <c r="BBH307" s="204"/>
      <c r="BBI307" s="35"/>
      <c r="BBJ307" s="202"/>
      <c r="BBK307" s="203"/>
      <c r="BBL307" s="36"/>
      <c r="BBM307" s="36"/>
      <c r="BBN307" s="205"/>
      <c r="BBO307" s="33"/>
      <c r="BBP307" s="37"/>
      <c r="BBQ307" s="37"/>
      <c r="BBR307" s="37"/>
      <c r="BBS307" s="37"/>
      <c r="BBT307" s="37"/>
      <c r="BBU307" s="33"/>
      <c r="BBV307" s="206"/>
      <c r="BBW307" s="207"/>
      <c r="BBX307" s="204"/>
      <c r="BBY307" s="35"/>
      <c r="BBZ307" s="202"/>
      <c r="BCA307" s="203"/>
      <c r="BCB307" s="36"/>
      <c r="BCC307" s="36"/>
      <c r="BCD307" s="205"/>
      <c r="BCE307" s="33"/>
      <c r="BCF307" s="37"/>
      <c r="BCG307" s="37"/>
      <c r="BCH307" s="37"/>
      <c r="BCI307" s="37"/>
      <c r="BCJ307" s="37"/>
      <c r="BCK307" s="33"/>
      <c r="BCL307" s="206"/>
      <c r="BCM307" s="207"/>
      <c r="BCN307" s="204"/>
      <c r="BCO307" s="35"/>
      <c r="BCP307" s="202"/>
      <c r="BCQ307" s="203"/>
      <c r="BCR307" s="36"/>
      <c r="BCS307" s="36"/>
      <c r="BCT307" s="205"/>
      <c r="BCU307" s="33"/>
      <c r="BCV307" s="37"/>
      <c r="BCW307" s="37"/>
      <c r="BCX307" s="37"/>
      <c r="BCY307" s="37"/>
      <c r="BCZ307" s="37"/>
      <c r="BDA307" s="33"/>
      <c r="BDB307" s="206"/>
      <c r="BDC307" s="207"/>
      <c r="BDD307" s="204"/>
      <c r="BDE307" s="35"/>
      <c r="BDF307" s="202"/>
      <c r="BDG307" s="203"/>
      <c r="BDH307" s="36"/>
      <c r="BDI307" s="36"/>
      <c r="BDJ307" s="205"/>
      <c r="BDK307" s="33"/>
      <c r="BDL307" s="37"/>
      <c r="BDM307" s="37"/>
      <c r="BDN307" s="37"/>
      <c r="BDO307" s="37"/>
      <c r="BDP307" s="37"/>
      <c r="BDQ307" s="33"/>
      <c r="BDR307" s="206"/>
      <c r="BDS307" s="207"/>
      <c r="BDT307" s="204"/>
      <c r="BDU307" s="35"/>
      <c r="BDV307" s="202"/>
      <c r="BDW307" s="203"/>
      <c r="BDX307" s="36"/>
      <c r="BDY307" s="36"/>
      <c r="BDZ307" s="205"/>
      <c r="BEA307" s="33"/>
      <c r="BEB307" s="37"/>
      <c r="BEC307" s="37"/>
      <c r="BED307" s="37"/>
      <c r="BEE307" s="37"/>
      <c r="BEF307" s="37"/>
      <c r="BEG307" s="33"/>
      <c r="BEH307" s="206"/>
      <c r="BEI307" s="207"/>
      <c r="BEJ307" s="204"/>
      <c r="BEK307" s="35"/>
      <c r="BEL307" s="202"/>
      <c r="BEM307" s="203"/>
      <c r="BEN307" s="36"/>
      <c r="BEO307" s="36"/>
      <c r="BEP307" s="205"/>
      <c r="BEQ307" s="33"/>
      <c r="BER307" s="37"/>
      <c r="BES307" s="37"/>
      <c r="BET307" s="37"/>
      <c r="BEU307" s="37"/>
      <c r="BEV307" s="37"/>
      <c r="BEW307" s="33"/>
      <c r="BEX307" s="206"/>
      <c r="BEY307" s="207"/>
      <c r="BEZ307" s="204"/>
      <c r="BFA307" s="35"/>
      <c r="BFB307" s="202"/>
      <c r="BFC307" s="203"/>
      <c r="BFD307" s="36"/>
      <c r="BFE307" s="36"/>
      <c r="BFF307" s="205"/>
      <c r="BFG307" s="33"/>
      <c r="BFH307" s="37"/>
      <c r="BFI307" s="37"/>
      <c r="BFJ307" s="37"/>
      <c r="BFK307" s="37"/>
      <c r="BFL307" s="37"/>
      <c r="BFM307" s="33"/>
      <c r="BFN307" s="206"/>
      <c r="BFO307" s="207"/>
      <c r="BFP307" s="204"/>
      <c r="BFQ307" s="35"/>
      <c r="BFR307" s="202"/>
      <c r="BFS307" s="203"/>
      <c r="BFT307" s="36"/>
      <c r="BFU307" s="36"/>
      <c r="BFV307" s="205"/>
      <c r="BFW307" s="33"/>
      <c r="BFX307" s="37"/>
      <c r="BFY307" s="37"/>
      <c r="BFZ307" s="37"/>
      <c r="BGA307" s="37"/>
      <c r="BGB307" s="37"/>
      <c r="BGC307" s="33"/>
      <c r="BGD307" s="206"/>
      <c r="BGE307" s="207"/>
      <c r="BGF307" s="204"/>
      <c r="BGG307" s="35"/>
      <c r="BGH307" s="202"/>
      <c r="BGI307" s="203"/>
      <c r="BGJ307" s="36"/>
      <c r="BGK307" s="36"/>
      <c r="BGL307" s="205"/>
      <c r="BGM307" s="33"/>
      <c r="BGN307" s="37"/>
      <c r="BGO307" s="37"/>
      <c r="BGP307" s="37"/>
      <c r="BGQ307" s="37"/>
      <c r="BGR307" s="37"/>
      <c r="BGS307" s="33"/>
      <c r="BGT307" s="206"/>
      <c r="BGU307" s="207"/>
      <c r="BGV307" s="204"/>
      <c r="BGW307" s="35"/>
      <c r="BGX307" s="202"/>
      <c r="BGY307" s="203"/>
      <c r="BGZ307" s="36"/>
      <c r="BHA307" s="36"/>
      <c r="BHB307" s="205"/>
      <c r="BHC307" s="33"/>
      <c r="BHD307" s="37"/>
      <c r="BHE307" s="37"/>
      <c r="BHF307" s="37"/>
      <c r="BHG307" s="37"/>
      <c r="BHH307" s="37"/>
      <c r="BHI307" s="33"/>
      <c r="BHJ307" s="206"/>
      <c r="BHK307" s="207"/>
      <c r="BHL307" s="204"/>
      <c r="BHM307" s="35"/>
      <c r="BHN307" s="202"/>
      <c r="BHO307" s="203"/>
      <c r="BHP307" s="36"/>
      <c r="BHQ307" s="36"/>
      <c r="BHR307" s="205"/>
      <c r="BHS307" s="33"/>
      <c r="BHT307" s="37"/>
      <c r="BHU307" s="37"/>
      <c r="BHV307" s="37"/>
      <c r="BHW307" s="37"/>
      <c r="BHX307" s="37"/>
      <c r="BHY307" s="33"/>
      <c r="BHZ307" s="206"/>
      <c r="BIA307" s="207"/>
      <c r="BIB307" s="204"/>
      <c r="BIC307" s="35"/>
      <c r="BID307" s="202"/>
      <c r="BIE307" s="203"/>
      <c r="BIF307" s="36"/>
      <c r="BIG307" s="36"/>
      <c r="BIH307" s="205"/>
      <c r="BII307" s="33"/>
      <c r="BIJ307" s="37"/>
      <c r="BIK307" s="37"/>
      <c r="BIL307" s="37"/>
      <c r="BIM307" s="37"/>
      <c r="BIN307" s="37"/>
      <c r="BIO307" s="33"/>
      <c r="BIP307" s="206"/>
      <c r="BIQ307" s="207"/>
      <c r="BIR307" s="204"/>
      <c r="BIS307" s="35"/>
      <c r="BIT307" s="202"/>
      <c r="BIU307" s="203"/>
      <c r="BIV307" s="36"/>
      <c r="BIW307" s="36"/>
      <c r="BIX307" s="205"/>
      <c r="BIY307" s="33"/>
      <c r="BIZ307" s="37"/>
      <c r="BJA307" s="37"/>
      <c r="BJB307" s="37"/>
      <c r="BJC307" s="37"/>
      <c r="BJD307" s="37"/>
      <c r="BJE307" s="33"/>
      <c r="BJF307" s="206"/>
      <c r="BJG307" s="207"/>
      <c r="BJH307" s="204"/>
      <c r="BJI307" s="35"/>
      <c r="BJJ307" s="202"/>
      <c r="BJK307" s="203"/>
      <c r="BJL307" s="36"/>
      <c r="BJM307" s="36"/>
      <c r="BJN307" s="205"/>
      <c r="BJO307" s="33"/>
      <c r="BJP307" s="37"/>
      <c r="BJQ307" s="37"/>
      <c r="BJR307" s="37"/>
      <c r="BJS307" s="37"/>
      <c r="BJT307" s="37"/>
      <c r="BJU307" s="33"/>
      <c r="BJV307" s="206"/>
      <c r="BJW307" s="207"/>
      <c r="BJX307" s="204"/>
      <c r="BJY307" s="35"/>
      <c r="BJZ307" s="202"/>
      <c r="BKA307" s="203"/>
      <c r="BKB307" s="36"/>
      <c r="BKC307" s="36"/>
      <c r="BKD307" s="205"/>
      <c r="BKE307" s="33"/>
      <c r="BKF307" s="37"/>
      <c r="BKG307" s="37"/>
      <c r="BKH307" s="37"/>
      <c r="BKI307" s="37"/>
      <c r="BKJ307" s="37"/>
      <c r="BKK307" s="33"/>
      <c r="BKL307" s="206"/>
      <c r="BKM307" s="207"/>
      <c r="BKN307" s="204"/>
      <c r="BKO307" s="35"/>
      <c r="BKP307" s="202"/>
      <c r="BKQ307" s="203"/>
      <c r="BKR307" s="36"/>
      <c r="BKS307" s="36"/>
      <c r="BKT307" s="205"/>
      <c r="BKU307" s="33"/>
      <c r="BKV307" s="37"/>
      <c r="BKW307" s="37"/>
      <c r="BKX307" s="37"/>
      <c r="BKY307" s="37"/>
      <c r="BKZ307" s="37"/>
      <c r="BLA307" s="33"/>
      <c r="BLB307" s="206"/>
      <c r="BLC307" s="207"/>
      <c r="BLD307" s="204"/>
      <c r="BLE307" s="35"/>
      <c r="BLF307" s="202"/>
      <c r="BLG307" s="203"/>
      <c r="BLH307" s="36"/>
      <c r="BLI307" s="36"/>
      <c r="BLJ307" s="205"/>
      <c r="BLK307" s="33"/>
      <c r="BLL307" s="37"/>
      <c r="BLM307" s="37"/>
      <c r="BLN307" s="37"/>
      <c r="BLO307" s="37"/>
      <c r="BLP307" s="37"/>
      <c r="BLQ307" s="33"/>
      <c r="BLR307" s="206"/>
      <c r="BLS307" s="207"/>
      <c r="BLT307" s="204"/>
      <c r="BLU307" s="35"/>
      <c r="BLV307" s="202"/>
      <c r="BLW307" s="203"/>
      <c r="BLX307" s="36"/>
      <c r="BLY307" s="36"/>
      <c r="BLZ307" s="205"/>
      <c r="BMA307" s="33"/>
      <c r="BMB307" s="37"/>
      <c r="BMC307" s="37"/>
      <c r="BMD307" s="37"/>
      <c r="BME307" s="37"/>
      <c r="BMF307" s="37"/>
      <c r="BMG307" s="33"/>
      <c r="BMH307" s="206"/>
      <c r="BMI307" s="207"/>
      <c r="BMJ307" s="204"/>
      <c r="BMK307" s="35"/>
      <c r="BML307" s="202"/>
      <c r="BMM307" s="203"/>
      <c r="BMN307" s="36"/>
      <c r="BMO307" s="36"/>
      <c r="BMP307" s="205"/>
      <c r="BMQ307" s="33"/>
      <c r="BMR307" s="37"/>
      <c r="BMS307" s="37"/>
      <c r="BMT307" s="37"/>
      <c r="BMU307" s="37"/>
      <c r="BMV307" s="37"/>
      <c r="BMW307" s="33"/>
      <c r="BMX307" s="206"/>
      <c r="BMY307" s="207"/>
      <c r="BMZ307" s="204"/>
      <c r="BNA307" s="35"/>
      <c r="BNB307" s="202"/>
      <c r="BNC307" s="203"/>
      <c r="BND307" s="36"/>
      <c r="BNE307" s="36"/>
      <c r="BNF307" s="205"/>
      <c r="BNG307" s="33"/>
      <c r="BNH307" s="37"/>
      <c r="BNI307" s="37"/>
      <c r="BNJ307" s="37"/>
      <c r="BNK307" s="37"/>
      <c r="BNL307" s="37"/>
      <c r="BNM307" s="33"/>
      <c r="BNN307" s="206"/>
      <c r="BNO307" s="207"/>
      <c r="BNP307" s="204"/>
      <c r="BNQ307" s="35"/>
      <c r="BNR307" s="202"/>
      <c r="BNS307" s="203"/>
      <c r="BNT307" s="36"/>
      <c r="BNU307" s="36"/>
      <c r="BNV307" s="205"/>
      <c r="BNW307" s="33"/>
      <c r="BNX307" s="37"/>
      <c r="BNY307" s="37"/>
      <c r="BNZ307" s="37"/>
      <c r="BOA307" s="37"/>
      <c r="BOB307" s="37"/>
      <c r="BOC307" s="33"/>
      <c r="BOD307" s="206"/>
      <c r="BOE307" s="207"/>
      <c r="BOF307" s="204"/>
      <c r="BOG307" s="35"/>
      <c r="BOH307" s="202"/>
      <c r="BOI307" s="203"/>
      <c r="BOJ307" s="36"/>
      <c r="BOK307" s="36"/>
      <c r="BOL307" s="205"/>
      <c r="BOM307" s="33"/>
      <c r="BON307" s="37"/>
      <c r="BOO307" s="37"/>
      <c r="BOP307" s="37"/>
      <c r="BOQ307" s="37"/>
      <c r="BOR307" s="37"/>
      <c r="BOS307" s="33"/>
      <c r="BOT307" s="206"/>
      <c r="BOU307" s="207"/>
      <c r="BOV307" s="204"/>
      <c r="BOW307" s="35"/>
      <c r="BOX307" s="202"/>
      <c r="BOY307" s="203"/>
      <c r="BOZ307" s="36"/>
      <c r="BPA307" s="36"/>
      <c r="BPB307" s="205"/>
      <c r="BPC307" s="33"/>
      <c r="BPD307" s="37"/>
      <c r="BPE307" s="37"/>
      <c r="BPF307" s="37"/>
      <c r="BPG307" s="37"/>
      <c r="BPH307" s="37"/>
      <c r="BPI307" s="33"/>
      <c r="BPJ307" s="206"/>
      <c r="BPK307" s="207"/>
      <c r="BPL307" s="204"/>
      <c r="BPM307" s="35"/>
      <c r="BPN307" s="202"/>
      <c r="BPO307" s="203"/>
      <c r="BPP307" s="36"/>
      <c r="BPQ307" s="36"/>
      <c r="BPR307" s="205"/>
      <c r="BPS307" s="33"/>
      <c r="BPT307" s="37"/>
      <c r="BPU307" s="37"/>
      <c r="BPV307" s="37"/>
      <c r="BPW307" s="37"/>
      <c r="BPX307" s="37"/>
      <c r="BPY307" s="33"/>
      <c r="BPZ307" s="206"/>
      <c r="BQA307" s="207"/>
      <c r="BQB307" s="204"/>
      <c r="BQC307" s="35"/>
      <c r="BQD307" s="202"/>
      <c r="BQE307" s="203"/>
      <c r="BQF307" s="36"/>
      <c r="BQG307" s="36"/>
      <c r="BQH307" s="205"/>
      <c r="BQI307" s="33"/>
      <c r="BQJ307" s="37"/>
      <c r="BQK307" s="37"/>
      <c r="BQL307" s="37"/>
      <c r="BQM307" s="37"/>
      <c r="BQN307" s="37"/>
      <c r="BQO307" s="33"/>
      <c r="BQP307" s="206"/>
      <c r="BQQ307" s="207"/>
      <c r="BQR307" s="204"/>
      <c r="BQS307" s="35"/>
      <c r="BQT307" s="202"/>
      <c r="BQU307" s="203"/>
      <c r="BQV307" s="36"/>
      <c r="BQW307" s="36"/>
      <c r="BQX307" s="205"/>
      <c r="BQY307" s="33"/>
      <c r="BQZ307" s="37"/>
      <c r="BRA307" s="37"/>
      <c r="BRB307" s="37"/>
      <c r="BRC307" s="37"/>
      <c r="BRD307" s="37"/>
      <c r="BRE307" s="33"/>
      <c r="BRF307" s="206"/>
      <c r="BRG307" s="207"/>
      <c r="BRH307" s="204"/>
      <c r="BRI307" s="35"/>
      <c r="BRJ307" s="202"/>
      <c r="BRK307" s="203"/>
      <c r="BRL307" s="36"/>
      <c r="BRM307" s="36"/>
      <c r="BRN307" s="205"/>
      <c r="BRO307" s="33"/>
      <c r="BRP307" s="37"/>
      <c r="BRQ307" s="37"/>
      <c r="BRR307" s="37"/>
      <c r="BRS307" s="37"/>
      <c r="BRT307" s="37"/>
      <c r="BRU307" s="33"/>
      <c r="BRV307" s="206"/>
      <c r="BRW307" s="207"/>
      <c r="BRX307" s="204"/>
      <c r="BRY307" s="35"/>
      <c r="BRZ307" s="202"/>
      <c r="BSA307" s="203"/>
      <c r="BSB307" s="36"/>
      <c r="BSC307" s="36"/>
      <c r="BSD307" s="205"/>
      <c r="BSE307" s="33"/>
      <c r="BSF307" s="37"/>
      <c r="BSG307" s="37"/>
      <c r="BSH307" s="37"/>
      <c r="BSI307" s="37"/>
      <c r="BSJ307" s="37"/>
      <c r="BSK307" s="33"/>
      <c r="BSL307" s="206"/>
      <c r="BSM307" s="207"/>
      <c r="BSN307" s="204"/>
      <c r="BSO307" s="35"/>
      <c r="BSP307" s="202"/>
      <c r="BSQ307" s="203"/>
      <c r="BSR307" s="36"/>
      <c r="BSS307" s="36"/>
      <c r="BST307" s="205"/>
      <c r="BSU307" s="33"/>
      <c r="BSV307" s="37"/>
      <c r="BSW307" s="37"/>
      <c r="BSX307" s="37"/>
      <c r="BSY307" s="37"/>
      <c r="BSZ307" s="37"/>
      <c r="BTA307" s="33"/>
      <c r="BTB307" s="206"/>
      <c r="BTC307" s="207"/>
      <c r="BTD307" s="204"/>
      <c r="BTE307" s="35"/>
      <c r="BTF307" s="202"/>
      <c r="BTG307" s="203"/>
      <c r="BTH307" s="36"/>
      <c r="BTI307" s="36"/>
      <c r="BTJ307" s="205"/>
      <c r="BTK307" s="33"/>
      <c r="BTL307" s="37"/>
      <c r="BTM307" s="37"/>
      <c r="BTN307" s="37"/>
      <c r="BTO307" s="37"/>
      <c r="BTP307" s="37"/>
      <c r="BTQ307" s="33"/>
      <c r="BTR307" s="206"/>
      <c r="BTS307" s="207"/>
      <c r="BTT307" s="204"/>
      <c r="BTU307" s="35"/>
      <c r="BTV307" s="202"/>
      <c r="BTW307" s="203"/>
      <c r="BTX307" s="36"/>
      <c r="BTY307" s="36"/>
      <c r="BTZ307" s="205"/>
      <c r="BUA307" s="33"/>
      <c r="BUB307" s="37"/>
      <c r="BUC307" s="37"/>
      <c r="BUD307" s="37"/>
      <c r="BUE307" s="37"/>
      <c r="BUF307" s="37"/>
      <c r="BUG307" s="33"/>
      <c r="BUH307" s="206"/>
      <c r="BUI307" s="207"/>
      <c r="BUJ307" s="204"/>
      <c r="BUK307" s="35"/>
      <c r="BUL307" s="202"/>
      <c r="BUM307" s="203"/>
      <c r="BUN307" s="36"/>
      <c r="BUO307" s="36"/>
      <c r="BUP307" s="205"/>
      <c r="BUQ307" s="33"/>
      <c r="BUR307" s="37"/>
      <c r="BUS307" s="37"/>
      <c r="BUT307" s="37"/>
      <c r="BUU307" s="37"/>
      <c r="BUV307" s="37"/>
      <c r="BUW307" s="33"/>
      <c r="BUX307" s="206"/>
      <c r="BUY307" s="207"/>
      <c r="BUZ307" s="204"/>
      <c r="BVA307" s="35"/>
      <c r="BVB307" s="202"/>
      <c r="BVC307" s="203"/>
      <c r="BVD307" s="36"/>
      <c r="BVE307" s="36"/>
      <c r="BVF307" s="205"/>
      <c r="BVG307" s="33"/>
      <c r="BVH307" s="37"/>
      <c r="BVI307" s="37"/>
      <c r="BVJ307" s="37"/>
      <c r="BVK307" s="37"/>
      <c r="BVL307" s="37"/>
      <c r="BVM307" s="33"/>
      <c r="BVN307" s="206"/>
      <c r="BVO307" s="207"/>
      <c r="BVP307" s="204"/>
      <c r="BVQ307" s="35"/>
      <c r="BVR307" s="202"/>
      <c r="BVS307" s="203"/>
      <c r="BVT307" s="36"/>
      <c r="BVU307" s="36"/>
      <c r="BVV307" s="205"/>
      <c r="BVW307" s="33"/>
      <c r="BVX307" s="37"/>
      <c r="BVY307" s="37"/>
      <c r="BVZ307" s="37"/>
      <c r="BWA307" s="37"/>
      <c r="BWB307" s="37"/>
      <c r="BWC307" s="33"/>
      <c r="BWD307" s="206"/>
      <c r="BWE307" s="207"/>
      <c r="BWF307" s="204"/>
      <c r="BWG307" s="35"/>
      <c r="BWH307" s="202"/>
      <c r="BWI307" s="203"/>
      <c r="BWJ307" s="36"/>
      <c r="BWK307" s="36"/>
      <c r="BWL307" s="205"/>
      <c r="BWM307" s="33"/>
      <c r="BWN307" s="37"/>
      <c r="BWO307" s="37"/>
      <c r="BWP307" s="37"/>
      <c r="BWQ307" s="37"/>
      <c r="BWR307" s="37"/>
      <c r="BWS307" s="33"/>
      <c r="BWT307" s="206"/>
      <c r="BWU307" s="207"/>
      <c r="BWV307" s="204"/>
      <c r="BWW307" s="35"/>
      <c r="BWX307" s="202"/>
      <c r="BWY307" s="203"/>
      <c r="BWZ307" s="36"/>
      <c r="BXA307" s="36"/>
      <c r="BXB307" s="205"/>
      <c r="BXC307" s="33"/>
      <c r="BXD307" s="37"/>
      <c r="BXE307" s="37"/>
      <c r="BXF307" s="37"/>
      <c r="BXG307" s="37"/>
      <c r="BXH307" s="37"/>
      <c r="BXI307" s="33"/>
      <c r="BXJ307" s="206"/>
      <c r="BXK307" s="207"/>
      <c r="BXL307" s="204"/>
      <c r="BXM307" s="35"/>
      <c r="BXN307" s="202"/>
      <c r="BXO307" s="203"/>
      <c r="BXP307" s="36"/>
      <c r="BXQ307" s="36"/>
      <c r="BXR307" s="205"/>
      <c r="BXS307" s="33"/>
      <c r="BXT307" s="37"/>
      <c r="BXU307" s="37"/>
      <c r="BXV307" s="37"/>
      <c r="BXW307" s="37"/>
      <c r="BXX307" s="37"/>
      <c r="BXY307" s="33"/>
      <c r="BXZ307" s="206"/>
      <c r="BYA307" s="207"/>
      <c r="BYB307" s="204"/>
      <c r="BYC307" s="35"/>
      <c r="BYD307" s="202"/>
      <c r="BYE307" s="203"/>
      <c r="BYF307" s="36"/>
      <c r="BYG307" s="36"/>
      <c r="BYH307" s="205"/>
      <c r="BYI307" s="33"/>
      <c r="BYJ307" s="37"/>
      <c r="BYK307" s="37"/>
      <c r="BYL307" s="37"/>
      <c r="BYM307" s="37"/>
      <c r="BYN307" s="37"/>
      <c r="BYO307" s="33"/>
      <c r="BYP307" s="206"/>
      <c r="BYQ307" s="207"/>
      <c r="BYR307" s="204"/>
      <c r="BYS307" s="35"/>
      <c r="BYT307" s="202"/>
      <c r="BYU307" s="203"/>
      <c r="BYV307" s="36"/>
      <c r="BYW307" s="36"/>
      <c r="BYX307" s="205"/>
      <c r="BYY307" s="33"/>
      <c r="BYZ307" s="37"/>
      <c r="BZA307" s="37"/>
      <c r="BZB307" s="37"/>
      <c r="BZC307" s="37"/>
      <c r="BZD307" s="37"/>
      <c r="BZE307" s="33"/>
      <c r="BZF307" s="206"/>
      <c r="BZG307" s="207"/>
      <c r="BZH307" s="204"/>
      <c r="BZI307" s="35"/>
      <c r="BZJ307" s="202"/>
      <c r="BZK307" s="203"/>
      <c r="BZL307" s="36"/>
      <c r="BZM307" s="36"/>
      <c r="BZN307" s="205"/>
      <c r="BZO307" s="33"/>
      <c r="BZP307" s="37"/>
      <c r="BZQ307" s="37"/>
      <c r="BZR307" s="37"/>
      <c r="BZS307" s="37"/>
      <c r="BZT307" s="37"/>
      <c r="BZU307" s="33"/>
      <c r="BZV307" s="206"/>
      <c r="BZW307" s="207"/>
      <c r="BZX307" s="204"/>
      <c r="BZY307" s="35"/>
      <c r="BZZ307" s="202"/>
      <c r="CAA307" s="203"/>
      <c r="CAB307" s="36"/>
      <c r="CAC307" s="36"/>
      <c r="CAD307" s="205"/>
      <c r="CAE307" s="33"/>
      <c r="CAF307" s="37"/>
      <c r="CAG307" s="37"/>
      <c r="CAH307" s="37"/>
      <c r="CAI307" s="37"/>
      <c r="CAJ307" s="37"/>
      <c r="CAK307" s="33"/>
      <c r="CAL307" s="206"/>
      <c r="CAM307" s="207"/>
      <c r="CAN307" s="204"/>
      <c r="CAO307" s="35"/>
      <c r="CAP307" s="202"/>
      <c r="CAQ307" s="203"/>
      <c r="CAR307" s="36"/>
      <c r="CAS307" s="36"/>
      <c r="CAT307" s="205"/>
      <c r="CAU307" s="33"/>
      <c r="CAV307" s="37"/>
      <c r="CAW307" s="37"/>
      <c r="CAX307" s="37"/>
      <c r="CAY307" s="37"/>
      <c r="CAZ307" s="37"/>
      <c r="CBA307" s="33"/>
      <c r="CBB307" s="206"/>
      <c r="CBC307" s="207"/>
      <c r="CBD307" s="204"/>
      <c r="CBE307" s="35"/>
      <c r="CBF307" s="202"/>
      <c r="CBG307" s="203"/>
      <c r="CBH307" s="36"/>
      <c r="CBI307" s="36"/>
      <c r="CBJ307" s="205"/>
      <c r="CBK307" s="33"/>
      <c r="CBL307" s="37"/>
      <c r="CBM307" s="37"/>
      <c r="CBN307" s="37"/>
      <c r="CBO307" s="37"/>
      <c r="CBP307" s="37"/>
      <c r="CBQ307" s="33"/>
      <c r="CBR307" s="206"/>
      <c r="CBS307" s="207"/>
      <c r="CBT307" s="204"/>
      <c r="CBU307" s="35"/>
      <c r="CBV307" s="202"/>
      <c r="CBW307" s="203"/>
      <c r="CBX307" s="36"/>
      <c r="CBY307" s="36"/>
      <c r="CBZ307" s="205"/>
      <c r="CCA307" s="33"/>
      <c r="CCB307" s="37"/>
      <c r="CCC307" s="37"/>
      <c r="CCD307" s="37"/>
      <c r="CCE307" s="37"/>
      <c r="CCF307" s="37"/>
      <c r="CCG307" s="33"/>
      <c r="CCH307" s="206"/>
      <c r="CCI307" s="207"/>
      <c r="CCJ307" s="204"/>
      <c r="CCK307" s="35"/>
      <c r="CCL307" s="202"/>
      <c r="CCM307" s="203"/>
      <c r="CCN307" s="36"/>
      <c r="CCO307" s="36"/>
      <c r="CCP307" s="205"/>
      <c r="CCQ307" s="33"/>
      <c r="CCR307" s="37"/>
      <c r="CCS307" s="37"/>
      <c r="CCT307" s="37"/>
      <c r="CCU307" s="37"/>
      <c r="CCV307" s="37"/>
      <c r="CCW307" s="33"/>
      <c r="CCX307" s="206"/>
      <c r="CCY307" s="207"/>
      <c r="CCZ307" s="204"/>
      <c r="CDA307" s="35"/>
      <c r="CDB307" s="202"/>
      <c r="CDC307" s="203"/>
      <c r="CDD307" s="36"/>
      <c r="CDE307" s="36"/>
      <c r="CDF307" s="205"/>
      <c r="CDG307" s="33"/>
      <c r="CDH307" s="37"/>
      <c r="CDI307" s="37"/>
      <c r="CDJ307" s="37"/>
      <c r="CDK307" s="37"/>
      <c r="CDL307" s="37"/>
      <c r="CDM307" s="33"/>
      <c r="CDN307" s="206"/>
      <c r="CDO307" s="207"/>
      <c r="CDP307" s="204"/>
      <c r="CDQ307" s="35"/>
      <c r="CDR307" s="202"/>
      <c r="CDS307" s="203"/>
      <c r="CDT307" s="36"/>
      <c r="CDU307" s="36"/>
      <c r="CDV307" s="205"/>
      <c r="CDW307" s="33"/>
      <c r="CDX307" s="37"/>
      <c r="CDY307" s="37"/>
      <c r="CDZ307" s="37"/>
      <c r="CEA307" s="37"/>
      <c r="CEB307" s="37"/>
      <c r="CEC307" s="33"/>
      <c r="CED307" s="206"/>
      <c r="CEE307" s="207"/>
      <c r="CEF307" s="204"/>
      <c r="CEG307" s="35"/>
      <c r="CEH307" s="202"/>
      <c r="CEI307" s="203"/>
      <c r="CEJ307" s="36"/>
      <c r="CEK307" s="36"/>
      <c r="CEL307" s="205"/>
      <c r="CEM307" s="33"/>
      <c r="CEN307" s="37"/>
      <c r="CEO307" s="37"/>
      <c r="CEP307" s="37"/>
      <c r="CEQ307" s="37"/>
      <c r="CER307" s="37"/>
      <c r="CES307" s="33"/>
      <c r="CET307" s="206"/>
      <c r="CEU307" s="207"/>
      <c r="CEV307" s="204"/>
      <c r="CEW307" s="35"/>
      <c r="CEX307" s="202"/>
      <c r="CEY307" s="203"/>
      <c r="CEZ307" s="36"/>
      <c r="CFA307" s="36"/>
      <c r="CFB307" s="205"/>
      <c r="CFC307" s="33"/>
      <c r="CFD307" s="37"/>
      <c r="CFE307" s="37"/>
      <c r="CFF307" s="37"/>
      <c r="CFG307" s="37"/>
      <c r="CFH307" s="37"/>
      <c r="CFI307" s="33"/>
      <c r="CFJ307" s="206"/>
      <c r="CFK307" s="207"/>
      <c r="CFL307" s="204"/>
      <c r="CFM307" s="35"/>
      <c r="CFN307" s="202"/>
      <c r="CFO307" s="203"/>
      <c r="CFP307" s="36"/>
      <c r="CFQ307" s="36"/>
      <c r="CFR307" s="205"/>
      <c r="CFS307" s="33"/>
      <c r="CFT307" s="37"/>
      <c r="CFU307" s="37"/>
      <c r="CFV307" s="37"/>
      <c r="CFW307" s="37"/>
      <c r="CFX307" s="37"/>
      <c r="CFY307" s="33"/>
      <c r="CFZ307" s="206"/>
      <c r="CGA307" s="207"/>
      <c r="CGB307" s="204"/>
      <c r="CGC307" s="35"/>
      <c r="CGD307" s="202"/>
      <c r="CGE307" s="203"/>
      <c r="CGF307" s="36"/>
      <c r="CGG307" s="36"/>
      <c r="CGH307" s="205"/>
      <c r="CGI307" s="33"/>
      <c r="CGJ307" s="37"/>
      <c r="CGK307" s="37"/>
      <c r="CGL307" s="37"/>
      <c r="CGM307" s="37"/>
      <c r="CGN307" s="37"/>
      <c r="CGO307" s="33"/>
      <c r="CGP307" s="206"/>
      <c r="CGQ307" s="207"/>
      <c r="CGR307" s="204"/>
      <c r="CGS307" s="35"/>
      <c r="CGT307" s="202"/>
      <c r="CGU307" s="203"/>
      <c r="CGV307" s="36"/>
      <c r="CGW307" s="36"/>
      <c r="CGX307" s="205"/>
      <c r="CGY307" s="33"/>
      <c r="CGZ307" s="37"/>
      <c r="CHA307" s="37"/>
      <c r="CHB307" s="37"/>
      <c r="CHC307" s="37"/>
      <c r="CHD307" s="37"/>
      <c r="CHE307" s="33"/>
      <c r="CHF307" s="206"/>
      <c r="CHG307" s="207"/>
      <c r="CHH307" s="204"/>
      <c r="CHI307" s="35"/>
      <c r="CHJ307" s="202"/>
      <c r="CHK307" s="203"/>
      <c r="CHL307" s="36"/>
      <c r="CHM307" s="36"/>
      <c r="CHN307" s="205"/>
      <c r="CHO307" s="33"/>
      <c r="CHP307" s="37"/>
      <c r="CHQ307" s="37"/>
      <c r="CHR307" s="37"/>
      <c r="CHS307" s="37"/>
      <c r="CHT307" s="37"/>
      <c r="CHU307" s="33"/>
      <c r="CHV307" s="206"/>
      <c r="CHW307" s="207"/>
      <c r="CHX307" s="204"/>
      <c r="CHY307" s="35"/>
      <c r="CHZ307" s="202"/>
      <c r="CIA307" s="203"/>
      <c r="CIB307" s="36"/>
      <c r="CIC307" s="36"/>
      <c r="CID307" s="205"/>
      <c r="CIE307" s="33"/>
      <c r="CIF307" s="37"/>
      <c r="CIG307" s="37"/>
      <c r="CIH307" s="37"/>
      <c r="CII307" s="37"/>
      <c r="CIJ307" s="37"/>
      <c r="CIK307" s="33"/>
      <c r="CIL307" s="206"/>
      <c r="CIM307" s="207"/>
      <c r="CIN307" s="204"/>
      <c r="CIO307" s="35"/>
      <c r="CIP307" s="202"/>
      <c r="CIQ307" s="203"/>
      <c r="CIR307" s="36"/>
      <c r="CIS307" s="36"/>
      <c r="CIT307" s="205"/>
      <c r="CIU307" s="33"/>
      <c r="CIV307" s="37"/>
      <c r="CIW307" s="37"/>
      <c r="CIX307" s="37"/>
      <c r="CIY307" s="37"/>
      <c r="CIZ307" s="37"/>
      <c r="CJA307" s="33"/>
      <c r="CJB307" s="206"/>
      <c r="CJC307" s="207"/>
      <c r="CJD307" s="204"/>
      <c r="CJE307" s="35"/>
      <c r="CJF307" s="202"/>
      <c r="CJG307" s="203"/>
      <c r="CJH307" s="36"/>
      <c r="CJI307" s="36"/>
      <c r="CJJ307" s="205"/>
      <c r="CJK307" s="33"/>
      <c r="CJL307" s="37"/>
      <c r="CJM307" s="37"/>
      <c r="CJN307" s="37"/>
      <c r="CJO307" s="37"/>
      <c r="CJP307" s="37"/>
      <c r="CJQ307" s="33"/>
      <c r="CJR307" s="206"/>
      <c r="CJS307" s="207"/>
      <c r="CJT307" s="204"/>
      <c r="CJU307" s="35"/>
      <c r="CJV307" s="202"/>
      <c r="CJW307" s="203"/>
      <c r="CJX307" s="36"/>
      <c r="CJY307" s="36"/>
      <c r="CJZ307" s="205"/>
      <c r="CKA307" s="33"/>
      <c r="CKB307" s="37"/>
      <c r="CKC307" s="37"/>
      <c r="CKD307" s="37"/>
      <c r="CKE307" s="37"/>
      <c r="CKF307" s="37"/>
      <c r="CKG307" s="33"/>
      <c r="CKH307" s="206"/>
      <c r="CKI307" s="207"/>
      <c r="CKJ307" s="204"/>
      <c r="CKK307" s="35"/>
      <c r="CKL307" s="202"/>
      <c r="CKM307" s="203"/>
      <c r="CKN307" s="36"/>
      <c r="CKO307" s="36"/>
      <c r="CKP307" s="205"/>
      <c r="CKQ307" s="33"/>
      <c r="CKR307" s="37"/>
      <c r="CKS307" s="37"/>
      <c r="CKT307" s="37"/>
      <c r="CKU307" s="37"/>
      <c r="CKV307" s="37"/>
      <c r="CKW307" s="33"/>
      <c r="CKX307" s="206"/>
      <c r="CKY307" s="207"/>
      <c r="CKZ307" s="204"/>
      <c r="CLA307" s="35"/>
      <c r="CLB307" s="202"/>
      <c r="CLC307" s="203"/>
      <c r="CLD307" s="36"/>
      <c r="CLE307" s="36"/>
      <c r="CLF307" s="205"/>
      <c r="CLG307" s="33"/>
      <c r="CLH307" s="37"/>
      <c r="CLI307" s="37"/>
      <c r="CLJ307" s="37"/>
      <c r="CLK307" s="37"/>
      <c r="CLL307" s="37"/>
      <c r="CLM307" s="33"/>
      <c r="CLN307" s="206"/>
      <c r="CLO307" s="207"/>
      <c r="CLP307" s="204"/>
      <c r="CLQ307" s="35"/>
      <c r="CLR307" s="202"/>
      <c r="CLS307" s="203"/>
      <c r="CLT307" s="36"/>
      <c r="CLU307" s="36"/>
      <c r="CLV307" s="205"/>
      <c r="CLW307" s="33"/>
      <c r="CLX307" s="37"/>
      <c r="CLY307" s="37"/>
      <c r="CLZ307" s="37"/>
      <c r="CMA307" s="37"/>
      <c r="CMB307" s="37"/>
      <c r="CMC307" s="33"/>
      <c r="CMD307" s="206"/>
      <c r="CME307" s="207"/>
      <c r="CMF307" s="204"/>
      <c r="CMG307" s="35"/>
      <c r="CMH307" s="202"/>
      <c r="CMI307" s="203"/>
      <c r="CMJ307" s="36"/>
      <c r="CMK307" s="36"/>
      <c r="CML307" s="205"/>
      <c r="CMM307" s="33"/>
      <c r="CMN307" s="37"/>
      <c r="CMO307" s="37"/>
      <c r="CMP307" s="37"/>
      <c r="CMQ307" s="37"/>
      <c r="CMR307" s="37"/>
      <c r="CMS307" s="33"/>
      <c r="CMT307" s="206"/>
      <c r="CMU307" s="207"/>
      <c r="CMV307" s="204"/>
      <c r="CMW307" s="35"/>
      <c r="CMX307" s="202"/>
      <c r="CMY307" s="203"/>
      <c r="CMZ307" s="36"/>
      <c r="CNA307" s="36"/>
      <c r="CNB307" s="205"/>
      <c r="CNC307" s="33"/>
      <c r="CND307" s="37"/>
      <c r="CNE307" s="37"/>
      <c r="CNF307" s="37"/>
      <c r="CNG307" s="37"/>
      <c r="CNH307" s="37"/>
      <c r="CNI307" s="33"/>
      <c r="CNJ307" s="206"/>
      <c r="CNK307" s="207"/>
      <c r="CNL307" s="204"/>
      <c r="CNM307" s="35"/>
      <c r="CNN307" s="202"/>
      <c r="CNO307" s="203"/>
      <c r="CNP307" s="36"/>
      <c r="CNQ307" s="36"/>
      <c r="CNR307" s="205"/>
      <c r="CNS307" s="33"/>
      <c r="CNT307" s="37"/>
      <c r="CNU307" s="37"/>
      <c r="CNV307" s="37"/>
      <c r="CNW307" s="37"/>
      <c r="CNX307" s="37"/>
      <c r="CNY307" s="33"/>
      <c r="CNZ307" s="206"/>
      <c r="COA307" s="207"/>
      <c r="COB307" s="204"/>
      <c r="COC307" s="35"/>
      <c r="COD307" s="202"/>
      <c r="COE307" s="203"/>
      <c r="COF307" s="36"/>
      <c r="COG307" s="36"/>
      <c r="COH307" s="205"/>
      <c r="COI307" s="33"/>
      <c r="COJ307" s="37"/>
      <c r="COK307" s="37"/>
      <c r="COL307" s="37"/>
      <c r="COM307" s="37"/>
      <c r="CON307" s="37"/>
      <c r="COO307" s="33"/>
      <c r="COP307" s="206"/>
      <c r="COQ307" s="207"/>
      <c r="COR307" s="204"/>
      <c r="COS307" s="35"/>
      <c r="COT307" s="202"/>
      <c r="COU307" s="203"/>
      <c r="COV307" s="36"/>
      <c r="COW307" s="36"/>
      <c r="COX307" s="205"/>
      <c r="COY307" s="33"/>
      <c r="COZ307" s="37"/>
      <c r="CPA307" s="37"/>
      <c r="CPB307" s="37"/>
      <c r="CPC307" s="37"/>
      <c r="CPD307" s="37"/>
      <c r="CPE307" s="33"/>
      <c r="CPF307" s="206"/>
      <c r="CPG307" s="207"/>
      <c r="CPH307" s="204"/>
      <c r="CPI307" s="35"/>
      <c r="CPJ307" s="202"/>
      <c r="CPK307" s="203"/>
      <c r="CPL307" s="36"/>
      <c r="CPM307" s="36"/>
      <c r="CPN307" s="205"/>
      <c r="CPO307" s="33"/>
      <c r="CPP307" s="37"/>
      <c r="CPQ307" s="37"/>
      <c r="CPR307" s="37"/>
      <c r="CPS307" s="37"/>
      <c r="CPT307" s="37"/>
      <c r="CPU307" s="33"/>
      <c r="CPV307" s="206"/>
      <c r="CPW307" s="207"/>
      <c r="CPX307" s="204"/>
      <c r="CPY307" s="35"/>
      <c r="CPZ307" s="202"/>
      <c r="CQA307" s="203"/>
      <c r="CQB307" s="36"/>
      <c r="CQC307" s="36"/>
      <c r="CQD307" s="205"/>
      <c r="CQE307" s="33"/>
      <c r="CQF307" s="37"/>
      <c r="CQG307" s="37"/>
      <c r="CQH307" s="37"/>
      <c r="CQI307" s="37"/>
      <c r="CQJ307" s="37"/>
      <c r="CQK307" s="33"/>
      <c r="CQL307" s="206"/>
      <c r="CQM307" s="207"/>
      <c r="CQN307" s="204"/>
      <c r="CQO307" s="35"/>
      <c r="CQP307" s="202"/>
      <c r="CQQ307" s="203"/>
      <c r="CQR307" s="36"/>
      <c r="CQS307" s="36"/>
      <c r="CQT307" s="205"/>
      <c r="CQU307" s="33"/>
      <c r="CQV307" s="37"/>
      <c r="CQW307" s="37"/>
      <c r="CQX307" s="37"/>
      <c r="CQY307" s="37"/>
      <c r="CQZ307" s="37"/>
      <c r="CRA307" s="33"/>
      <c r="CRB307" s="206"/>
      <c r="CRC307" s="207"/>
      <c r="CRD307" s="204"/>
      <c r="CRE307" s="35"/>
      <c r="CRF307" s="202"/>
      <c r="CRG307" s="203"/>
      <c r="CRH307" s="36"/>
      <c r="CRI307" s="36"/>
      <c r="CRJ307" s="205"/>
      <c r="CRK307" s="33"/>
      <c r="CRL307" s="37"/>
      <c r="CRM307" s="37"/>
      <c r="CRN307" s="37"/>
      <c r="CRO307" s="37"/>
      <c r="CRP307" s="37"/>
      <c r="CRQ307" s="33"/>
      <c r="CRR307" s="206"/>
      <c r="CRS307" s="207"/>
      <c r="CRT307" s="204"/>
      <c r="CRU307" s="35"/>
      <c r="CRV307" s="202"/>
      <c r="CRW307" s="203"/>
      <c r="CRX307" s="36"/>
      <c r="CRY307" s="36"/>
      <c r="CRZ307" s="205"/>
      <c r="CSA307" s="33"/>
      <c r="CSB307" s="37"/>
      <c r="CSC307" s="37"/>
      <c r="CSD307" s="37"/>
      <c r="CSE307" s="37"/>
      <c r="CSF307" s="37"/>
      <c r="CSG307" s="33"/>
      <c r="CSH307" s="206"/>
      <c r="CSI307" s="207"/>
      <c r="CSJ307" s="204"/>
      <c r="CSK307" s="35"/>
      <c r="CSL307" s="202"/>
      <c r="CSM307" s="203"/>
      <c r="CSN307" s="36"/>
      <c r="CSO307" s="36"/>
      <c r="CSP307" s="205"/>
      <c r="CSQ307" s="33"/>
      <c r="CSR307" s="37"/>
      <c r="CSS307" s="37"/>
      <c r="CST307" s="37"/>
      <c r="CSU307" s="37"/>
      <c r="CSV307" s="37"/>
      <c r="CSW307" s="33"/>
      <c r="CSX307" s="206"/>
      <c r="CSY307" s="207"/>
      <c r="CSZ307" s="204"/>
      <c r="CTA307" s="35"/>
      <c r="CTB307" s="202"/>
      <c r="CTC307" s="203"/>
      <c r="CTD307" s="36"/>
      <c r="CTE307" s="36"/>
      <c r="CTF307" s="205"/>
      <c r="CTG307" s="33"/>
      <c r="CTH307" s="37"/>
      <c r="CTI307" s="37"/>
      <c r="CTJ307" s="37"/>
      <c r="CTK307" s="37"/>
      <c r="CTL307" s="37"/>
      <c r="CTM307" s="33"/>
      <c r="CTN307" s="206"/>
      <c r="CTO307" s="207"/>
      <c r="CTP307" s="204"/>
      <c r="CTQ307" s="35"/>
      <c r="CTR307" s="202"/>
      <c r="CTS307" s="203"/>
      <c r="CTT307" s="36"/>
      <c r="CTU307" s="36"/>
      <c r="CTV307" s="205"/>
      <c r="CTW307" s="33"/>
      <c r="CTX307" s="37"/>
      <c r="CTY307" s="37"/>
      <c r="CTZ307" s="37"/>
      <c r="CUA307" s="37"/>
      <c r="CUB307" s="37"/>
      <c r="CUC307" s="33"/>
      <c r="CUD307" s="206"/>
      <c r="CUE307" s="207"/>
      <c r="CUF307" s="204"/>
      <c r="CUG307" s="35"/>
      <c r="CUH307" s="202"/>
      <c r="CUI307" s="203"/>
      <c r="CUJ307" s="36"/>
      <c r="CUK307" s="36"/>
      <c r="CUL307" s="205"/>
      <c r="CUM307" s="33"/>
      <c r="CUN307" s="37"/>
      <c r="CUO307" s="37"/>
      <c r="CUP307" s="37"/>
      <c r="CUQ307" s="37"/>
      <c r="CUR307" s="37"/>
      <c r="CUS307" s="33"/>
      <c r="CUT307" s="206"/>
      <c r="CUU307" s="207"/>
      <c r="CUV307" s="204"/>
      <c r="CUW307" s="35"/>
      <c r="CUX307" s="202"/>
      <c r="CUY307" s="203"/>
      <c r="CUZ307" s="36"/>
      <c r="CVA307" s="36"/>
      <c r="CVB307" s="205"/>
      <c r="CVC307" s="33"/>
      <c r="CVD307" s="37"/>
      <c r="CVE307" s="37"/>
      <c r="CVF307" s="37"/>
      <c r="CVG307" s="37"/>
      <c r="CVH307" s="37"/>
      <c r="CVI307" s="33"/>
      <c r="CVJ307" s="206"/>
      <c r="CVK307" s="207"/>
      <c r="CVL307" s="204"/>
      <c r="CVM307" s="35"/>
      <c r="CVN307" s="202"/>
      <c r="CVO307" s="203"/>
      <c r="CVP307" s="36"/>
      <c r="CVQ307" s="36"/>
      <c r="CVR307" s="205"/>
      <c r="CVS307" s="33"/>
      <c r="CVT307" s="37"/>
      <c r="CVU307" s="37"/>
      <c r="CVV307" s="37"/>
      <c r="CVW307" s="37"/>
      <c r="CVX307" s="37"/>
      <c r="CVY307" s="33"/>
      <c r="CVZ307" s="206"/>
      <c r="CWA307" s="207"/>
      <c r="CWB307" s="204"/>
      <c r="CWC307" s="35"/>
      <c r="CWD307" s="202"/>
      <c r="CWE307" s="203"/>
      <c r="CWF307" s="36"/>
      <c r="CWG307" s="36"/>
      <c r="CWH307" s="205"/>
      <c r="CWI307" s="33"/>
      <c r="CWJ307" s="37"/>
      <c r="CWK307" s="37"/>
      <c r="CWL307" s="37"/>
      <c r="CWM307" s="37"/>
      <c r="CWN307" s="37"/>
      <c r="CWO307" s="33"/>
      <c r="CWP307" s="206"/>
      <c r="CWQ307" s="207"/>
      <c r="CWR307" s="204"/>
      <c r="CWS307" s="35"/>
      <c r="CWT307" s="202"/>
      <c r="CWU307" s="203"/>
      <c r="CWV307" s="36"/>
      <c r="CWW307" s="36"/>
      <c r="CWX307" s="205"/>
      <c r="CWY307" s="33"/>
      <c r="CWZ307" s="37"/>
      <c r="CXA307" s="37"/>
      <c r="CXB307" s="37"/>
      <c r="CXC307" s="37"/>
      <c r="CXD307" s="37"/>
      <c r="CXE307" s="33"/>
      <c r="CXF307" s="206"/>
      <c r="CXG307" s="207"/>
      <c r="CXH307" s="204"/>
      <c r="CXI307" s="35"/>
      <c r="CXJ307" s="202"/>
      <c r="CXK307" s="203"/>
      <c r="CXL307" s="36"/>
      <c r="CXM307" s="36"/>
      <c r="CXN307" s="205"/>
      <c r="CXO307" s="33"/>
      <c r="CXP307" s="37"/>
      <c r="CXQ307" s="37"/>
      <c r="CXR307" s="37"/>
      <c r="CXS307" s="37"/>
      <c r="CXT307" s="37"/>
      <c r="CXU307" s="33"/>
      <c r="CXV307" s="206"/>
      <c r="CXW307" s="207"/>
      <c r="CXX307" s="204"/>
      <c r="CXY307" s="35"/>
      <c r="CXZ307" s="202"/>
      <c r="CYA307" s="203"/>
      <c r="CYB307" s="36"/>
      <c r="CYC307" s="36"/>
      <c r="CYD307" s="205"/>
      <c r="CYE307" s="33"/>
      <c r="CYF307" s="37"/>
      <c r="CYG307" s="37"/>
      <c r="CYH307" s="37"/>
      <c r="CYI307" s="37"/>
      <c r="CYJ307" s="37"/>
      <c r="CYK307" s="33"/>
      <c r="CYL307" s="206"/>
      <c r="CYM307" s="207"/>
      <c r="CYN307" s="204"/>
      <c r="CYO307" s="35"/>
      <c r="CYP307" s="202"/>
      <c r="CYQ307" s="203"/>
      <c r="CYR307" s="36"/>
      <c r="CYS307" s="36"/>
      <c r="CYT307" s="205"/>
      <c r="CYU307" s="33"/>
      <c r="CYV307" s="37"/>
      <c r="CYW307" s="37"/>
      <c r="CYX307" s="37"/>
      <c r="CYY307" s="37"/>
      <c r="CYZ307" s="37"/>
      <c r="CZA307" s="33"/>
      <c r="CZB307" s="206"/>
      <c r="CZC307" s="207"/>
      <c r="CZD307" s="204"/>
      <c r="CZE307" s="35"/>
      <c r="CZF307" s="202"/>
      <c r="CZG307" s="203"/>
      <c r="CZH307" s="36"/>
      <c r="CZI307" s="36"/>
      <c r="CZJ307" s="205"/>
      <c r="CZK307" s="33"/>
      <c r="CZL307" s="37"/>
      <c r="CZM307" s="37"/>
      <c r="CZN307" s="37"/>
      <c r="CZO307" s="37"/>
      <c r="CZP307" s="37"/>
      <c r="CZQ307" s="33"/>
      <c r="CZR307" s="206"/>
      <c r="CZS307" s="207"/>
      <c r="CZT307" s="204"/>
      <c r="CZU307" s="35"/>
      <c r="CZV307" s="202"/>
      <c r="CZW307" s="203"/>
      <c r="CZX307" s="36"/>
      <c r="CZY307" s="36"/>
      <c r="CZZ307" s="205"/>
      <c r="DAA307" s="33"/>
      <c r="DAB307" s="37"/>
      <c r="DAC307" s="37"/>
      <c r="DAD307" s="37"/>
      <c r="DAE307" s="37"/>
      <c r="DAF307" s="37"/>
      <c r="DAG307" s="33"/>
      <c r="DAH307" s="206"/>
      <c r="DAI307" s="207"/>
      <c r="DAJ307" s="204"/>
      <c r="DAK307" s="35"/>
      <c r="DAL307" s="202"/>
      <c r="DAM307" s="203"/>
      <c r="DAN307" s="36"/>
      <c r="DAO307" s="36"/>
      <c r="DAP307" s="205"/>
      <c r="DAQ307" s="33"/>
      <c r="DAR307" s="37"/>
      <c r="DAS307" s="37"/>
      <c r="DAT307" s="37"/>
      <c r="DAU307" s="37"/>
      <c r="DAV307" s="37"/>
      <c r="DAW307" s="33"/>
      <c r="DAX307" s="206"/>
      <c r="DAY307" s="207"/>
      <c r="DAZ307" s="204"/>
      <c r="DBA307" s="35"/>
      <c r="DBB307" s="202"/>
      <c r="DBC307" s="203"/>
      <c r="DBD307" s="36"/>
      <c r="DBE307" s="36"/>
      <c r="DBF307" s="205"/>
      <c r="DBG307" s="33"/>
      <c r="DBH307" s="37"/>
      <c r="DBI307" s="37"/>
      <c r="DBJ307" s="37"/>
      <c r="DBK307" s="37"/>
      <c r="DBL307" s="37"/>
      <c r="DBM307" s="33"/>
      <c r="DBN307" s="206"/>
      <c r="DBO307" s="207"/>
      <c r="DBP307" s="204"/>
      <c r="DBQ307" s="35"/>
      <c r="DBR307" s="202"/>
      <c r="DBS307" s="203"/>
      <c r="DBT307" s="36"/>
      <c r="DBU307" s="36"/>
      <c r="DBV307" s="205"/>
      <c r="DBW307" s="33"/>
      <c r="DBX307" s="37"/>
      <c r="DBY307" s="37"/>
      <c r="DBZ307" s="37"/>
      <c r="DCA307" s="37"/>
      <c r="DCB307" s="37"/>
      <c r="DCC307" s="33"/>
      <c r="DCD307" s="206"/>
      <c r="DCE307" s="207"/>
      <c r="DCF307" s="204"/>
      <c r="DCG307" s="35"/>
      <c r="DCH307" s="202"/>
      <c r="DCI307" s="203"/>
      <c r="DCJ307" s="36"/>
      <c r="DCK307" s="36"/>
      <c r="DCL307" s="205"/>
      <c r="DCM307" s="33"/>
      <c r="DCN307" s="37"/>
      <c r="DCO307" s="37"/>
      <c r="DCP307" s="37"/>
      <c r="DCQ307" s="37"/>
      <c r="DCR307" s="37"/>
      <c r="DCS307" s="33"/>
      <c r="DCT307" s="206"/>
      <c r="DCU307" s="207"/>
      <c r="DCV307" s="204"/>
      <c r="DCW307" s="35"/>
      <c r="DCX307" s="202"/>
      <c r="DCY307" s="203"/>
      <c r="DCZ307" s="36"/>
      <c r="DDA307" s="36"/>
      <c r="DDB307" s="205"/>
      <c r="DDC307" s="33"/>
      <c r="DDD307" s="37"/>
      <c r="DDE307" s="37"/>
      <c r="DDF307" s="37"/>
      <c r="DDG307" s="37"/>
      <c r="DDH307" s="37"/>
      <c r="DDI307" s="33"/>
      <c r="DDJ307" s="206"/>
      <c r="DDK307" s="207"/>
      <c r="DDL307" s="204"/>
      <c r="DDM307" s="35"/>
      <c r="DDN307" s="202"/>
      <c r="DDO307" s="203"/>
      <c r="DDP307" s="36"/>
      <c r="DDQ307" s="36"/>
      <c r="DDR307" s="205"/>
      <c r="DDS307" s="33"/>
      <c r="DDT307" s="37"/>
      <c r="DDU307" s="37"/>
      <c r="DDV307" s="37"/>
      <c r="DDW307" s="37"/>
      <c r="DDX307" s="37"/>
      <c r="DDY307" s="33"/>
      <c r="DDZ307" s="206"/>
      <c r="DEA307" s="207"/>
      <c r="DEB307" s="204"/>
      <c r="DEC307" s="35"/>
      <c r="DED307" s="202"/>
      <c r="DEE307" s="203"/>
      <c r="DEF307" s="36"/>
      <c r="DEG307" s="36"/>
      <c r="DEH307" s="205"/>
      <c r="DEI307" s="33"/>
      <c r="DEJ307" s="37"/>
      <c r="DEK307" s="37"/>
      <c r="DEL307" s="37"/>
      <c r="DEM307" s="37"/>
      <c r="DEN307" s="37"/>
      <c r="DEO307" s="33"/>
      <c r="DEP307" s="206"/>
      <c r="DEQ307" s="207"/>
      <c r="DER307" s="204"/>
      <c r="DES307" s="35"/>
      <c r="DET307" s="202"/>
      <c r="DEU307" s="203"/>
      <c r="DEV307" s="36"/>
      <c r="DEW307" s="36"/>
      <c r="DEX307" s="205"/>
      <c r="DEY307" s="33"/>
      <c r="DEZ307" s="37"/>
      <c r="DFA307" s="37"/>
      <c r="DFB307" s="37"/>
      <c r="DFC307" s="37"/>
      <c r="DFD307" s="37"/>
      <c r="DFE307" s="33"/>
      <c r="DFF307" s="206"/>
      <c r="DFG307" s="207"/>
      <c r="DFH307" s="204"/>
      <c r="DFI307" s="35"/>
      <c r="DFJ307" s="202"/>
      <c r="DFK307" s="203"/>
      <c r="DFL307" s="36"/>
      <c r="DFM307" s="36"/>
      <c r="DFN307" s="205"/>
      <c r="DFO307" s="33"/>
      <c r="DFP307" s="37"/>
      <c r="DFQ307" s="37"/>
      <c r="DFR307" s="37"/>
      <c r="DFS307" s="37"/>
      <c r="DFT307" s="37"/>
      <c r="DFU307" s="33"/>
      <c r="DFV307" s="206"/>
      <c r="DFW307" s="207"/>
      <c r="DFX307" s="204"/>
      <c r="DFY307" s="35"/>
      <c r="DFZ307" s="202"/>
      <c r="DGA307" s="203"/>
      <c r="DGB307" s="36"/>
      <c r="DGC307" s="36"/>
      <c r="DGD307" s="205"/>
      <c r="DGE307" s="33"/>
      <c r="DGF307" s="37"/>
      <c r="DGG307" s="37"/>
      <c r="DGH307" s="37"/>
      <c r="DGI307" s="37"/>
      <c r="DGJ307" s="37"/>
      <c r="DGK307" s="33"/>
      <c r="DGL307" s="206"/>
      <c r="DGM307" s="207"/>
      <c r="DGN307" s="204"/>
      <c r="DGO307" s="35"/>
      <c r="DGP307" s="202"/>
      <c r="DGQ307" s="203"/>
      <c r="DGR307" s="36"/>
      <c r="DGS307" s="36"/>
      <c r="DGT307" s="205"/>
      <c r="DGU307" s="33"/>
      <c r="DGV307" s="37"/>
      <c r="DGW307" s="37"/>
      <c r="DGX307" s="37"/>
      <c r="DGY307" s="37"/>
      <c r="DGZ307" s="37"/>
      <c r="DHA307" s="33"/>
      <c r="DHB307" s="206"/>
      <c r="DHC307" s="207"/>
      <c r="DHD307" s="204"/>
      <c r="DHE307" s="35"/>
      <c r="DHF307" s="202"/>
      <c r="DHG307" s="203"/>
      <c r="DHH307" s="36"/>
      <c r="DHI307" s="36"/>
      <c r="DHJ307" s="205"/>
      <c r="DHK307" s="33"/>
      <c r="DHL307" s="37"/>
      <c r="DHM307" s="37"/>
      <c r="DHN307" s="37"/>
      <c r="DHO307" s="37"/>
      <c r="DHP307" s="37"/>
      <c r="DHQ307" s="33"/>
      <c r="DHR307" s="206"/>
      <c r="DHS307" s="207"/>
      <c r="DHT307" s="204"/>
      <c r="DHU307" s="35"/>
      <c r="DHV307" s="202"/>
      <c r="DHW307" s="203"/>
      <c r="DHX307" s="36"/>
      <c r="DHY307" s="36"/>
      <c r="DHZ307" s="205"/>
      <c r="DIA307" s="33"/>
      <c r="DIB307" s="37"/>
      <c r="DIC307" s="37"/>
      <c r="DID307" s="37"/>
      <c r="DIE307" s="37"/>
      <c r="DIF307" s="37"/>
      <c r="DIG307" s="33"/>
      <c r="DIH307" s="206"/>
      <c r="DII307" s="207"/>
      <c r="DIJ307" s="204"/>
      <c r="DIK307" s="35"/>
      <c r="DIL307" s="202"/>
      <c r="DIM307" s="203"/>
      <c r="DIN307" s="36"/>
      <c r="DIO307" s="36"/>
      <c r="DIP307" s="205"/>
      <c r="DIQ307" s="33"/>
      <c r="DIR307" s="37"/>
      <c r="DIS307" s="37"/>
      <c r="DIT307" s="37"/>
      <c r="DIU307" s="37"/>
      <c r="DIV307" s="37"/>
      <c r="DIW307" s="33"/>
      <c r="DIX307" s="206"/>
      <c r="DIY307" s="207"/>
      <c r="DIZ307" s="204"/>
      <c r="DJA307" s="35"/>
      <c r="DJB307" s="202"/>
      <c r="DJC307" s="203"/>
      <c r="DJD307" s="36"/>
      <c r="DJE307" s="36"/>
      <c r="DJF307" s="205"/>
      <c r="DJG307" s="33"/>
      <c r="DJH307" s="37"/>
      <c r="DJI307" s="37"/>
      <c r="DJJ307" s="37"/>
      <c r="DJK307" s="37"/>
      <c r="DJL307" s="37"/>
      <c r="DJM307" s="33"/>
      <c r="DJN307" s="206"/>
      <c r="DJO307" s="207"/>
      <c r="DJP307" s="204"/>
      <c r="DJQ307" s="35"/>
      <c r="DJR307" s="202"/>
      <c r="DJS307" s="203"/>
      <c r="DJT307" s="36"/>
      <c r="DJU307" s="36"/>
      <c r="DJV307" s="205"/>
      <c r="DJW307" s="33"/>
      <c r="DJX307" s="37"/>
      <c r="DJY307" s="37"/>
      <c r="DJZ307" s="37"/>
      <c r="DKA307" s="37"/>
      <c r="DKB307" s="37"/>
      <c r="DKC307" s="33"/>
      <c r="DKD307" s="206"/>
      <c r="DKE307" s="207"/>
      <c r="DKF307" s="204"/>
      <c r="DKG307" s="35"/>
      <c r="DKH307" s="202"/>
      <c r="DKI307" s="203"/>
      <c r="DKJ307" s="36"/>
      <c r="DKK307" s="36"/>
      <c r="DKL307" s="205"/>
      <c r="DKM307" s="33"/>
      <c r="DKN307" s="37"/>
      <c r="DKO307" s="37"/>
      <c r="DKP307" s="37"/>
      <c r="DKQ307" s="37"/>
      <c r="DKR307" s="37"/>
      <c r="DKS307" s="33"/>
      <c r="DKT307" s="206"/>
      <c r="DKU307" s="207"/>
      <c r="DKV307" s="204"/>
      <c r="DKW307" s="35"/>
      <c r="DKX307" s="202"/>
      <c r="DKY307" s="203"/>
      <c r="DKZ307" s="36"/>
      <c r="DLA307" s="36"/>
      <c r="DLB307" s="205"/>
      <c r="DLC307" s="33"/>
      <c r="DLD307" s="37"/>
      <c r="DLE307" s="37"/>
      <c r="DLF307" s="37"/>
      <c r="DLG307" s="37"/>
      <c r="DLH307" s="37"/>
      <c r="DLI307" s="33"/>
      <c r="DLJ307" s="206"/>
      <c r="DLK307" s="207"/>
      <c r="DLL307" s="204"/>
      <c r="DLM307" s="35"/>
      <c r="DLN307" s="202"/>
      <c r="DLO307" s="203"/>
      <c r="DLP307" s="36"/>
      <c r="DLQ307" s="36"/>
      <c r="DLR307" s="205"/>
      <c r="DLS307" s="33"/>
      <c r="DLT307" s="37"/>
      <c r="DLU307" s="37"/>
      <c r="DLV307" s="37"/>
      <c r="DLW307" s="37"/>
      <c r="DLX307" s="37"/>
      <c r="DLY307" s="33"/>
      <c r="DLZ307" s="206"/>
      <c r="DMA307" s="207"/>
      <c r="DMB307" s="204"/>
      <c r="DMC307" s="35"/>
      <c r="DMD307" s="202"/>
      <c r="DME307" s="203"/>
      <c r="DMF307" s="36"/>
      <c r="DMG307" s="36"/>
      <c r="DMH307" s="205"/>
      <c r="DMI307" s="33"/>
      <c r="DMJ307" s="37"/>
      <c r="DMK307" s="37"/>
      <c r="DML307" s="37"/>
      <c r="DMM307" s="37"/>
      <c r="DMN307" s="37"/>
      <c r="DMO307" s="33"/>
      <c r="DMP307" s="206"/>
      <c r="DMQ307" s="207"/>
      <c r="DMR307" s="204"/>
      <c r="DMS307" s="35"/>
      <c r="DMT307" s="202"/>
      <c r="DMU307" s="203"/>
      <c r="DMV307" s="36"/>
      <c r="DMW307" s="36"/>
      <c r="DMX307" s="205"/>
      <c r="DMY307" s="33"/>
      <c r="DMZ307" s="37"/>
      <c r="DNA307" s="37"/>
      <c r="DNB307" s="37"/>
      <c r="DNC307" s="37"/>
      <c r="DND307" s="37"/>
      <c r="DNE307" s="33"/>
      <c r="DNF307" s="206"/>
      <c r="DNG307" s="207"/>
      <c r="DNH307" s="204"/>
      <c r="DNI307" s="35"/>
      <c r="DNJ307" s="202"/>
      <c r="DNK307" s="203"/>
      <c r="DNL307" s="36"/>
      <c r="DNM307" s="36"/>
      <c r="DNN307" s="205"/>
      <c r="DNO307" s="33"/>
      <c r="DNP307" s="37"/>
      <c r="DNQ307" s="37"/>
      <c r="DNR307" s="37"/>
      <c r="DNS307" s="37"/>
      <c r="DNT307" s="37"/>
      <c r="DNU307" s="33"/>
      <c r="DNV307" s="206"/>
      <c r="DNW307" s="207"/>
      <c r="DNX307" s="204"/>
      <c r="DNY307" s="35"/>
      <c r="DNZ307" s="202"/>
      <c r="DOA307" s="203"/>
      <c r="DOB307" s="36"/>
      <c r="DOC307" s="36"/>
      <c r="DOD307" s="205"/>
      <c r="DOE307" s="33"/>
      <c r="DOF307" s="37"/>
      <c r="DOG307" s="37"/>
      <c r="DOH307" s="37"/>
      <c r="DOI307" s="37"/>
      <c r="DOJ307" s="37"/>
      <c r="DOK307" s="33"/>
      <c r="DOL307" s="206"/>
      <c r="DOM307" s="207"/>
      <c r="DON307" s="204"/>
      <c r="DOO307" s="35"/>
      <c r="DOP307" s="202"/>
      <c r="DOQ307" s="203"/>
      <c r="DOR307" s="36"/>
      <c r="DOS307" s="36"/>
      <c r="DOT307" s="205"/>
      <c r="DOU307" s="33"/>
      <c r="DOV307" s="37"/>
      <c r="DOW307" s="37"/>
      <c r="DOX307" s="37"/>
      <c r="DOY307" s="37"/>
      <c r="DOZ307" s="37"/>
      <c r="DPA307" s="33"/>
      <c r="DPB307" s="206"/>
      <c r="DPC307" s="207"/>
      <c r="DPD307" s="204"/>
      <c r="DPE307" s="35"/>
      <c r="DPF307" s="202"/>
      <c r="DPG307" s="203"/>
      <c r="DPH307" s="36"/>
      <c r="DPI307" s="36"/>
      <c r="DPJ307" s="205"/>
      <c r="DPK307" s="33"/>
      <c r="DPL307" s="37"/>
      <c r="DPM307" s="37"/>
      <c r="DPN307" s="37"/>
      <c r="DPO307" s="37"/>
      <c r="DPP307" s="37"/>
      <c r="DPQ307" s="33"/>
      <c r="DPR307" s="206"/>
      <c r="DPS307" s="207"/>
      <c r="DPT307" s="204"/>
      <c r="DPU307" s="35"/>
      <c r="DPV307" s="202"/>
      <c r="DPW307" s="203"/>
      <c r="DPX307" s="36"/>
      <c r="DPY307" s="36"/>
      <c r="DPZ307" s="205"/>
      <c r="DQA307" s="33"/>
      <c r="DQB307" s="37"/>
      <c r="DQC307" s="37"/>
      <c r="DQD307" s="37"/>
      <c r="DQE307" s="37"/>
      <c r="DQF307" s="37"/>
      <c r="DQG307" s="33"/>
      <c r="DQH307" s="206"/>
      <c r="DQI307" s="207"/>
      <c r="DQJ307" s="204"/>
      <c r="DQK307" s="35"/>
      <c r="DQL307" s="202"/>
      <c r="DQM307" s="203"/>
      <c r="DQN307" s="36"/>
      <c r="DQO307" s="36"/>
      <c r="DQP307" s="205"/>
      <c r="DQQ307" s="33"/>
      <c r="DQR307" s="37"/>
      <c r="DQS307" s="37"/>
      <c r="DQT307" s="37"/>
      <c r="DQU307" s="37"/>
      <c r="DQV307" s="37"/>
      <c r="DQW307" s="33"/>
      <c r="DQX307" s="206"/>
      <c r="DQY307" s="207"/>
      <c r="DQZ307" s="204"/>
      <c r="DRA307" s="35"/>
      <c r="DRB307" s="202"/>
      <c r="DRC307" s="203"/>
      <c r="DRD307" s="36"/>
      <c r="DRE307" s="36"/>
      <c r="DRF307" s="205"/>
      <c r="DRG307" s="33"/>
      <c r="DRH307" s="37"/>
      <c r="DRI307" s="37"/>
      <c r="DRJ307" s="37"/>
      <c r="DRK307" s="37"/>
      <c r="DRL307" s="37"/>
      <c r="DRM307" s="33"/>
      <c r="DRN307" s="206"/>
      <c r="DRO307" s="207"/>
      <c r="DRP307" s="204"/>
      <c r="DRQ307" s="35"/>
      <c r="DRR307" s="202"/>
      <c r="DRS307" s="203"/>
      <c r="DRT307" s="36"/>
      <c r="DRU307" s="36"/>
      <c r="DRV307" s="205"/>
      <c r="DRW307" s="33"/>
      <c r="DRX307" s="37"/>
      <c r="DRY307" s="37"/>
      <c r="DRZ307" s="37"/>
      <c r="DSA307" s="37"/>
      <c r="DSB307" s="37"/>
      <c r="DSC307" s="33"/>
      <c r="DSD307" s="206"/>
      <c r="DSE307" s="207"/>
      <c r="DSF307" s="204"/>
      <c r="DSG307" s="35"/>
      <c r="DSH307" s="202"/>
      <c r="DSI307" s="203"/>
      <c r="DSJ307" s="36"/>
      <c r="DSK307" s="36"/>
      <c r="DSL307" s="205"/>
      <c r="DSM307" s="33"/>
      <c r="DSN307" s="37"/>
      <c r="DSO307" s="37"/>
      <c r="DSP307" s="37"/>
      <c r="DSQ307" s="37"/>
      <c r="DSR307" s="37"/>
      <c r="DSS307" s="33"/>
      <c r="DST307" s="206"/>
      <c r="DSU307" s="207"/>
      <c r="DSV307" s="204"/>
      <c r="DSW307" s="35"/>
      <c r="DSX307" s="202"/>
      <c r="DSY307" s="203"/>
      <c r="DSZ307" s="36"/>
      <c r="DTA307" s="36"/>
      <c r="DTB307" s="205"/>
      <c r="DTC307" s="33"/>
      <c r="DTD307" s="37"/>
      <c r="DTE307" s="37"/>
      <c r="DTF307" s="37"/>
      <c r="DTG307" s="37"/>
      <c r="DTH307" s="37"/>
      <c r="DTI307" s="33"/>
      <c r="DTJ307" s="206"/>
      <c r="DTK307" s="207"/>
      <c r="DTL307" s="204"/>
      <c r="DTM307" s="35"/>
      <c r="DTN307" s="202"/>
      <c r="DTO307" s="203"/>
      <c r="DTP307" s="36"/>
      <c r="DTQ307" s="36"/>
      <c r="DTR307" s="205"/>
      <c r="DTS307" s="33"/>
      <c r="DTT307" s="37"/>
      <c r="DTU307" s="37"/>
      <c r="DTV307" s="37"/>
      <c r="DTW307" s="37"/>
      <c r="DTX307" s="37"/>
      <c r="DTY307" s="33"/>
      <c r="DTZ307" s="206"/>
      <c r="DUA307" s="207"/>
      <c r="DUB307" s="204"/>
      <c r="DUC307" s="35"/>
      <c r="DUD307" s="202"/>
      <c r="DUE307" s="203"/>
      <c r="DUF307" s="36"/>
      <c r="DUG307" s="36"/>
      <c r="DUH307" s="205"/>
      <c r="DUI307" s="33"/>
      <c r="DUJ307" s="37"/>
      <c r="DUK307" s="37"/>
      <c r="DUL307" s="37"/>
      <c r="DUM307" s="37"/>
      <c r="DUN307" s="37"/>
      <c r="DUO307" s="33"/>
      <c r="DUP307" s="206"/>
      <c r="DUQ307" s="207"/>
      <c r="DUR307" s="204"/>
      <c r="DUS307" s="35"/>
      <c r="DUT307" s="202"/>
      <c r="DUU307" s="203"/>
      <c r="DUV307" s="36"/>
      <c r="DUW307" s="36"/>
      <c r="DUX307" s="205"/>
      <c r="DUY307" s="33"/>
      <c r="DUZ307" s="37"/>
      <c r="DVA307" s="37"/>
      <c r="DVB307" s="37"/>
      <c r="DVC307" s="37"/>
      <c r="DVD307" s="37"/>
      <c r="DVE307" s="33"/>
      <c r="DVF307" s="206"/>
      <c r="DVG307" s="207"/>
      <c r="DVH307" s="204"/>
      <c r="DVI307" s="35"/>
      <c r="DVJ307" s="202"/>
      <c r="DVK307" s="203"/>
      <c r="DVL307" s="36"/>
      <c r="DVM307" s="36"/>
      <c r="DVN307" s="205"/>
      <c r="DVO307" s="33"/>
      <c r="DVP307" s="37"/>
      <c r="DVQ307" s="37"/>
      <c r="DVR307" s="37"/>
      <c r="DVS307" s="37"/>
      <c r="DVT307" s="37"/>
      <c r="DVU307" s="33"/>
      <c r="DVV307" s="206"/>
      <c r="DVW307" s="207"/>
      <c r="DVX307" s="204"/>
      <c r="DVY307" s="35"/>
      <c r="DVZ307" s="202"/>
      <c r="DWA307" s="203"/>
      <c r="DWB307" s="36"/>
      <c r="DWC307" s="36"/>
      <c r="DWD307" s="205"/>
      <c r="DWE307" s="33"/>
      <c r="DWF307" s="37"/>
      <c r="DWG307" s="37"/>
      <c r="DWH307" s="37"/>
      <c r="DWI307" s="37"/>
      <c r="DWJ307" s="37"/>
      <c r="DWK307" s="33"/>
      <c r="DWL307" s="206"/>
      <c r="DWM307" s="207"/>
      <c r="DWN307" s="204"/>
      <c r="DWO307" s="35"/>
      <c r="DWP307" s="202"/>
      <c r="DWQ307" s="203"/>
      <c r="DWR307" s="36"/>
      <c r="DWS307" s="36"/>
      <c r="DWT307" s="205"/>
      <c r="DWU307" s="33"/>
      <c r="DWV307" s="37"/>
      <c r="DWW307" s="37"/>
      <c r="DWX307" s="37"/>
      <c r="DWY307" s="37"/>
      <c r="DWZ307" s="37"/>
      <c r="DXA307" s="33"/>
      <c r="DXB307" s="206"/>
      <c r="DXC307" s="207"/>
      <c r="DXD307" s="204"/>
      <c r="DXE307" s="35"/>
      <c r="DXF307" s="202"/>
      <c r="DXG307" s="203"/>
      <c r="DXH307" s="36"/>
      <c r="DXI307" s="36"/>
      <c r="DXJ307" s="205"/>
      <c r="DXK307" s="33"/>
      <c r="DXL307" s="37"/>
      <c r="DXM307" s="37"/>
      <c r="DXN307" s="37"/>
      <c r="DXO307" s="37"/>
      <c r="DXP307" s="37"/>
      <c r="DXQ307" s="33"/>
      <c r="DXR307" s="206"/>
      <c r="DXS307" s="207"/>
      <c r="DXT307" s="204"/>
      <c r="DXU307" s="35"/>
      <c r="DXV307" s="202"/>
      <c r="DXW307" s="203"/>
      <c r="DXX307" s="36"/>
      <c r="DXY307" s="36"/>
      <c r="DXZ307" s="205"/>
      <c r="DYA307" s="33"/>
      <c r="DYB307" s="37"/>
      <c r="DYC307" s="37"/>
      <c r="DYD307" s="37"/>
      <c r="DYE307" s="37"/>
      <c r="DYF307" s="37"/>
      <c r="DYG307" s="33"/>
      <c r="DYH307" s="206"/>
      <c r="DYI307" s="207"/>
      <c r="DYJ307" s="204"/>
      <c r="DYK307" s="35"/>
      <c r="DYL307" s="202"/>
      <c r="DYM307" s="203"/>
      <c r="DYN307" s="36"/>
      <c r="DYO307" s="36"/>
      <c r="DYP307" s="205"/>
      <c r="DYQ307" s="33"/>
      <c r="DYR307" s="37"/>
      <c r="DYS307" s="37"/>
      <c r="DYT307" s="37"/>
      <c r="DYU307" s="37"/>
      <c r="DYV307" s="37"/>
      <c r="DYW307" s="33"/>
      <c r="DYX307" s="206"/>
      <c r="DYY307" s="207"/>
      <c r="DYZ307" s="204"/>
      <c r="DZA307" s="35"/>
      <c r="DZB307" s="202"/>
      <c r="DZC307" s="203"/>
      <c r="DZD307" s="36"/>
      <c r="DZE307" s="36"/>
      <c r="DZF307" s="205"/>
      <c r="DZG307" s="33"/>
      <c r="DZH307" s="37"/>
      <c r="DZI307" s="37"/>
      <c r="DZJ307" s="37"/>
      <c r="DZK307" s="37"/>
      <c r="DZL307" s="37"/>
      <c r="DZM307" s="33"/>
      <c r="DZN307" s="206"/>
      <c r="DZO307" s="207"/>
      <c r="DZP307" s="204"/>
      <c r="DZQ307" s="35"/>
      <c r="DZR307" s="202"/>
      <c r="DZS307" s="203"/>
      <c r="DZT307" s="36"/>
      <c r="DZU307" s="36"/>
      <c r="DZV307" s="205"/>
      <c r="DZW307" s="33"/>
      <c r="DZX307" s="37"/>
      <c r="DZY307" s="37"/>
      <c r="DZZ307" s="37"/>
      <c r="EAA307" s="37"/>
      <c r="EAB307" s="37"/>
      <c r="EAC307" s="33"/>
      <c r="EAD307" s="206"/>
      <c r="EAE307" s="207"/>
      <c r="EAF307" s="204"/>
      <c r="EAG307" s="35"/>
      <c r="EAH307" s="202"/>
      <c r="EAI307" s="203"/>
      <c r="EAJ307" s="36"/>
      <c r="EAK307" s="36"/>
      <c r="EAL307" s="205"/>
      <c r="EAM307" s="33"/>
      <c r="EAN307" s="37"/>
      <c r="EAO307" s="37"/>
      <c r="EAP307" s="37"/>
      <c r="EAQ307" s="37"/>
      <c r="EAR307" s="37"/>
      <c r="EAS307" s="33"/>
      <c r="EAT307" s="206"/>
      <c r="EAU307" s="207"/>
      <c r="EAV307" s="204"/>
      <c r="EAW307" s="35"/>
      <c r="EAX307" s="202"/>
      <c r="EAY307" s="203"/>
      <c r="EAZ307" s="36"/>
      <c r="EBA307" s="36"/>
      <c r="EBB307" s="205"/>
      <c r="EBC307" s="33"/>
      <c r="EBD307" s="37"/>
      <c r="EBE307" s="37"/>
      <c r="EBF307" s="37"/>
      <c r="EBG307" s="37"/>
      <c r="EBH307" s="37"/>
      <c r="EBI307" s="33"/>
      <c r="EBJ307" s="206"/>
      <c r="EBK307" s="207"/>
      <c r="EBL307" s="204"/>
      <c r="EBM307" s="35"/>
      <c r="EBN307" s="202"/>
      <c r="EBO307" s="203"/>
      <c r="EBP307" s="36"/>
      <c r="EBQ307" s="36"/>
      <c r="EBR307" s="205"/>
      <c r="EBS307" s="33"/>
      <c r="EBT307" s="37"/>
      <c r="EBU307" s="37"/>
      <c r="EBV307" s="37"/>
      <c r="EBW307" s="37"/>
      <c r="EBX307" s="37"/>
      <c r="EBY307" s="33"/>
      <c r="EBZ307" s="206"/>
      <c r="ECA307" s="207"/>
      <c r="ECB307" s="204"/>
      <c r="ECC307" s="35"/>
      <c r="ECD307" s="202"/>
      <c r="ECE307" s="203"/>
      <c r="ECF307" s="36"/>
      <c r="ECG307" s="36"/>
      <c r="ECH307" s="205"/>
      <c r="ECI307" s="33"/>
      <c r="ECJ307" s="37"/>
      <c r="ECK307" s="37"/>
      <c r="ECL307" s="37"/>
      <c r="ECM307" s="37"/>
      <c r="ECN307" s="37"/>
      <c r="ECO307" s="33"/>
      <c r="ECP307" s="206"/>
      <c r="ECQ307" s="207"/>
      <c r="ECR307" s="204"/>
      <c r="ECS307" s="35"/>
      <c r="ECT307" s="202"/>
      <c r="ECU307" s="203"/>
      <c r="ECV307" s="36"/>
      <c r="ECW307" s="36"/>
      <c r="ECX307" s="205"/>
      <c r="ECY307" s="33"/>
      <c r="ECZ307" s="37"/>
      <c r="EDA307" s="37"/>
      <c r="EDB307" s="37"/>
      <c r="EDC307" s="37"/>
      <c r="EDD307" s="37"/>
      <c r="EDE307" s="33"/>
      <c r="EDF307" s="206"/>
      <c r="EDG307" s="207"/>
      <c r="EDH307" s="204"/>
      <c r="EDI307" s="35"/>
      <c r="EDJ307" s="202"/>
      <c r="EDK307" s="203"/>
      <c r="EDL307" s="36"/>
      <c r="EDM307" s="36"/>
      <c r="EDN307" s="205"/>
      <c r="EDO307" s="33"/>
      <c r="EDP307" s="37"/>
      <c r="EDQ307" s="37"/>
      <c r="EDR307" s="37"/>
      <c r="EDS307" s="37"/>
      <c r="EDT307" s="37"/>
      <c r="EDU307" s="33"/>
      <c r="EDV307" s="206"/>
      <c r="EDW307" s="207"/>
      <c r="EDX307" s="204"/>
      <c r="EDY307" s="35"/>
      <c r="EDZ307" s="202"/>
      <c r="EEA307" s="203"/>
      <c r="EEB307" s="36"/>
      <c r="EEC307" s="36"/>
      <c r="EED307" s="205"/>
      <c r="EEE307" s="33"/>
      <c r="EEF307" s="37"/>
      <c r="EEG307" s="37"/>
      <c r="EEH307" s="37"/>
      <c r="EEI307" s="37"/>
      <c r="EEJ307" s="37"/>
      <c r="EEK307" s="33"/>
      <c r="EEL307" s="206"/>
      <c r="EEM307" s="207"/>
      <c r="EEN307" s="204"/>
      <c r="EEO307" s="35"/>
      <c r="EEP307" s="202"/>
      <c r="EEQ307" s="203"/>
      <c r="EER307" s="36"/>
      <c r="EES307" s="36"/>
      <c r="EET307" s="205"/>
      <c r="EEU307" s="33"/>
      <c r="EEV307" s="37"/>
      <c r="EEW307" s="37"/>
      <c r="EEX307" s="37"/>
      <c r="EEY307" s="37"/>
      <c r="EEZ307" s="37"/>
      <c r="EFA307" s="33"/>
      <c r="EFB307" s="206"/>
      <c r="EFC307" s="207"/>
      <c r="EFD307" s="204"/>
      <c r="EFE307" s="35"/>
      <c r="EFF307" s="202"/>
      <c r="EFG307" s="203"/>
      <c r="EFH307" s="36"/>
      <c r="EFI307" s="36"/>
      <c r="EFJ307" s="205"/>
      <c r="EFK307" s="33"/>
      <c r="EFL307" s="37"/>
      <c r="EFM307" s="37"/>
      <c r="EFN307" s="37"/>
      <c r="EFO307" s="37"/>
      <c r="EFP307" s="37"/>
      <c r="EFQ307" s="33"/>
      <c r="EFR307" s="206"/>
      <c r="EFS307" s="207"/>
      <c r="EFT307" s="204"/>
      <c r="EFU307" s="35"/>
      <c r="EFV307" s="202"/>
      <c r="EFW307" s="203"/>
      <c r="EFX307" s="36"/>
      <c r="EFY307" s="36"/>
      <c r="EFZ307" s="205"/>
      <c r="EGA307" s="33"/>
      <c r="EGB307" s="37"/>
      <c r="EGC307" s="37"/>
      <c r="EGD307" s="37"/>
      <c r="EGE307" s="37"/>
      <c r="EGF307" s="37"/>
      <c r="EGG307" s="33"/>
      <c r="EGH307" s="206"/>
      <c r="EGI307" s="207"/>
      <c r="EGJ307" s="204"/>
      <c r="EGK307" s="35"/>
      <c r="EGL307" s="202"/>
      <c r="EGM307" s="203"/>
      <c r="EGN307" s="36"/>
      <c r="EGO307" s="36"/>
      <c r="EGP307" s="205"/>
      <c r="EGQ307" s="33"/>
      <c r="EGR307" s="37"/>
      <c r="EGS307" s="37"/>
      <c r="EGT307" s="37"/>
      <c r="EGU307" s="37"/>
      <c r="EGV307" s="37"/>
      <c r="EGW307" s="33"/>
      <c r="EGX307" s="206"/>
      <c r="EGY307" s="207"/>
      <c r="EGZ307" s="204"/>
      <c r="EHA307" s="35"/>
      <c r="EHB307" s="202"/>
      <c r="EHC307" s="203"/>
      <c r="EHD307" s="36"/>
      <c r="EHE307" s="36"/>
      <c r="EHF307" s="205"/>
      <c r="EHG307" s="33"/>
      <c r="EHH307" s="37"/>
      <c r="EHI307" s="37"/>
      <c r="EHJ307" s="37"/>
      <c r="EHK307" s="37"/>
      <c r="EHL307" s="37"/>
      <c r="EHM307" s="33"/>
      <c r="EHN307" s="206"/>
      <c r="EHO307" s="207"/>
      <c r="EHP307" s="204"/>
      <c r="EHQ307" s="35"/>
      <c r="EHR307" s="202"/>
      <c r="EHS307" s="203"/>
      <c r="EHT307" s="36"/>
      <c r="EHU307" s="36"/>
      <c r="EHV307" s="205"/>
      <c r="EHW307" s="33"/>
      <c r="EHX307" s="37"/>
      <c r="EHY307" s="37"/>
      <c r="EHZ307" s="37"/>
      <c r="EIA307" s="37"/>
      <c r="EIB307" s="37"/>
      <c r="EIC307" s="33"/>
      <c r="EID307" s="206"/>
      <c r="EIE307" s="207"/>
      <c r="EIF307" s="204"/>
      <c r="EIG307" s="35"/>
      <c r="EIH307" s="202"/>
      <c r="EII307" s="203"/>
      <c r="EIJ307" s="36"/>
      <c r="EIK307" s="36"/>
      <c r="EIL307" s="205"/>
      <c r="EIM307" s="33"/>
      <c r="EIN307" s="37"/>
      <c r="EIO307" s="37"/>
      <c r="EIP307" s="37"/>
      <c r="EIQ307" s="37"/>
      <c r="EIR307" s="37"/>
      <c r="EIS307" s="33"/>
      <c r="EIT307" s="206"/>
      <c r="EIU307" s="207"/>
      <c r="EIV307" s="204"/>
      <c r="EIW307" s="35"/>
      <c r="EIX307" s="202"/>
      <c r="EIY307" s="203"/>
      <c r="EIZ307" s="36"/>
      <c r="EJA307" s="36"/>
      <c r="EJB307" s="205"/>
      <c r="EJC307" s="33"/>
      <c r="EJD307" s="37"/>
      <c r="EJE307" s="37"/>
      <c r="EJF307" s="37"/>
      <c r="EJG307" s="37"/>
      <c r="EJH307" s="37"/>
      <c r="EJI307" s="33"/>
      <c r="EJJ307" s="206"/>
      <c r="EJK307" s="207"/>
      <c r="EJL307" s="204"/>
      <c r="EJM307" s="35"/>
      <c r="EJN307" s="202"/>
      <c r="EJO307" s="203"/>
      <c r="EJP307" s="36"/>
      <c r="EJQ307" s="36"/>
      <c r="EJR307" s="205"/>
      <c r="EJS307" s="33"/>
      <c r="EJT307" s="37"/>
      <c r="EJU307" s="37"/>
      <c r="EJV307" s="37"/>
      <c r="EJW307" s="37"/>
      <c r="EJX307" s="37"/>
      <c r="EJY307" s="33"/>
      <c r="EJZ307" s="206"/>
      <c r="EKA307" s="207"/>
      <c r="EKB307" s="204"/>
      <c r="EKC307" s="35"/>
      <c r="EKD307" s="202"/>
      <c r="EKE307" s="203"/>
      <c r="EKF307" s="36"/>
      <c r="EKG307" s="36"/>
      <c r="EKH307" s="205"/>
      <c r="EKI307" s="33"/>
      <c r="EKJ307" s="37"/>
      <c r="EKK307" s="37"/>
      <c r="EKL307" s="37"/>
      <c r="EKM307" s="37"/>
      <c r="EKN307" s="37"/>
      <c r="EKO307" s="33"/>
      <c r="EKP307" s="206"/>
      <c r="EKQ307" s="207"/>
      <c r="EKR307" s="204"/>
      <c r="EKS307" s="35"/>
      <c r="EKT307" s="202"/>
      <c r="EKU307" s="203"/>
      <c r="EKV307" s="36"/>
      <c r="EKW307" s="36"/>
      <c r="EKX307" s="205"/>
      <c r="EKY307" s="33"/>
      <c r="EKZ307" s="37"/>
      <c r="ELA307" s="37"/>
      <c r="ELB307" s="37"/>
      <c r="ELC307" s="37"/>
      <c r="ELD307" s="37"/>
      <c r="ELE307" s="33"/>
      <c r="ELF307" s="206"/>
      <c r="ELG307" s="207"/>
      <c r="ELH307" s="204"/>
      <c r="ELI307" s="35"/>
      <c r="ELJ307" s="202"/>
      <c r="ELK307" s="203"/>
      <c r="ELL307" s="36"/>
      <c r="ELM307" s="36"/>
      <c r="ELN307" s="205"/>
      <c r="ELO307" s="33"/>
      <c r="ELP307" s="37"/>
      <c r="ELQ307" s="37"/>
      <c r="ELR307" s="37"/>
      <c r="ELS307" s="37"/>
      <c r="ELT307" s="37"/>
      <c r="ELU307" s="33"/>
      <c r="ELV307" s="206"/>
      <c r="ELW307" s="207"/>
      <c r="ELX307" s="204"/>
      <c r="ELY307" s="35"/>
      <c r="ELZ307" s="202"/>
      <c r="EMA307" s="203"/>
      <c r="EMB307" s="36"/>
      <c r="EMC307" s="36"/>
      <c r="EMD307" s="205"/>
      <c r="EME307" s="33"/>
      <c r="EMF307" s="37"/>
      <c r="EMG307" s="37"/>
      <c r="EMH307" s="37"/>
      <c r="EMI307" s="37"/>
      <c r="EMJ307" s="37"/>
      <c r="EMK307" s="33"/>
      <c r="EML307" s="206"/>
      <c r="EMM307" s="207"/>
      <c r="EMN307" s="204"/>
      <c r="EMO307" s="35"/>
      <c r="EMP307" s="202"/>
      <c r="EMQ307" s="203"/>
      <c r="EMR307" s="36"/>
      <c r="EMS307" s="36"/>
      <c r="EMT307" s="205"/>
      <c r="EMU307" s="33"/>
      <c r="EMV307" s="37"/>
      <c r="EMW307" s="37"/>
      <c r="EMX307" s="37"/>
      <c r="EMY307" s="37"/>
      <c r="EMZ307" s="37"/>
      <c r="ENA307" s="33"/>
      <c r="ENB307" s="206"/>
      <c r="ENC307" s="207"/>
      <c r="END307" s="204"/>
      <c r="ENE307" s="35"/>
      <c r="ENF307" s="202"/>
      <c r="ENG307" s="203"/>
      <c r="ENH307" s="36"/>
      <c r="ENI307" s="36"/>
      <c r="ENJ307" s="205"/>
      <c r="ENK307" s="33"/>
      <c r="ENL307" s="37"/>
      <c r="ENM307" s="37"/>
      <c r="ENN307" s="37"/>
      <c r="ENO307" s="37"/>
      <c r="ENP307" s="37"/>
      <c r="ENQ307" s="33"/>
      <c r="ENR307" s="206"/>
      <c r="ENS307" s="207"/>
      <c r="ENT307" s="204"/>
      <c r="ENU307" s="35"/>
      <c r="ENV307" s="202"/>
      <c r="ENW307" s="203"/>
      <c r="ENX307" s="36"/>
      <c r="ENY307" s="36"/>
      <c r="ENZ307" s="205"/>
      <c r="EOA307" s="33"/>
      <c r="EOB307" s="37"/>
      <c r="EOC307" s="37"/>
      <c r="EOD307" s="37"/>
      <c r="EOE307" s="37"/>
      <c r="EOF307" s="37"/>
      <c r="EOG307" s="33"/>
      <c r="EOH307" s="206"/>
      <c r="EOI307" s="207"/>
      <c r="EOJ307" s="204"/>
      <c r="EOK307" s="35"/>
      <c r="EOL307" s="202"/>
      <c r="EOM307" s="203"/>
      <c r="EON307" s="36"/>
      <c r="EOO307" s="36"/>
      <c r="EOP307" s="205"/>
      <c r="EOQ307" s="33"/>
      <c r="EOR307" s="37"/>
      <c r="EOS307" s="37"/>
      <c r="EOT307" s="37"/>
      <c r="EOU307" s="37"/>
      <c r="EOV307" s="37"/>
      <c r="EOW307" s="33"/>
      <c r="EOX307" s="206"/>
      <c r="EOY307" s="207"/>
      <c r="EOZ307" s="204"/>
      <c r="EPA307" s="35"/>
      <c r="EPB307" s="202"/>
      <c r="EPC307" s="203"/>
      <c r="EPD307" s="36"/>
      <c r="EPE307" s="36"/>
      <c r="EPF307" s="205"/>
      <c r="EPG307" s="33"/>
      <c r="EPH307" s="37"/>
      <c r="EPI307" s="37"/>
      <c r="EPJ307" s="37"/>
      <c r="EPK307" s="37"/>
      <c r="EPL307" s="37"/>
      <c r="EPM307" s="33"/>
      <c r="EPN307" s="206"/>
      <c r="EPO307" s="207"/>
      <c r="EPP307" s="204"/>
      <c r="EPQ307" s="35"/>
      <c r="EPR307" s="202"/>
      <c r="EPS307" s="203"/>
      <c r="EPT307" s="36"/>
      <c r="EPU307" s="36"/>
      <c r="EPV307" s="205"/>
      <c r="EPW307" s="33"/>
      <c r="EPX307" s="37"/>
      <c r="EPY307" s="37"/>
      <c r="EPZ307" s="37"/>
      <c r="EQA307" s="37"/>
      <c r="EQB307" s="37"/>
      <c r="EQC307" s="33"/>
      <c r="EQD307" s="206"/>
      <c r="EQE307" s="207"/>
      <c r="EQF307" s="204"/>
      <c r="EQG307" s="35"/>
      <c r="EQH307" s="202"/>
      <c r="EQI307" s="203"/>
      <c r="EQJ307" s="36"/>
      <c r="EQK307" s="36"/>
      <c r="EQL307" s="205"/>
      <c r="EQM307" s="33"/>
      <c r="EQN307" s="37"/>
      <c r="EQO307" s="37"/>
      <c r="EQP307" s="37"/>
      <c r="EQQ307" s="37"/>
      <c r="EQR307" s="37"/>
      <c r="EQS307" s="33"/>
      <c r="EQT307" s="206"/>
      <c r="EQU307" s="207"/>
      <c r="EQV307" s="204"/>
      <c r="EQW307" s="35"/>
      <c r="EQX307" s="202"/>
      <c r="EQY307" s="203"/>
      <c r="EQZ307" s="36"/>
      <c r="ERA307" s="36"/>
      <c r="ERB307" s="205"/>
      <c r="ERC307" s="33"/>
      <c r="ERD307" s="37"/>
      <c r="ERE307" s="37"/>
      <c r="ERF307" s="37"/>
      <c r="ERG307" s="37"/>
      <c r="ERH307" s="37"/>
      <c r="ERI307" s="33"/>
      <c r="ERJ307" s="206"/>
      <c r="ERK307" s="207"/>
      <c r="ERL307" s="204"/>
      <c r="ERM307" s="35"/>
      <c r="ERN307" s="202"/>
      <c r="ERO307" s="203"/>
      <c r="ERP307" s="36"/>
      <c r="ERQ307" s="36"/>
      <c r="ERR307" s="205"/>
      <c r="ERS307" s="33"/>
      <c r="ERT307" s="37"/>
      <c r="ERU307" s="37"/>
      <c r="ERV307" s="37"/>
      <c r="ERW307" s="37"/>
      <c r="ERX307" s="37"/>
      <c r="ERY307" s="33"/>
      <c r="ERZ307" s="206"/>
      <c r="ESA307" s="207"/>
      <c r="ESB307" s="204"/>
      <c r="ESC307" s="35"/>
      <c r="ESD307" s="202"/>
      <c r="ESE307" s="203"/>
      <c r="ESF307" s="36"/>
      <c r="ESG307" s="36"/>
      <c r="ESH307" s="205"/>
      <c r="ESI307" s="33"/>
      <c r="ESJ307" s="37"/>
      <c r="ESK307" s="37"/>
      <c r="ESL307" s="37"/>
      <c r="ESM307" s="37"/>
      <c r="ESN307" s="37"/>
      <c r="ESO307" s="33"/>
      <c r="ESP307" s="206"/>
      <c r="ESQ307" s="207"/>
      <c r="ESR307" s="204"/>
      <c r="ESS307" s="35"/>
      <c r="EST307" s="202"/>
      <c r="ESU307" s="203"/>
      <c r="ESV307" s="36"/>
      <c r="ESW307" s="36"/>
      <c r="ESX307" s="205"/>
      <c r="ESY307" s="33"/>
      <c r="ESZ307" s="37"/>
      <c r="ETA307" s="37"/>
      <c r="ETB307" s="37"/>
      <c r="ETC307" s="37"/>
      <c r="ETD307" s="37"/>
      <c r="ETE307" s="33"/>
      <c r="ETF307" s="206"/>
      <c r="ETG307" s="207"/>
      <c r="ETH307" s="204"/>
      <c r="ETI307" s="35"/>
      <c r="ETJ307" s="202"/>
      <c r="ETK307" s="203"/>
      <c r="ETL307" s="36"/>
      <c r="ETM307" s="36"/>
      <c r="ETN307" s="205"/>
      <c r="ETO307" s="33"/>
      <c r="ETP307" s="37"/>
      <c r="ETQ307" s="37"/>
      <c r="ETR307" s="37"/>
      <c r="ETS307" s="37"/>
      <c r="ETT307" s="37"/>
      <c r="ETU307" s="33"/>
      <c r="ETV307" s="206"/>
      <c r="ETW307" s="207"/>
      <c r="ETX307" s="204"/>
      <c r="ETY307" s="35"/>
      <c r="ETZ307" s="202"/>
      <c r="EUA307" s="203"/>
      <c r="EUB307" s="36"/>
      <c r="EUC307" s="36"/>
      <c r="EUD307" s="205"/>
      <c r="EUE307" s="33"/>
      <c r="EUF307" s="37"/>
      <c r="EUG307" s="37"/>
      <c r="EUH307" s="37"/>
      <c r="EUI307" s="37"/>
      <c r="EUJ307" s="37"/>
      <c r="EUK307" s="33"/>
      <c r="EUL307" s="206"/>
      <c r="EUM307" s="207"/>
      <c r="EUN307" s="204"/>
      <c r="EUO307" s="35"/>
      <c r="EUP307" s="202"/>
      <c r="EUQ307" s="203"/>
      <c r="EUR307" s="36"/>
      <c r="EUS307" s="36"/>
      <c r="EUT307" s="205"/>
      <c r="EUU307" s="33"/>
      <c r="EUV307" s="37"/>
      <c r="EUW307" s="37"/>
      <c r="EUX307" s="37"/>
      <c r="EUY307" s="37"/>
      <c r="EUZ307" s="37"/>
      <c r="EVA307" s="33"/>
      <c r="EVB307" s="206"/>
      <c r="EVC307" s="207"/>
      <c r="EVD307" s="204"/>
      <c r="EVE307" s="35"/>
      <c r="EVF307" s="202"/>
      <c r="EVG307" s="203"/>
      <c r="EVH307" s="36"/>
      <c r="EVI307" s="36"/>
      <c r="EVJ307" s="205"/>
      <c r="EVK307" s="33"/>
      <c r="EVL307" s="37"/>
      <c r="EVM307" s="37"/>
      <c r="EVN307" s="37"/>
      <c r="EVO307" s="37"/>
      <c r="EVP307" s="37"/>
      <c r="EVQ307" s="33"/>
      <c r="EVR307" s="206"/>
      <c r="EVS307" s="207"/>
      <c r="EVT307" s="204"/>
      <c r="EVU307" s="35"/>
      <c r="EVV307" s="202"/>
      <c r="EVW307" s="203"/>
      <c r="EVX307" s="36"/>
      <c r="EVY307" s="36"/>
      <c r="EVZ307" s="205"/>
      <c r="EWA307" s="33"/>
      <c r="EWB307" s="37"/>
      <c r="EWC307" s="37"/>
      <c r="EWD307" s="37"/>
      <c r="EWE307" s="37"/>
      <c r="EWF307" s="37"/>
      <c r="EWG307" s="33"/>
      <c r="EWH307" s="206"/>
      <c r="EWI307" s="207"/>
      <c r="EWJ307" s="204"/>
      <c r="EWK307" s="35"/>
      <c r="EWL307" s="202"/>
      <c r="EWM307" s="203"/>
      <c r="EWN307" s="36"/>
      <c r="EWO307" s="36"/>
      <c r="EWP307" s="205"/>
      <c r="EWQ307" s="33"/>
      <c r="EWR307" s="37"/>
      <c r="EWS307" s="37"/>
      <c r="EWT307" s="37"/>
      <c r="EWU307" s="37"/>
      <c r="EWV307" s="37"/>
      <c r="EWW307" s="33"/>
      <c r="EWX307" s="206"/>
      <c r="EWY307" s="207"/>
      <c r="EWZ307" s="204"/>
      <c r="EXA307" s="35"/>
      <c r="EXB307" s="202"/>
      <c r="EXC307" s="203"/>
      <c r="EXD307" s="36"/>
      <c r="EXE307" s="36"/>
      <c r="EXF307" s="205"/>
      <c r="EXG307" s="33"/>
      <c r="EXH307" s="37"/>
      <c r="EXI307" s="37"/>
      <c r="EXJ307" s="37"/>
      <c r="EXK307" s="37"/>
      <c r="EXL307" s="37"/>
      <c r="EXM307" s="33"/>
      <c r="EXN307" s="206"/>
      <c r="EXO307" s="207"/>
      <c r="EXP307" s="204"/>
      <c r="EXQ307" s="35"/>
      <c r="EXR307" s="202"/>
      <c r="EXS307" s="203"/>
      <c r="EXT307" s="36"/>
      <c r="EXU307" s="36"/>
      <c r="EXV307" s="205"/>
      <c r="EXW307" s="33"/>
      <c r="EXX307" s="37"/>
      <c r="EXY307" s="37"/>
      <c r="EXZ307" s="37"/>
      <c r="EYA307" s="37"/>
      <c r="EYB307" s="37"/>
      <c r="EYC307" s="33"/>
      <c r="EYD307" s="206"/>
      <c r="EYE307" s="207"/>
      <c r="EYF307" s="204"/>
      <c r="EYG307" s="35"/>
      <c r="EYH307" s="202"/>
      <c r="EYI307" s="203"/>
      <c r="EYJ307" s="36"/>
      <c r="EYK307" s="36"/>
      <c r="EYL307" s="205"/>
      <c r="EYM307" s="33"/>
      <c r="EYN307" s="37"/>
      <c r="EYO307" s="37"/>
      <c r="EYP307" s="37"/>
      <c r="EYQ307" s="37"/>
      <c r="EYR307" s="37"/>
      <c r="EYS307" s="33"/>
      <c r="EYT307" s="206"/>
      <c r="EYU307" s="207"/>
      <c r="EYV307" s="204"/>
      <c r="EYW307" s="35"/>
      <c r="EYX307" s="202"/>
      <c r="EYY307" s="203"/>
      <c r="EYZ307" s="36"/>
      <c r="EZA307" s="36"/>
      <c r="EZB307" s="205"/>
      <c r="EZC307" s="33"/>
      <c r="EZD307" s="37"/>
      <c r="EZE307" s="37"/>
      <c r="EZF307" s="37"/>
      <c r="EZG307" s="37"/>
      <c r="EZH307" s="37"/>
      <c r="EZI307" s="33"/>
      <c r="EZJ307" s="206"/>
      <c r="EZK307" s="207"/>
      <c r="EZL307" s="204"/>
      <c r="EZM307" s="35"/>
      <c r="EZN307" s="202"/>
      <c r="EZO307" s="203"/>
      <c r="EZP307" s="36"/>
      <c r="EZQ307" s="36"/>
      <c r="EZR307" s="205"/>
      <c r="EZS307" s="33"/>
      <c r="EZT307" s="37"/>
      <c r="EZU307" s="37"/>
      <c r="EZV307" s="37"/>
      <c r="EZW307" s="37"/>
      <c r="EZX307" s="37"/>
      <c r="EZY307" s="33"/>
      <c r="EZZ307" s="206"/>
      <c r="FAA307" s="207"/>
      <c r="FAB307" s="204"/>
      <c r="FAC307" s="35"/>
      <c r="FAD307" s="202"/>
      <c r="FAE307" s="203"/>
      <c r="FAF307" s="36"/>
      <c r="FAG307" s="36"/>
      <c r="FAH307" s="205"/>
      <c r="FAI307" s="33"/>
      <c r="FAJ307" s="37"/>
      <c r="FAK307" s="37"/>
      <c r="FAL307" s="37"/>
      <c r="FAM307" s="37"/>
      <c r="FAN307" s="37"/>
      <c r="FAO307" s="33"/>
      <c r="FAP307" s="206"/>
      <c r="FAQ307" s="207"/>
      <c r="FAR307" s="204"/>
      <c r="FAS307" s="35"/>
      <c r="FAT307" s="202"/>
      <c r="FAU307" s="203"/>
      <c r="FAV307" s="36"/>
      <c r="FAW307" s="36"/>
      <c r="FAX307" s="205"/>
      <c r="FAY307" s="33"/>
      <c r="FAZ307" s="37"/>
      <c r="FBA307" s="37"/>
      <c r="FBB307" s="37"/>
      <c r="FBC307" s="37"/>
      <c r="FBD307" s="37"/>
      <c r="FBE307" s="33"/>
      <c r="FBF307" s="206"/>
      <c r="FBG307" s="207"/>
      <c r="FBH307" s="204"/>
      <c r="FBI307" s="35"/>
      <c r="FBJ307" s="202"/>
      <c r="FBK307" s="203"/>
      <c r="FBL307" s="36"/>
      <c r="FBM307" s="36"/>
      <c r="FBN307" s="205"/>
      <c r="FBO307" s="33"/>
      <c r="FBP307" s="37"/>
      <c r="FBQ307" s="37"/>
      <c r="FBR307" s="37"/>
      <c r="FBS307" s="37"/>
      <c r="FBT307" s="37"/>
      <c r="FBU307" s="33"/>
      <c r="FBV307" s="206"/>
      <c r="FBW307" s="207"/>
      <c r="FBX307" s="204"/>
      <c r="FBY307" s="35"/>
      <c r="FBZ307" s="202"/>
      <c r="FCA307" s="203"/>
      <c r="FCB307" s="36"/>
      <c r="FCC307" s="36"/>
      <c r="FCD307" s="205"/>
      <c r="FCE307" s="33"/>
      <c r="FCF307" s="37"/>
      <c r="FCG307" s="37"/>
      <c r="FCH307" s="37"/>
      <c r="FCI307" s="37"/>
      <c r="FCJ307" s="37"/>
      <c r="FCK307" s="33"/>
      <c r="FCL307" s="206"/>
      <c r="FCM307" s="207"/>
      <c r="FCN307" s="204"/>
      <c r="FCO307" s="35"/>
      <c r="FCP307" s="202"/>
      <c r="FCQ307" s="203"/>
      <c r="FCR307" s="36"/>
      <c r="FCS307" s="36"/>
      <c r="FCT307" s="205"/>
      <c r="FCU307" s="33"/>
      <c r="FCV307" s="37"/>
      <c r="FCW307" s="37"/>
      <c r="FCX307" s="37"/>
      <c r="FCY307" s="37"/>
      <c r="FCZ307" s="37"/>
      <c r="FDA307" s="33"/>
      <c r="FDB307" s="206"/>
      <c r="FDC307" s="207"/>
      <c r="FDD307" s="204"/>
      <c r="FDE307" s="35"/>
      <c r="FDF307" s="202"/>
      <c r="FDG307" s="203"/>
      <c r="FDH307" s="36"/>
      <c r="FDI307" s="36"/>
      <c r="FDJ307" s="205"/>
      <c r="FDK307" s="33"/>
      <c r="FDL307" s="37"/>
      <c r="FDM307" s="37"/>
      <c r="FDN307" s="37"/>
      <c r="FDO307" s="37"/>
      <c r="FDP307" s="37"/>
      <c r="FDQ307" s="33"/>
      <c r="FDR307" s="206"/>
      <c r="FDS307" s="207"/>
      <c r="FDT307" s="204"/>
      <c r="FDU307" s="35"/>
      <c r="FDV307" s="202"/>
      <c r="FDW307" s="203"/>
      <c r="FDX307" s="36"/>
      <c r="FDY307" s="36"/>
      <c r="FDZ307" s="205"/>
      <c r="FEA307" s="33"/>
      <c r="FEB307" s="37"/>
      <c r="FEC307" s="37"/>
      <c r="FED307" s="37"/>
      <c r="FEE307" s="37"/>
      <c r="FEF307" s="37"/>
      <c r="FEG307" s="33"/>
      <c r="FEH307" s="206"/>
      <c r="FEI307" s="207"/>
      <c r="FEJ307" s="204"/>
      <c r="FEK307" s="35"/>
      <c r="FEL307" s="202"/>
      <c r="FEM307" s="203"/>
      <c r="FEN307" s="36"/>
      <c r="FEO307" s="36"/>
      <c r="FEP307" s="205"/>
      <c r="FEQ307" s="33"/>
      <c r="FER307" s="37"/>
      <c r="FES307" s="37"/>
      <c r="FET307" s="37"/>
      <c r="FEU307" s="37"/>
      <c r="FEV307" s="37"/>
      <c r="FEW307" s="33"/>
      <c r="FEX307" s="206"/>
      <c r="FEY307" s="207"/>
      <c r="FEZ307" s="204"/>
      <c r="FFA307" s="35"/>
      <c r="FFB307" s="202"/>
      <c r="FFC307" s="203"/>
      <c r="FFD307" s="36"/>
      <c r="FFE307" s="36"/>
      <c r="FFF307" s="205"/>
      <c r="FFG307" s="33"/>
      <c r="FFH307" s="37"/>
      <c r="FFI307" s="37"/>
      <c r="FFJ307" s="37"/>
      <c r="FFK307" s="37"/>
      <c r="FFL307" s="37"/>
      <c r="FFM307" s="33"/>
      <c r="FFN307" s="206"/>
      <c r="FFO307" s="207"/>
      <c r="FFP307" s="204"/>
      <c r="FFQ307" s="35"/>
      <c r="FFR307" s="202"/>
      <c r="FFS307" s="203"/>
      <c r="FFT307" s="36"/>
      <c r="FFU307" s="36"/>
      <c r="FFV307" s="205"/>
      <c r="FFW307" s="33"/>
      <c r="FFX307" s="37"/>
      <c r="FFY307" s="37"/>
      <c r="FFZ307" s="37"/>
      <c r="FGA307" s="37"/>
      <c r="FGB307" s="37"/>
      <c r="FGC307" s="33"/>
      <c r="FGD307" s="206"/>
      <c r="FGE307" s="207"/>
      <c r="FGF307" s="204"/>
      <c r="FGG307" s="35"/>
      <c r="FGH307" s="202"/>
      <c r="FGI307" s="203"/>
      <c r="FGJ307" s="36"/>
      <c r="FGK307" s="36"/>
      <c r="FGL307" s="205"/>
      <c r="FGM307" s="33"/>
      <c r="FGN307" s="37"/>
      <c r="FGO307" s="37"/>
      <c r="FGP307" s="37"/>
      <c r="FGQ307" s="37"/>
      <c r="FGR307" s="37"/>
      <c r="FGS307" s="33"/>
      <c r="FGT307" s="206"/>
      <c r="FGU307" s="207"/>
      <c r="FGV307" s="204"/>
      <c r="FGW307" s="35"/>
      <c r="FGX307" s="202"/>
      <c r="FGY307" s="203"/>
      <c r="FGZ307" s="36"/>
      <c r="FHA307" s="36"/>
      <c r="FHB307" s="205"/>
      <c r="FHC307" s="33"/>
      <c r="FHD307" s="37"/>
      <c r="FHE307" s="37"/>
      <c r="FHF307" s="37"/>
      <c r="FHG307" s="37"/>
      <c r="FHH307" s="37"/>
      <c r="FHI307" s="33"/>
      <c r="FHJ307" s="206"/>
      <c r="FHK307" s="207"/>
      <c r="FHL307" s="204"/>
      <c r="FHM307" s="35"/>
      <c r="FHN307" s="202"/>
      <c r="FHO307" s="203"/>
      <c r="FHP307" s="36"/>
      <c r="FHQ307" s="36"/>
      <c r="FHR307" s="205"/>
      <c r="FHS307" s="33"/>
      <c r="FHT307" s="37"/>
      <c r="FHU307" s="37"/>
      <c r="FHV307" s="37"/>
      <c r="FHW307" s="37"/>
      <c r="FHX307" s="37"/>
      <c r="FHY307" s="33"/>
      <c r="FHZ307" s="206"/>
      <c r="FIA307" s="207"/>
      <c r="FIB307" s="204"/>
      <c r="FIC307" s="35"/>
      <c r="FID307" s="202"/>
      <c r="FIE307" s="203"/>
      <c r="FIF307" s="36"/>
      <c r="FIG307" s="36"/>
      <c r="FIH307" s="205"/>
      <c r="FII307" s="33"/>
      <c r="FIJ307" s="37"/>
      <c r="FIK307" s="37"/>
      <c r="FIL307" s="37"/>
      <c r="FIM307" s="37"/>
      <c r="FIN307" s="37"/>
      <c r="FIO307" s="33"/>
      <c r="FIP307" s="206"/>
      <c r="FIQ307" s="207"/>
      <c r="FIR307" s="204"/>
      <c r="FIS307" s="35"/>
      <c r="FIT307" s="202"/>
      <c r="FIU307" s="203"/>
      <c r="FIV307" s="36"/>
      <c r="FIW307" s="36"/>
      <c r="FIX307" s="205"/>
      <c r="FIY307" s="33"/>
      <c r="FIZ307" s="37"/>
      <c r="FJA307" s="37"/>
      <c r="FJB307" s="37"/>
      <c r="FJC307" s="37"/>
      <c r="FJD307" s="37"/>
      <c r="FJE307" s="33"/>
      <c r="FJF307" s="206"/>
      <c r="FJG307" s="207"/>
      <c r="FJH307" s="204"/>
      <c r="FJI307" s="35"/>
      <c r="FJJ307" s="202"/>
      <c r="FJK307" s="203"/>
      <c r="FJL307" s="36"/>
      <c r="FJM307" s="36"/>
      <c r="FJN307" s="205"/>
      <c r="FJO307" s="33"/>
      <c r="FJP307" s="37"/>
      <c r="FJQ307" s="37"/>
      <c r="FJR307" s="37"/>
      <c r="FJS307" s="37"/>
      <c r="FJT307" s="37"/>
      <c r="FJU307" s="33"/>
      <c r="FJV307" s="206"/>
      <c r="FJW307" s="207"/>
      <c r="FJX307" s="204"/>
      <c r="FJY307" s="35"/>
      <c r="FJZ307" s="202"/>
      <c r="FKA307" s="203"/>
      <c r="FKB307" s="36"/>
      <c r="FKC307" s="36"/>
      <c r="FKD307" s="205"/>
      <c r="FKE307" s="33"/>
      <c r="FKF307" s="37"/>
      <c r="FKG307" s="37"/>
      <c r="FKH307" s="37"/>
      <c r="FKI307" s="37"/>
      <c r="FKJ307" s="37"/>
      <c r="FKK307" s="33"/>
      <c r="FKL307" s="206"/>
      <c r="FKM307" s="207"/>
      <c r="FKN307" s="204"/>
      <c r="FKO307" s="35"/>
      <c r="FKP307" s="202"/>
      <c r="FKQ307" s="203"/>
      <c r="FKR307" s="36"/>
      <c r="FKS307" s="36"/>
      <c r="FKT307" s="205"/>
      <c r="FKU307" s="33"/>
      <c r="FKV307" s="37"/>
      <c r="FKW307" s="37"/>
      <c r="FKX307" s="37"/>
      <c r="FKY307" s="37"/>
      <c r="FKZ307" s="37"/>
      <c r="FLA307" s="33"/>
      <c r="FLB307" s="206"/>
      <c r="FLC307" s="207"/>
      <c r="FLD307" s="204"/>
      <c r="FLE307" s="35"/>
      <c r="FLF307" s="202"/>
      <c r="FLG307" s="203"/>
      <c r="FLH307" s="36"/>
      <c r="FLI307" s="36"/>
      <c r="FLJ307" s="205"/>
      <c r="FLK307" s="33"/>
      <c r="FLL307" s="37"/>
      <c r="FLM307" s="37"/>
      <c r="FLN307" s="37"/>
      <c r="FLO307" s="37"/>
      <c r="FLP307" s="37"/>
      <c r="FLQ307" s="33"/>
      <c r="FLR307" s="206"/>
      <c r="FLS307" s="207"/>
      <c r="FLT307" s="204"/>
      <c r="FLU307" s="35"/>
      <c r="FLV307" s="202"/>
      <c r="FLW307" s="203"/>
      <c r="FLX307" s="36"/>
      <c r="FLY307" s="36"/>
      <c r="FLZ307" s="205"/>
      <c r="FMA307" s="33"/>
      <c r="FMB307" s="37"/>
      <c r="FMC307" s="37"/>
      <c r="FMD307" s="37"/>
      <c r="FME307" s="37"/>
      <c r="FMF307" s="37"/>
      <c r="FMG307" s="33"/>
      <c r="FMH307" s="206"/>
      <c r="FMI307" s="207"/>
      <c r="FMJ307" s="204"/>
      <c r="FMK307" s="35"/>
      <c r="FML307" s="202"/>
      <c r="FMM307" s="203"/>
      <c r="FMN307" s="36"/>
      <c r="FMO307" s="36"/>
      <c r="FMP307" s="205"/>
      <c r="FMQ307" s="33"/>
      <c r="FMR307" s="37"/>
      <c r="FMS307" s="37"/>
      <c r="FMT307" s="37"/>
      <c r="FMU307" s="37"/>
      <c r="FMV307" s="37"/>
      <c r="FMW307" s="33"/>
      <c r="FMX307" s="206"/>
      <c r="FMY307" s="207"/>
      <c r="FMZ307" s="204"/>
      <c r="FNA307" s="35"/>
      <c r="FNB307" s="202"/>
      <c r="FNC307" s="203"/>
      <c r="FND307" s="36"/>
      <c r="FNE307" s="36"/>
      <c r="FNF307" s="205"/>
      <c r="FNG307" s="33"/>
      <c r="FNH307" s="37"/>
      <c r="FNI307" s="37"/>
      <c r="FNJ307" s="37"/>
      <c r="FNK307" s="37"/>
      <c r="FNL307" s="37"/>
      <c r="FNM307" s="33"/>
      <c r="FNN307" s="206"/>
      <c r="FNO307" s="207"/>
      <c r="FNP307" s="204"/>
      <c r="FNQ307" s="35"/>
      <c r="FNR307" s="202"/>
      <c r="FNS307" s="203"/>
      <c r="FNT307" s="36"/>
      <c r="FNU307" s="36"/>
      <c r="FNV307" s="205"/>
      <c r="FNW307" s="33"/>
      <c r="FNX307" s="37"/>
      <c r="FNY307" s="37"/>
      <c r="FNZ307" s="37"/>
      <c r="FOA307" s="37"/>
      <c r="FOB307" s="37"/>
      <c r="FOC307" s="33"/>
      <c r="FOD307" s="206"/>
      <c r="FOE307" s="207"/>
      <c r="FOF307" s="204"/>
      <c r="FOG307" s="35"/>
      <c r="FOH307" s="202"/>
      <c r="FOI307" s="203"/>
      <c r="FOJ307" s="36"/>
      <c r="FOK307" s="36"/>
      <c r="FOL307" s="205"/>
      <c r="FOM307" s="33"/>
      <c r="FON307" s="37"/>
      <c r="FOO307" s="37"/>
      <c r="FOP307" s="37"/>
      <c r="FOQ307" s="37"/>
      <c r="FOR307" s="37"/>
      <c r="FOS307" s="33"/>
      <c r="FOT307" s="206"/>
      <c r="FOU307" s="207"/>
      <c r="FOV307" s="204"/>
      <c r="FOW307" s="35"/>
      <c r="FOX307" s="202"/>
      <c r="FOY307" s="203"/>
      <c r="FOZ307" s="36"/>
      <c r="FPA307" s="36"/>
      <c r="FPB307" s="205"/>
      <c r="FPC307" s="33"/>
      <c r="FPD307" s="37"/>
      <c r="FPE307" s="37"/>
      <c r="FPF307" s="37"/>
      <c r="FPG307" s="37"/>
      <c r="FPH307" s="37"/>
      <c r="FPI307" s="33"/>
      <c r="FPJ307" s="206"/>
      <c r="FPK307" s="207"/>
      <c r="FPL307" s="204"/>
      <c r="FPM307" s="35"/>
      <c r="FPN307" s="202"/>
      <c r="FPO307" s="203"/>
      <c r="FPP307" s="36"/>
      <c r="FPQ307" s="36"/>
      <c r="FPR307" s="205"/>
      <c r="FPS307" s="33"/>
      <c r="FPT307" s="37"/>
      <c r="FPU307" s="37"/>
      <c r="FPV307" s="37"/>
      <c r="FPW307" s="37"/>
      <c r="FPX307" s="37"/>
      <c r="FPY307" s="33"/>
      <c r="FPZ307" s="206"/>
      <c r="FQA307" s="207"/>
      <c r="FQB307" s="204"/>
      <c r="FQC307" s="35"/>
      <c r="FQD307" s="202"/>
      <c r="FQE307" s="203"/>
      <c r="FQF307" s="36"/>
      <c r="FQG307" s="36"/>
      <c r="FQH307" s="205"/>
      <c r="FQI307" s="33"/>
      <c r="FQJ307" s="37"/>
      <c r="FQK307" s="37"/>
      <c r="FQL307" s="37"/>
      <c r="FQM307" s="37"/>
      <c r="FQN307" s="37"/>
      <c r="FQO307" s="33"/>
      <c r="FQP307" s="206"/>
      <c r="FQQ307" s="207"/>
      <c r="FQR307" s="204"/>
      <c r="FQS307" s="35"/>
      <c r="FQT307" s="202"/>
      <c r="FQU307" s="203"/>
      <c r="FQV307" s="36"/>
      <c r="FQW307" s="36"/>
      <c r="FQX307" s="205"/>
      <c r="FQY307" s="33"/>
      <c r="FQZ307" s="37"/>
      <c r="FRA307" s="37"/>
      <c r="FRB307" s="37"/>
      <c r="FRC307" s="37"/>
      <c r="FRD307" s="37"/>
      <c r="FRE307" s="33"/>
      <c r="FRF307" s="206"/>
      <c r="FRG307" s="207"/>
      <c r="FRH307" s="204"/>
      <c r="FRI307" s="35"/>
      <c r="FRJ307" s="202"/>
      <c r="FRK307" s="203"/>
      <c r="FRL307" s="36"/>
      <c r="FRM307" s="36"/>
      <c r="FRN307" s="205"/>
      <c r="FRO307" s="33"/>
      <c r="FRP307" s="37"/>
      <c r="FRQ307" s="37"/>
      <c r="FRR307" s="37"/>
      <c r="FRS307" s="37"/>
      <c r="FRT307" s="37"/>
      <c r="FRU307" s="33"/>
      <c r="FRV307" s="206"/>
      <c r="FRW307" s="207"/>
      <c r="FRX307" s="204"/>
      <c r="FRY307" s="35"/>
      <c r="FRZ307" s="202"/>
      <c r="FSA307" s="203"/>
      <c r="FSB307" s="36"/>
      <c r="FSC307" s="36"/>
      <c r="FSD307" s="205"/>
      <c r="FSE307" s="33"/>
      <c r="FSF307" s="37"/>
      <c r="FSG307" s="37"/>
      <c r="FSH307" s="37"/>
      <c r="FSI307" s="37"/>
      <c r="FSJ307" s="37"/>
      <c r="FSK307" s="33"/>
      <c r="FSL307" s="206"/>
      <c r="FSM307" s="207"/>
      <c r="FSN307" s="204"/>
      <c r="FSO307" s="35"/>
      <c r="FSP307" s="202"/>
      <c r="FSQ307" s="203"/>
      <c r="FSR307" s="36"/>
      <c r="FSS307" s="36"/>
      <c r="FST307" s="205"/>
      <c r="FSU307" s="33"/>
      <c r="FSV307" s="37"/>
      <c r="FSW307" s="37"/>
      <c r="FSX307" s="37"/>
      <c r="FSY307" s="37"/>
      <c r="FSZ307" s="37"/>
      <c r="FTA307" s="33"/>
      <c r="FTB307" s="206"/>
      <c r="FTC307" s="207"/>
      <c r="FTD307" s="204"/>
      <c r="FTE307" s="35"/>
      <c r="FTF307" s="202"/>
      <c r="FTG307" s="203"/>
      <c r="FTH307" s="36"/>
      <c r="FTI307" s="36"/>
      <c r="FTJ307" s="205"/>
      <c r="FTK307" s="33"/>
      <c r="FTL307" s="37"/>
      <c r="FTM307" s="37"/>
      <c r="FTN307" s="37"/>
      <c r="FTO307" s="37"/>
      <c r="FTP307" s="37"/>
      <c r="FTQ307" s="33"/>
      <c r="FTR307" s="206"/>
      <c r="FTS307" s="207"/>
      <c r="FTT307" s="204"/>
      <c r="FTU307" s="35"/>
      <c r="FTV307" s="202"/>
      <c r="FTW307" s="203"/>
      <c r="FTX307" s="36"/>
      <c r="FTY307" s="36"/>
      <c r="FTZ307" s="205"/>
      <c r="FUA307" s="33"/>
      <c r="FUB307" s="37"/>
      <c r="FUC307" s="37"/>
      <c r="FUD307" s="37"/>
      <c r="FUE307" s="37"/>
      <c r="FUF307" s="37"/>
      <c r="FUG307" s="33"/>
      <c r="FUH307" s="206"/>
      <c r="FUI307" s="207"/>
      <c r="FUJ307" s="204"/>
      <c r="FUK307" s="35"/>
      <c r="FUL307" s="202"/>
      <c r="FUM307" s="203"/>
      <c r="FUN307" s="36"/>
      <c r="FUO307" s="36"/>
      <c r="FUP307" s="205"/>
      <c r="FUQ307" s="33"/>
      <c r="FUR307" s="37"/>
      <c r="FUS307" s="37"/>
      <c r="FUT307" s="37"/>
      <c r="FUU307" s="37"/>
      <c r="FUV307" s="37"/>
      <c r="FUW307" s="33"/>
      <c r="FUX307" s="206"/>
      <c r="FUY307" s="207"/>
      <c r="FUZ307" s="204"/>
      <c r="FVA307" s="35"/>
      <c r="FVB307" s="202"/>
      <c r="FVC307" s="203"/>
      <c r="FVD307" s="36"/>
      <c r="FVE307" s="36"/>
      <c r="FVF307" s="205"/>
      <c r="FVG307" s="33"/>
      <c r="FVH307" s="37"/>
      <c r="FVI307" s="37"/>
      <c r="FVJ307" s="37"/>
      <c r="FVK307" s="37"/>
      <c r="FVL307" s="37"/>
      <c r="FVM307" s="33"/>
      <c r="FVN307" s="206"/>
      <c r="FVO307" s="207"/>
      <c r="FVP307" s="204"/>
      <c r="FVQ307" s="35"/>
      <c r="FVR307" s="202"/>
      <c r="FVS307" s="203"/>
      <c r="FVT307" s="36"/>
      <c r="FVU307" s="36"/>
      <c r="FVV307" s="205"/>
      <c r="FVW307" s="33"/>
      <c r="FVX307" s="37"/>
      <c r="FVY307" s="37"/>
      <c r="FVZ307" s="37"/>
      <c r="FWA307" s="37"/>
      <c r="FWB307" s="37"/>
      <c r="FWC307" s="33"/>
      <c r="FWD307" s="206"/>
      <c r="FWE307" s="207"/>
      <c r="FWF307" s="204"/>
      <c r="FWG307" s="35"/>
      <c r="FWH307" s="202"/>
      <c r="FWI307" s="203"/>
      <c r="FWJ307" s="36"/>
      <c r="FWK307" s="36"/>
      <c r="FWL307" s="205"/>
      <c r="FWM307" s="33"/>
      <c r="FWN307" s="37"/>
      <c r="FWO307" s="37"/>
      <c r="FWP307" s="37"/>
      <c r="FWQ307" s="37"/>
      <c r="FWR307" s="37"/>
      <c r="FWS307" s="33"/>
      <c r="FWT307" s="206"/>
      <c r="FWU307" s="207"/>
      <c r="FWV307" s="204"/>
      <c r="FWW307" s="35"/>
      <c r="FWX307" s="202"/>
      <c r="FWY307" s="203"/>
      <c r="FWZ307" s="36"/>
      <c r="FXA307" s="36"/>
      <c r="FXB307" s="205"/>
      <c r="FXC307" s="33"/>
      <c r="FXD307" s="37"/>
      <c r="FXE307" s="37"/>
      <c r="FXF307" s="37"/>
      <c r="FXG307" s="37"/>
      <c r="FXH307" s="37"/>
      <c r="FXI307" s="33"/>
      <c r="FXJ307" s="206"/>
      <c r="FXK307" s="207"/>
      <c r="FXL307" s="204"/>
      <c r="FXM307" s="35"/>
      <c r="FXN307" s="202"/>
      <c r="FXO307" s="203"/>
      <c r="FXP307" s="36"/>
      <c r="FXQ307" s="36"/>
      <c r="FXR307" s="205"/>
      <c r="FXS307" s="33"/>
      <c r="FXT307" s="37"/>
      <c r="FXU307" s="37"/>
      <c r="FXV307" s="37"/>
      <c r="FXW307" s="37"/>
      <c r="FXX307" s="37"/>
      <c r="FXY307" s="33"/>
      <c r="FXZ307" s="206"/>
      <c r="FYA307" s="207"/>
      <c r="FYB307" s="204"/>
      <c r="FYC307" s="35"/>
      <c r="FYD307" s="202"/>
      <c r="FYE307" s="203"/>
      <c r="FYF307" s="36"/>
      <c r="FYG307" s="36"/>
      <c r="FYH307" s="205"/>
      <c r="FYI307" s="33"/>
      <c r="FYJ307" s="37"/>
      <c r="FYK307" s="37"/>
      <c r="FYL307" s="37"/>
      <c r="FYM307" s="37"/>
      <c r="FYN307" s="37"/>
      <c r="FYO307" s="33"/>
      <c r="FYP307" s="206"/>
      <c r="FYQ307" s="207"/>
      <c r="FYR307" s="204"/>
      <c r="FYS307" s="35"/>
      <c r="FYT307" s="202"/>
      <c r="FYU307" s="203"/>
      <c r="FYV307" s="36"/>
      <c r="FYW307" s="36"/>
      <c r="FYX307" s="205"/>
      <c r="FYY307" s="33"/>
      <c r="FYZ307" s="37"/>
      <c r="FZA307" s="37"/>
      <c r="FZB307" s="37"/>
      <c r="FZC307" s="37"/>
      <c r="FZD307" s="37"/>
      <c r="FZE307" s="33"/>
      <c r="FZF307" s="206"/>
      <c r="FZG307" s="207"/>
      <c r="FZH307" s="204"/>
      <c r="FZI307" s="35"/>
      <c r="FZJ307" s="202"/>
      <c r="FZK307" s="203"/>
      <c r="FZL307" s="36"/>
      <c r="FZM307" s="36"/>
      <c r="FZN307" s="205"/>
      <c r="FZO307" s="33"/>
      <c r="FZP307" s="37"/>
      <c r="FZQ307" s="37"/>
      <c r="FZR307" s="37"/>
      <c r="FZS307" s="37"/>
      <c r="FZT307" s="37"/>
      <c r="FZU307" s="33"/>
      <c r="FZV307" s="206"/>
      <c r="FZW307" s="207"/>
      <c r="FZX307" s="204"/>
      <c r="FZY307" s="35"/>
      <c r="FZZ307" s="202"/>
      <c r="GAA307" s="203"/>
      <c r="GAB307" s="36"/>
      <c r="GAC307" s="36"/>
      <c r="GAD307" s="205"/>
      <c r="GAE307" s="33"/>
      <c r="GAF307" s="37"/>
      <c r="GAG307" s="37"/>
      <c r="GAH307" s="37"/>
      <c r="GAI307" s="37"/>
      <c r="GAJ307" s="37"/>
      <c r="GAK307" s="33"/>
      <c r="GAL307" s="206"/>
      <c r="GAM307" s="207"/>
      <c r="GAN307" s="204"/>
      <c r="GAO307" s="35"/>
      <c r="GAP307" s="202"/>
      <c r="GAQ307" s="203"/>
      <c r="GAR307" s="36"/>
      <c r="GAS307" s="36"/>
      <c r="GAT307" s="205"/>
      <c r="GAU307" s="33"/>
      <c r="GAV307" s="37"/>
      <c r="GAW307" s="37"/>
      <c r="GAX307" s="37"/>
      <c r="GAY307" s="37"/>
      <c r="GAZ307" s="37"/>
      <c r="GBA307" s="33"/>
      <c r="GBB307" s="206"/>
      <c r="GBC307" s="207"/>
      <c r="GBD307" s="204"/>
      <c r="GBE307" s="35"/>
      <c r="GBF307" s="202"/>
      <c r="GBG307" s="203"/>
      <c r="GBH307" s="36"/>
      <c r="GBI307" s="36"/>
      <c r="GBJ307" s="205"/>
      <c r="GBK307" s="33"/>
      <c r="GBL307" s="37"/>
      <c r="GBM307" s="37"/>
      <c r="GBN307" s="37"/>
      <c r="GBO307" s="37"/>
      <c r="GBP307" s="37"/>
      <c r="GBQ307" s="33"/>
      <c r="GBR307" s="206"/>
      <c r="GBS307" s="207"/>
      <c r="GBT307" s="204"/>
      <c r="GBU307" s="35"/>
      <c r="GBV307" s="202"/>
      <c r="GBW307" s="203"/>
      <c r="GBX307" s="36"/>
      <c r="GBY307" s="36"/>
      <c r="GBZ307" s="205"/>
      <c r="GCA307" s="33"/>
      <c r="GCB307" s="37"/>
      <c r="GCC307" s="37"/>
      <c r="GCD307" s="37"/>
      <c r="GCE307" s="37"/>
      <c r="GCF307" s="37"/>
      <c r="GCG307" s="33"/>
      <c r="GCH307" s="206"/>
      <c r="GCI307" s="207"/>
      <c r="GCJ307" s="204"/>
      <c r="GCK307" s="35"/>
      <c r="GCL307" s="202"/>
      <c r="GCM307" s="203"/>
      <c r="GCN307" s="36"/>
      <c r="GCO307" s="36"/>
      <c r="GCP307" s="205"/>
      <c r="GCQ307" s="33"/>
      <c r="GCR307" s="37"/>
      <c r="GCS307" s="37"/>
      <c r="GCT307" s="37"/>
      <c r="GCU307" s="37"/>
      <c r="GCV307" s="37"/>
      <c r="GCW307" s="33"/>
      <c r="GCX307" s="206"/>
      <c r="GCY307" s="207"/>
      <c r="GCZ307" s="204"/>
      <c r="GDA307" s="35"/>
      <c r="GDB307" s="202"/>
      <c r="GDC307" s="203"/>
      <c r="GDD307" s="36"/>
      <c r="GDE307" s="36"/>
      <c r="GDF307" s="205"/>
      <c r="GDG307" s="33"/>
      <c r="GDH307" s="37"/>
      <c r="GDI307" s="37"/>
      <c r="GDJ307" s="37"/>
      <c r="GDK307" s="37"/>
      <c r="GDL307" s="37"/>
      <c r="GDM307" s="33"/>
      <c r="GDN307" s="206"/>
      <c r="GDO307" s="207"/>
      <c r="GDP307" s="204"/>
      <c r="GDQ307" s="35"/>
      <c r="GDR307" s="202"/>
      <c r="GDS307" s="203"/>
      <c r="GDT307" s="36"/>
      <c r="GDU307" s="36"/>
      <c r="GDV307" s="205"/>
      <c r="GDW307" s="33"/>
      <c r="GDX307" s="37"/>
      <c r="GDY307" s="37"/>
      <c r="GDZ307" s="37"/>
      <c r="GEA307" s="37"/>
      <c r="GEB307" s="37"/>
      <c r="GEC307" s="33"/>
      <c r="GED307" s="206"/>
      <c r="GEE307" s="207"/>
      <c r="GEF307" s="204"/>
      <c r="GEG307" s="35"/>
      <c r="GEH307" s="202"/>
      <c r="GEI307" s="203"/>
      <c r="GEJ307" s="36"/>
      <c r="GEK307" s="36"/>
      <c r="GEL307" s="205"/>
      <c r="GEM307" s="33"/>
      <c r="GEN307" s="37"/>
      <c r="GEO307" s="37"/>
      <c r="GEP307" s="37"/>
      <c r="GEQ307" s="37"/>
      <c r="GER307" s="37"/>
      <c r="GES307" s="33"/>
      <c r="GET307" s="206"/>
      <c r="GEU307" s="207"/>
      <c r="GEV307" s="204"/>
      <c r="GEW307" s="35"/>
      <c r="GEX307" s="202"/>
      <c r="GEY307" s="203"/>
      <c r="GEZ307" s="36"/>
      <c r="GFA307" s="36"/>
      <c r="GFB307" s="205"/>
      <c r="GFC307" s="33"/>
      <c r="GFD307" s="37"/>
      <c r="GFE307" s="37"/>
      <c r="GFF307" s="37"/>
      <c r="GFG307" s="37"/>
      <c r="GFH307" s="37"/>
      <c r="GFI307" s="33"/>
      <c r="GFJ307" s="206"/>
      <c r="GFK307" s="207"/>
      <c r="GFL307" s="204"/>
      <c r="GFM307" s="35"/>
      <c r="GFN307" s="202"/>
      <c r="GFO307" s="203"/>
      <c r="GFP307" s="36"/>
      <c r="GFQ307" s="36"/>
      <c r="GFR307" s="205"/>
      <c r="GFS307" s="33"/>
      <c r="GFT307" s="37"/>
      <c r="GFU307" s="37"/>
      <c r="GFV307" s="37"/>
      <c r="GFW307" s="37"/>
      <c r="GFX307" s="37"/>
      <c r="GFY307" s="33"/>
      <c r="GFZ307" s="206"/>
      <c r="GGA307" s="207"/>
      <c r="GGB307" s="204"/>
      <c r="GGC307" s="35"/>
      <c r="GGD307" s="202"/>
      <c r="GGE307" s="203"/>
      <c r="GGF307" s="36"/>
      <c r="GGG307" s="36"/>
      <c r="GGH307" s="205"/>
      <c r="GGI307" s="33"/>
      <c r="GGJ307" s="37"/>
      <c r="GGK307" s="37"/>
      <c r="GGL307" s="37"/>
      <c r="GGM307" s="37"/>
      <c r="GGN307" s="37"/>
      <c r="GGO307" s="33"/>
      <c r="GGP307" s="206"/>
      <c r="GGQ307" s="207"/>
      <c r="GGR307" s="204"/>
      <c r="GGS307" s="35"/>
      <c r="GGT307" s="202"/>
      <c r="GGU307" s="203"/>
      <c r="GGV307" s="36"/>
      <c r="GGW307" s="36"/>
      <c r="GGX307" s="205"/>
      <c r="GGY307" s="33"/>
      <c r="GGZ307" s="37"/>
      <c r="GHA307" s="37"/>
      <c r="GHB307" s="37"/>
      <c r="GHC307" s="37"/>
      <c r="GHD307" s="37"/>
      <c r="GHE307" s="33"/>
      <c r="GHF307" s="206"/>
      <c r="GHG307" s="207"/>
      <c r="GHH307" s="204"/>
      <c r="GHI307" s="35"/>
      <c r="GHJ307" s="202"/>
      <c r="GHK307" s="203"/>
      <c r="GHL307" s="36"/>
      <c r="GHM307" s="36"/>
      <c r="GHN307" s="205"/>
      <c r="GHO307" s="33"/>
      <c r="GHP307" s="37"/>
      <c r="GHQ307" s="37"/>
      <c r="GHR307" s="37"/>
      <c r="GHS307" s="37"/>
      <c r="GHT307" s="37"/>
      <c r="GHU307" s="33"/>
      <c r="GHV307" s="206"/>
      <c r="GHW307" s="207"/>
      <c r="GHX307" s="204"/>
      <c r="GHY307" s="35"/>
      <c r="GHZ307" s="202"/>
      <c r="GIA307" s="203"/>
      <c r="GIB307" s="36"/>
      <c r="GIC307" s="36"/>
      <c r="GID307" s="205"/>
      <c r="GIE307" s="33"/>
      <c r="GIF307" s="37"/>
      <c r="GIG307" s="37"/>
      <c r="GIH307" s="37"/>
      <c r="GII307" s="37"/>
      <c r="GIJ307" s="37"/>
      <c r="GIK307" s="33"/>
      <c r="GIL307" s="206"/>
      <c r="GIM307" s="207"/>
      <c r="GIN307" s="204"/>
      <c r="GIO307" s="35"/>
      <c r="GIP307" s="202"/>
      <c r="GIQ307" s="203"/>
      <c r="GIR307" s="36"/>
      <c r="GIS307" s="36"/>
      <c r="GIT307" s="205"/>
      <c r="GIU307" s="33"/>
      <c r="GIV307" s="37"/>
      <c r="GIW307" s="37"/>
      <c r="GIX307" s="37"/>
      <c r="GIY307" s="37"/>
      <c r="GIZ307" s="37"/>
      <c r="GJA307" s="33"/>
      <c r="GJB307" s="206"/>
      <c r="GJC307" s="207"/>
      <c r="GJD307" s="204"/>
      <c r="GJE307" s="35"/>
      <c r="GJF307" s="202"/>
      <c r="GJG307" s="203"/>
      <c r="GJH307" s="36"/>
      <c r="GJI307" s="36"/>
      <c r="GJJ307" s="205"/>
      <c r="GJK307" s="33"/>
      <c r="GJL307" s="37"/>
      <c r="GJM307" s="37"/>
      <c r="GJN307" s="37"/>
      <c r="GJO307" s="37"/>
      <c r="GJP307" s="37"/>
      <c r="GJQ307" s="33"/>
      <c r="GJR307" s="206"/>
      <c r="GJS307" s="207"/>
      <c r="GJT307" s="204"/>
      <c r="GJU307" s="35"/>
      <c r="GJV307" s="202"/>
      <c r="GJW307" s="203"/>
      <c r="GJX307" s="36"/>
      <c r="GJY307" s="36"/>
      <c r="GJZ307" s="205"/>
      <c r="GKA307" s="33"/>
      <c r="GKB307" s="37"/>
      <c r="GKC307" s="37"/>
      <c r="GKD307" s="37"/>
      <c r="GKE307" s="37"/>
      <c r="GKF307" s="37"/>
      <c r="GKG307" s="33"/>
      <c r="GKH307" s="206"/>
      <c r="GKI307" s="207"/>
      <c r="GKJ307" s="204"/>
      <c r="GKK307" s="35"/>
      <c r="GKL307" s="202"/>
      <c r="GKM307" s="203"/>
      <c r="GKN307" s="36"/>
      <c r="GKO307" s="36"/>
      <c r="GKP307" s="205"/>
      <c r="GKQ307" s="33"/>
      <c r="GKR307" s="37"/>
      <c r="GKS307" s="37"/>
      <c r="GKT307" s="37"/>
      <c r="GKU307" s="37"/>
      <c r="GKV307" s="37"/>
      <c r="GKW307" s="33"/>
      <c r="GKX307" s="206"/>
      <c r="GKY307" s="207"/>
      <c r="GKZ307" s="204"/>
      <c r="GLA307" s="35"/>
      <c r="GLB307" s="202"/>
      <c r="GLC307" s="203"/>
      <c r="GLD307" s="36"/>
      <c r="GLE307" s="36"/>
      <c r="GLF307" s="205"/>
      <c r="GLG307" s="33"/>
      <c r="GLH307" s="37"/>
      <c r="GLI307" s="37"/>
      <c r="GLJ307" s="37"/>
      <c r="GLK307" s="37"/>
      <c r="GLL307" s="37"/>
      <c r="GLM307" s="33"/>
      <c r="GLN307" s="206"/>
      <c r="GLO307" s="207"/>
      <c r="GLP307" s="204"/>
      <c r="GLQ307" s="35"/>
      <c r="GLR307" s="202"/>
      <c r="GLS307" s="203"/>
      <c r="GLT307" s="36"/>
      <c r="GLU307" s="36"/>
      <c r="GLV307" s="205"/>
      <c r="GLW307" s="33"/>
      <c r="GLX307" s="37"/>
      <c r="GLY307" s="37"/>
      <c r="GLZ307" s="37"/>
      <c r="GMA307" s="37"/>
      <c r="GMB307" s="37"/>
      <c r="GMC307" s="33"/>
      <c r="GMD307" s="206"/>
      <c r="GME307" s="207"/>
      <c r="GMF307" s="204"/>
      <c r="GMG307" s="35"/>
      <c r="GMH307" s="202"/>
      <c r="GMI307" s="203"/>
      <c r="GMJ307" s="36"/>
      <c r="GMK307" s="36"/>
      <c r="GML307" s="205"/>
      <c r="GMM307" s="33"/>
      <c r="GMN307" s="37"/>
      <c r="GMO307" s="37"/>
      <c r="GMP307" s="37"/>
      <c r="GMQ307" s="37"/>
      <c r="GMR307" s="37"/>
      <c r="GMS307" s="33"/>
      <c r="GMT307" s="206"/>
      <c r="GMU307" s="207"/>
      <c r="GMV307" s="204"/>
      <c r="GMW307" s="35"/>
      <c r="GMX307" s="202"/>
      <c r="GMY307" s="203"/>
      <c r="GMZ307" s="36"/>
      <c r="GNA307" s="36"/>
      <c r="GNB307" s="205"/>
      <c r="GNC307" s="33"/>
      <c r="GND307" s="37"/>
      <c r="GNE307" s="37"/>
      <c r="GNF307" s="37"/>
      <c r="GNG307" s="37"/>
      <c r="GNH307" s="37"/>
      <c r="GNI307" s="33"/>
      <c r="GNJ307" s="206"/>
      <c r="GNK307" s="207"/>
      <c r="GNL307" s="204"/>
      <c r="GNM307" s="35"/>
      <c r="GNN307" s="202"/>
      <c r="GNO307" s="203"/>
      <c r="GNP307" s="36"/>
      <c r="GNQ307" s="36"/>
      <c r="GNR307" s="205"/>
      <c r="GNS307" s="33"/>
      <c r="GNT307" s="37"/>
      <c r="GNU307" s="37"/>
      <c r="GNV307" s="37"/>
      <c r="GNW307" s="37"/>
      <c r="GNX307" s="37"/>
      <c r="GNY307" s="33"/>
      <c r="GNZ307" s="206"/>
      <c r="GOA307" s="207"/>
      <c r="GOB307" s="204"/>
      <c r="GOC307" s="35"/>
      <c r="GOD307" s="202"/>
      <c r="GOE307" s="203"/>
      <c r="GOF307" s="36"/>
      <c r="GOG307" s="36"/>
      <c r="GOH307" s="205"/>
      <c r="GOI307" s="33"/>
      <c r="GOJ307" s="37"/>
      <c r="GOK307" s="37"/>
      <c r="GOL307" s="37"/>
      <c r="GOM307" s="37"/>
      <c r="GON307" s="37"/>
      <c r="GOO307" s="33"/>
      <c r="GOP307" s="206"/>
      <c r="GOQ307" s="207"/>
      <c r="GOR307" s="204"/>
      <c r="GOS307" s="35"/>
      <c r="GOT307" s="202"/>
      <c r="GOU307" s="203"/>
      <c r="GOV307" s="36"/>
      <c r="GOW307" s="36"/>
      <c r="GOX307" s="205"/>
      <c r="GOY307" s="33"/>
      <c r="GOZ307" s="37"/>
      <c r="GPA307" s="37"/>
      <c r="GPB307" s="37"/>
      <c r="GPC307" s="37"/>
      <c r="GPD307" s="37"/>
      <c r="GPE307" s="33"/>
      <c r="GPF307" s="206"/>
      <c r="GPG307" s="207"/>
      <c r="GPH307" s="204"/>
      <c r="GPI307" s="35"/>
      <c r="GPJ307" s="202"/>
      <c r="GPK307" s="203"/>
      <c r="GPL307" s="36"/>
      <c r="GPM307" s="36"/>
      <c r="GPN307" s="205"/>
      <c r="GPO307" s="33"/>
      <c r="GPP307" s="37"/>
      <c r="GPQ307" s="37"/>
      <c r="GPR307" s="37"/>
      <c r="GPS307" s="37"/>
      <c r="GPT307" s="37"/>
      <c r="GPU307" s="33"/>
      <c r="GPV307" s="206"/>
      <c r="GPW307" s="207"/>
      <c r="GPX307" s="204"/>
      <c r="GPY307" s="35"/>
      <c r="GPZ307" s="202"/>
      <c r="GQA307" s="203"/>
      <c r="GQB307" s="36"/>
      <c r="GQC307" s="36"/>
      <c r="GQD307" s="205"/>
      <c r="GQE307" s="33"/>
      <c r="GQF307" s="37"/>
      <c r="GQG307" s="37"/>
      <c r="GQH307" s="37"/>
      <c r="GQI307" s="37"/>
      <c r="GQJ307" s="37"/>
      <c r="GQK307" s="33"/>
      <c r="GQL307" s="206"/>
      <c r="GQM307" s="207"/>
      <c r="GQN307" s="204"/>
      <c r="GQO307" s="35"/>
      <c r="GQP307" s="202"/>
      <c r="GQQ307" s="203"/>
      <c r="GQR307" s="36"/>
      <c r="GQS307" s="36"/>
      <c r="GQT307" s="205"/>
      <c r="GQU307" s="33"/>
      <c r="GQV307" s="37"/>
      <c r="GQW307" s="37"/>
      <c r="GQX307" s="37"/>
      <c r="GQY307" s="37"/>
      <c r="GQZ307" s="37"/>
      <c r="GRA307" s="33"/>
      <c r="GRB307" s="206"/>
      <c r="GRC307" s="207"/>
      <c r="GRD307" s="204"/>
      <c r="GRE307" s="35"/>
      <c r="GRF307" s="202"/>
      <c r="GRG307" s="203"/>
      <c r="GRH307" s="36"/>
      <c r="GRI307" s="36"/>
      <c r="GRJ307" s="205"/>
      <c r="GRK307" s="33"/>
      <c r="GRL307" s="37"/>
      <c r="GRM307" s="37"/>
      <c r="GRN307" s="37"/>
      <c r="GRO307" s="37"/>
      <c r="GRP307" s="37"/>
      <c r="GRQ307" s="33"/>
      <c r="GRR307" s="206"/>
      <c r="GRS307" s="207"/>
      <c r="GRT307" s="204"/>
      <c r="GRU307" s="35"/>
      <c r="GRV307" s="202"/>
      <c r="GRW307" s="203"/>
      <c r="GRX307" s="36"/>
      <c r="GRY307" s="36"/>
      <c r="GRZ307" s="205"/>
      <c r="GSA307" s="33"/>
      <c r="GSB307" s="37"/>
      <c r="GSC307" s="37"/>
      <c r="GSD307" s="37"/>
      <c r="GSE307" s="37"/>
      <c r="GSF307" s="37"/>
      <c r="GSG307" s="33"/>
      <c r="GSH307" s="206"/>
      <c r="GSI307" s="207"/>
      <c r="GSJ307" s="204"/>
      <c r="GSK307" s="35"/>
      <c r="GSL307" s="202"/>
      <c r="GSM307" s="203"/>
      <c r="GSN307" s="36"/>
      <c r="GSO307" s="36"/>
      <c r="GSP307" s="205"/>
      <c r="GSQ307" s="33"/>
      <c r="GSR307" s="37"/>
      <c r="GSS307" s="37"/>
      <c r="GST307" s="37"/>
      <c r="GSU307" s="37"/>
      <c r="GSV307" s="37"/>
      <c r="GSW307" s="33"/>
      <c r="GSX307" s="206"/>
      <c r="GSY307" s="207"/>
      <c r="GSZ307" s="204"/>
      <c r="GTA307" s="35"/>
      <c r="GTB307" s="202"/>
      <c r="GTC307" s="203"/>
      <c r="GTD307" s="36"/>
      <c r="GTE307" s="36"/>
      <c r="GTF307" s="205"/>
      <c r="GTG307" s="33"/>
      <c r="GTH307" s="37"/>
      <c r="GTI307" s="37"/>
      <c r="GTJ307" s="37"/>
      <c r="GTK307" s="37"/>
      <c r="GTL307" s="37"/>
      <c r="GTM307" s="33"/>
      <c r="GTN307" s="206"/>
      <c r="GTO307" s="207"/>
      <c r="GTP307" s="204"/>
      <c r="GTQ307" s="35"/>
      <c r="GTR307" s="202"/>
      <c r="GTS307" s="203"/>
      <c r="GTT307" s="36"/>
      <c r="GTU307" s="36"/>
      <c r="GTV307" s="205"/>
      <c r="GTW307" s="33"/>
      <c r="GTX307" s="37"/>
      <c r="GTY307" s="37"/>
      <c r="GTZ307" s="37"/>
      <c r="GUA307" s="37"/>
      <c r="GUB307" s="37"/>
      <c r="GUC307" s="33"/>
      <c r="GUD307" s="206"/>
      <c r="GUE307" s="207"/>
      <c r="GUF307" s="204"/>
      <c r="GUG307" s="35"/>
      <c r="GUH307" s="202"/>
      <c r="GUI307" s="203"/>
      <c r="GUJ307" s="36"/>
      <c r="GUK307" s="36"/>
      <c r="GUL307" s="205"/>
      <c r="GUM307" s="33"/>
      <c r="GUN307" s="37"/>
      <c r="GUO307" s="37"/>
      <c r="GUP307" s="37"/>
      <c r="GUQ307" s="37"/>
      <c r="GUR307" s="37"/>
      <c r="GUS307" s="33"/>
      <c r="GUT307" s="206"/>
      <c r="GUU307" s="207"/>
      <c r="GUV307" s="204"/>
      <c r="GUW307" s="35"/>
      <c r="GUX307" s="202"/>
      <c r="GUY307" s="203"/>
      <c r="GUZ307" s="36"/>
      <c r="GVA307" s="36"/>
      <c r="GVB307" s="205"/>
      <c r="GVC307" s="33"/>
      <c r="GVD307" s="37"/>
      <c r="GVE307" s="37"/>
      <c r="GVF307" s="37"/>
      <c r="GVG307" s="37"/>
      <c r="GVH307" s="37"/>
      <c r="GVI307" s="33"/>
      <c r="GVJ307" s="206"/>
      <c r="GVK307" s="207"/>
      <c r="GVL307" s="204"/>
      <c r="GVM307" s="35"/>
      <c r="GVN307" s="202"/>
      <c r="GVO307" s="203"/>
      <c r="GVP307" s="36"/>
      <c r="GVQ307" s="36"/>
      <c r="GVR307" s="205"/>
      <c r="GVS307" s="33"/>
      <c r="GVT307" s="37"/>
      <c r="GVU307" s="37"/>
      <c r="GVV307" s="37"/>
      <c r="GVW307" s="37"/>
      <c r="GVX307" s="37"/>
      <c r="GVY307" s="33"/>
      <c r="GVZ307" s="206"/>
      <c r="GWA307" s="207"/>
      <c r="GWB307" s="204"/>
      <c r="GWC307" s="35"/>
      <c r="GWD307" s="202"/>
      <c r="GWE307" s="203"/>
      <c r="GWF307" s="36"/>
      <c r="GWG307" s="36"/>
      <c r="GWH307" s="205"/>
      <c r="GWI307" s="33"/>
      <c r="GWJ307" s="37"/>
      <c r="GWK307" s="37"/>
      <c r="GWL307" s="37"/>
      <c r="GWM307" s="37"/>
      <c r="GWN307" s="37"/>
      <c r="GWO307" s="33"/>
      <c r="GWP307" s="206"/>
      <c r="GWQ307" s="207"/>
      <c r="GWR307" s="204"/>
      <c r="GWS307" s="35"/>
      <c r="GWT307" s="202"/>
      <c r="GWU307" s="203"/>
      <c r="GWV307" s="36"/>
      <c r="GWW307" s="36"/>
      <c r="GWX307" s="205"/>
      <c r="GWY307" s="33"/>
      <c r="GWZ307" s="37"/>
      <c r="GXA307" s="37"/>
      <c r="GXB307" s="37"/>
      <c r="GXC307" s="37"/>
      <c r="GXD307" s="37"/>
      <c r="GXE307" s="33"/>
      <c r="GXF307" s="206"/>
      <c r="GXG307" s="207"/>
      <c r="GXH307" s="204"/>
      <c r="GXI307" s="35"/>
      <c r="GXJ307" s="202"/>
      <c r="GXK307" s="203"/>
      <c r="GXL307" s="36"/>
      <c r="GXM307" s="36"/>
      <c r="GXN307" s="205"/>
      <c r="GXO307" s="33"/>
      <c r="GXP307" s="37"/>
      <c r="GXQ307" s="37"/>
      <c r="GXR307" s="37"/>
      <c r="GXS307" s="37"/>
      <c r="GXT307" s="37"/>
      <c r="GXU307" s="33"/>
      <c r="GXV307" s="206"/>
      <c r="GXW307" s="207"/>
      <c r="GXX307" s="204"/>
      <c r="GXY307" s="35"/>
      <c r="GXZ307" s="202"/>
      <c r="GYA307" s="203"/>
      <c r="GYB307" s="36"/>
      <c r="GYC307" s="36"/>
      <c r="GYD307" s="205"/>
      <c r="GYE307" s="33"/>
      <c r="GYF307" s="37"/>
      <c r="GYG307" s="37"/>
      <c r="GYH307" s="37"/>
      <c r="GYI307" s="37"/>
      <c r="GYJ307" s="37"/>
      <c r="GYK307" s="33"/>
      <c r="GYL307" s="206"/>
      <c r="GYM307" s="207"/>
      <c r="GYN307" s="204"/>
      <c r="GYO307" s="35"/>
      <c r="GYP307" s="202"/>
      <c r="GYQ307" s="203"/>
      <c r="GYR307" s="36"/>
      <c r="GYS307" s="36"/>
      <c r="GYT307" s="205"/>
      <c r="GYU307" s="33"/>
      <c r="GYV307" s="37"/>
      <c r="GYW307" s="37"/>
      <c r="GYX307" s="37"/>
      <c r="GYY307" s="37"/>
      <c r="GYZ307" s="37"/>
      <c r="GZA307" s="33"/>
      <c r="GZB307" s="206"/>
      <c r="GZC307" s="207"/>
      <c r="GZD307" s="204"/>
      <c r="GZE307" s="35"/>
      <c r="GZF307" s="202"/>
      <c r="GZG307" s="203"/>
      <c r="GZH307" s="36"/>
      <c r="GZI307" s="36"/>
      <c r="GZJ307" s="205"/>
      <c r="GZK307" s="33"/>
      <c r="GZL307" s="37"/>
      <c r="GZM307" s="37"/>
      <c r="GZN307" s="37"/>
      <c r="GZO307" s="37"/>
      <c r="GZP307" s="37"/>
      <c r="GZQ307" s="33"/>
      <c r="GZR307" s="206"/>
      <c r="GZS307" s="207"/>
      <c r="GZT307" s="204"/>
      <c r="GZU307" s="35"/>
      <c r="GZV307" s="202"/>
      <c r="GZW307" s="203"/>
      <c r="GZX307" s="36"/>
      <c r="GZY307" s="36"/>
      <c r="GZZ307" s="205"/>
      <c r="HAA307" s="33"/>
      <c r="HAB307" s="37"/>
      <c r="HAC307" s="37"/>
      <c r="HAD307" s="37"/>
      <c r="HAE307" s="37"/>
      <c r="HAF307" s="37"/>
      <c r="HAG307" s="33"/>
      <c r="HAH307" s="206"/>
      <c r="HAI307" s="207"/>
      <c r="HAJ307" s="204"/>
      <c r="HAK307" s="35"/>
      <c r="HAL307" s="202"/>
      <c r="HAM307" s="203"/>
      <c r="HAN307" s="36"/>
      <c r="HAO307" s="36"/>
      <c r="HAP307" s="205"/>
      <c r="HAQ307" s="33"/>
      <c r="HAR307" s="37"/>
      <c r="HAS307" s="37"/>
      <c r="HAT307" s="37"/>
      <c r="HAU307" s="37"/>
      <c r="HAV307" s="37"/>
      <c r="HAW307" s="33"/>
      <c r="HAX307" s="206"/>
      <c r="HAY307" s="207"/>
      <c r="HAZ307" s="204"/>
      <c r="HBA307" s="35"/>
      <c r="HBB307" s="202"/>
      <c r="HBC307" s="203"/>
      <c r="HBD307" s="36"/>
      <c r="HBE307" s="36"/>
      <c r="HBF307" s="205"/>
      <c r="HBG307" s="33"/>
      <c r="HBH307" s="37"/>
      <c r="HBI307" s="37"/>
      <c r="HBJ307" s="37"/>
      <c r="HBK307" s="37"/>
      <c r="HBL307" s="37"/>
      <c r="HBM307" s="33"/>
      <c r="HBN307" s="206"/>
      <c r="HBO307" s="207"/>
      <c r="HBP307" s="204"/>
      <c r="HBQ307" s="35"/>
      <c r="HBR307" s="202"/>
      <c r="HBS307" s="203"/>
      <c r="HBT307" s="36"/>
      <c r="HBU307" s="36"/>
      <c r="HBV307" s="205"/>
      <c r="HBW307" s="33"/>
      <c r="HBX307" s="37"/>
      <c r="HBY307" s="37"/>
      <c r="HBZ307" s="37"/>
      <c r="HCA307" s="37"/>
      <c r="HCB307" s="37"/>
      <c r="HCC307" s="33"/>
      <c r="HCD307" s="206"/>
      <c r="HCE307" s="207"/>
      <c r="HCF307" s="204"/>
      <c r="HCG307" s="35"/>
      <c r="HCH307" s="202"/>
      <c r="HCI307" s="203"/>
      <c r="HCJ307" s="36"/>
      <c r="HCK307" s="36"/>
      <c r="HCL307" s="205"/>
      <c r="HCM307" s="33"/>
      <c r="HCN307" s="37"/>
      <c r="HCO307" s="37"/>
      <c r="HCP307" s="37"/>
      <c r="HCQ307" s="37"/>
      <c r="HCR307" s="37"/>
      <c r="HCS307" s="33"/>
      <c r="HCT307" s="206"/>
      <c r="HCU307" s="207"/>
      <c r="HCV307" s="204"/>
      <c r="HCW307" s="35"/>
      <c r="HCX307" s="202"/>
      <c r="HCY307" s="203"/>
      <c r="HCZ307" s="36"/>
      <c r="HDA307" s="36"/>
      <c r="HDB307" s="205"/>
      <c r="HDC307" s="33"/>
      <c r="HDD307" s="37"/>
      <c r="HDE307" s="37"/>
      <c r="HDF307" s="37"/>
      <c r="HDG307" s="37"/>
      <c r="HDH307" s="37"/>
      <c r="HDI307" s="33"/>
      <c r="HDJ307" s="206"/>
      <c r="HDK307" s="207"/>
      <c r="HDL307" s="204"/>
      <c r="HDM307" s="35"/>
      <c r="HDN307" s="202"/>
      <c r="HDO307" s="203"/>
      <c r="HDP307" s="36"/>
      <c r="HDQ307" s="36"/>
      <c r="HDR307" s="205"/>
      <c r="HDS307" s="33"/>
      <c r="HDT307" s="37"/>
      <c r="HDU307" s="37"/>
      <c r="HDV307" s="37"/>
      <c r="HDW307" s="37"/>
      <c r="HDX307" s="37"/>
      <c r="HDY307" s="33"/>
      <c r="HDZ307" s="206"/>
      <c r="HEA307" s="207"/>
      <c r="HEB307" s="204"/>
      <c r="HEC307" s="35"/>
      <c r="HED307" s="202"/>
      <c r="HEE307" s="203"/>
      <c r="HEF307" s="36"/>
      <c r="HEG307" s="36"/>
      <c r="HEH307" s="205"/>
      <c r="HEI307" s="33"/>
      <c r="HEJ307" s="37"/>
      <c r="HEK307" s="37"/>
      <c r="HEL307" s="37"/>
      <c r="HEM307" s="37"/>
      <c r="HEN307" s="37"/>
      <c r="HEO307" s="33"/>
      <c r="HEP307" s="206"/>
      <c r="HEQ307" s="207"/>
      <c r="HER307" s="204"/>
      <c r="HES307" s="35"/>
      <c r="HET307" s="202"/>
      <c r="HEU307" s="203"/>
      <c r="HEV307" s="36"/>
      <c r="HEW307" s="36"/>
      <c r="HEX307" s="205"/>
      <c r="HEY307" s="33"/>
      <c r="HEZ307" s="37"/>
      <c r="HFA307" s="37"/>
      <c r="HFB307" s="37"/>
      <c r="HFC307" s="37"/>
      <c r="HFD307" s="37"/>
      <c r="HFE307" s="33"/>
      <c r="HFF307" s="206"/>
      <c r="HFG307" s="207"/>
      <c r="HFH307" s="204"/>
      <c r="HFI307" s="35"/>
      <c r="HFJ307" s="202"/>
      <c r="HFK307" s="203"/>
      <c r="HFL307" s="36"/>
      <c r="HFM307" s="36"/>
      <c r="HFN307" s="205"/>
      <c r="HFO307" s="33"/>
      <c r="HFP307" s="37"/>
      <c r="HFQ307" s="37"/>
      <c r="HFR307" s="37"/>
      <c r="HFS307" s="37"/>
      <c r="HFT307" s="37"/>
      <c r="HFU307" s="33"/>
      <c r="HFV307" s="206"/>
      <c r="HFW307" s="207"/>
      <c r="HFX307" s="204"/>
      <c r="HFY307" s="35"/>
      <c r="HFZ307" s="202"/>
      <c r="HGA307" s="203"/>
      <c r="HGB307" s="36"/>
      <c r="HGC307" s="36"/>
      <c r="HGD307" s="205"/>
      <c r="HGE307" s="33"/>
      <c r="HGF307" s="37"/>
      <c r="HGG307" s="37"/>
      <c r="HGH307" s="37"/>
      <c r="HGI307" s="37"/>
      <c r="HGJ307" s="37"/>
      <c r="HGK307" s="33"/>
      <c r="HGL307" s="206"/>
      <c r="HGM307" s="207"/>
      <c r="HGN307" s="204"/>
      <c r="HGO307" s="35"/>
      <c r="HGP307" s="202"/>
      <c r="HGQ307" s="203"/>
      <c r="HGR307" s="36"/>
      <c r="HGS307" s="36"/>
      <c r="HGT307" s="205"/>
      <c r="HGU307" s="33"/>
      <c r="HGV307" s="37"/>
      <c r="HGW307" s="37"/>
      <c r="HGX307" s="37"/>
      <c r="HGY307" s="37"/>
      <c r="HGZ307" s="37"/>
      <c r="HHA307" s="33"/>
      <c r="HHB307" s="206"/>
      <c r="HHC307" s="207"/>
      <c r="HHD307" s="204"/>
      <c r="HHE307" s="35"/>
      <c r="HHF307" s="202"/>
      <c r="HHG307" s="203"/>
      <c r="HHH307" s="36"/>
      <c r="HHI307" s="36"/>
      <c r="HHJ307" s="205"/>
      <c r="HHK307" s="33"/>
      <c r="HHL307" s="37"/>
      <c r="HHM307" s="37"/>
      <c r="HHN307" s="37"/>
      <c r="HHO307" s="37"/>
      <c r="HHP307" s="37"/>
      <c r="HHQ307" s="33"/>
      <c r="HHR307" s="206"/>
      <c r="HHS307" s="207"/>
      <c r="HHT307" s="204"/>
      <c r="HHU307" s="35"/>
      <c r="HHV307" s="202"/>
      <c r="HHW307" s="203"/>
      <c r="HHX307" s="36"/>
      <c r="HHY307" s="36"/>
      <c r="HHZ307" s="205"/>
      <c r="HIA307" s="33"/>
      <c r="HIB307" s="37"/>
      <c r="HIC307" s="37"/>
      <c r="HID307" s="37"/>
      <c r="HIE307" s="37"/>
      <c r="HIF307" s="37"/>
      <c r="HIG307" s="33"/>
      <c r="HIH307" s="206"/>
      <c r="HII307" s="207"/>
      <c r="HIJ307" s="204"/>
      <c r="HIK307" s="35"/>
      <c r="HIL307" s="202"/>
      <c r="HIM307" s="203"/>
      <c r="HIN307" s="36"/>
      <c r="HIO307" s="36"/>
      <c r="HIP307" s="205"/>
      <c r="HIQ307" s="33"/>
      <c r="HIR307" s="37"/>
      <c r="HIS307" s="37"/>
      <c r="HIT307" s="37"/>
      <c r="HIU307" s="37"/>
      <c r="HIV307" s="37"/>
      <c r="HIW307" s="33"/>
      <c r="HIX307" s="206"/>
      <c r="HIY307" s="207"/>
      <c r="HIZ307" s="204"/>
      <c r="HJA307" s="35"/>
      <c r="HJB307" s="202"/>
      <c r="HJC307" s="203"/>
      <c r="HJD307" s="36"/>
      <c r="HJE307" s="36"/>
      <c r="HJF307" s="205"/>
      <c r="HJG307" s="33"/>
      <c r="HJH307" s="37"/>
      <c r="HJI307" s="37"/>
      <c r="HJJ307" s="37"/>
      <c r="HJK307" s="37"/>
      <c r="HJL307" s="37"/>
      <c r="HJM307" s="33"/>
      <c r="HJN307" s="206"/>
      <c r="HJO307" s="207"/>
      <c r="HJP307" s="204"/>
      <c r="HJQ307" s="35"/>
      <c r="HJR307" s="202"/>
      <c r="HJS307" s="203"/>
      <c r="HJT307" s="36"/>
      <c r="HJU307" s="36"/>
      <c r="HJV307" s="205"/>
      <c r="HJW307" s="33"/>
      <c r="HJX307" s="37"/>
      <c r="HJY307" s="37"/>
      <c r="HJZ307" s="37"/>
      <c r="HKA307" s="37"/>
      <c r="HKB307" s="37"/>
      <c r="HKC307" s="33"/>
      <c r="HKD307" s="206"/>
      <c r="HKE307" s="207"/>
      <c r="HKF307" s="204"/>
      <c r="HKG307" s="35"/>
      <c r="HKH307" s="202"/>
      <c r="HKI307" s="203"/>
      <c r="HKJ307" s="36"/>
      <c r="HKK307" s="36"/>
      <c r="HKL307" s="205"/>
      <c r="HKM307" s="33"/>
      <c r="HKN307" s="37"/>
      <c r="HKO307" s="37"/>
      <c r="HKP307" s="37"/>
      <c r="HKQ307" s="37"/>
      <c r="HKR307" s="37"/>
      <c r="HKS307" s="33"/>
      <c r="HKT307" s="206"/>
      <c r="HKU307" s="207"/>
      <c r="HKV307" s="204"/>
      <c r="HKW307" s="35"/>
      <c r="HKX307" s="202"/>
      <c r="HKY307" s="203"/>
      <c r="HKZ307" s="36"/>
      <c r="HLA307" s="36"/>
      <c r="HLB307" s="205"/>
      <c r="HLC307" s="33"/>
      <c r="HLD307" s="37"/>
      <c r="HLE307" s="37"/>
      <c r="HLF307" s="37"/>
      <c r="HLG307" s="37"/>
      <c r="HLH307" s="37"/>
      <c r="HLI307" s="33"/>
      <c r="HLJ307" s="206"/>
      <c r="HLK307" s="207"/>
      <c r="HLL307" s="204"/>
      <c r="HLM307" s="35"/>
      <c r="HLN307" s="202"/>
      <c r="HLO307" s="203"/>
      <c r="HLP307" s="36"/>
      <c r="HLQ307" s="36"/>
      <c r="HLR307" s="205"/>
      <c r="HLS307" s="33"/>
      <c r="HLT307" s="37"/>
      <c r="HLU307" s="37"/>
      <c r="HLV307" s="37"/>
      <c r="HLW307" s="37"/>
      <c r="HLX307" s="37"/>
      <c r="HLY307" s="33"/>
      <c r="HLZ307" s="206"/>
      <c r="HMA307" s="207"/>
      <c r="HMB307" s="204"/>
      <c r="HMC307" s="35"/>
      <c r="HMD307" s="202"/>
      <c r="HME307" s="203"/>
      <c r="HMF307" s="36"/>
      <c r="HMG307" s="36"/>
      <c r="HMH307" s="205"/>
      <c r="HMI307" s="33"/>
      <c r="HMJ307" s="37"/>
      <c r="HMK307" s="37"/>
      <c r="HML307" s="37"/>
      <c r="HMM307" s="37"/>
      <c r="HMN307" s="37"/>
      <c r="HMO307" s="33"/>
      <c r="HMP307" s="206"/>
      <c r="HMQ307" s="207"/>
      <c r="HMR307" s="204"/>
      <c r="HMS307" s="35"/>
      <c r="HMT307" s="202"/>
      <c r="HMU307" s="203"/>
      <c r="HMV307" s="36"/>
      <c r="HMW307" s="36"/>
      <c r="HMX307" s="205"/>
      <c r="HMY307" s="33"/>
      <c r="HMZ307" s="37"/>
      <c r="HNA307" s="37"/>
      <c r="HNB307" s="37"/>
      <c r="HNC307" s="37"/>
      <c r="HND307" s="37"/>
      <c r="HNE307" s="33"/>
      <c r="HNF307" s="206"/>
      <c r="HNG307" s="207"/>
      <c r="HNH307" s="204"/>
      <c r="HNI307" s="35"/>
      <c r="HNJ307" s="202"/>
      <c r="HNK307" s="203"/>
      <c r="HNL307" s="36"/>
      <c r="HNM307" s="36"/>
      <c r="HNN307" s="205"/>
      <c r="HNO307" s="33"/>
      <c r="HNP307" s="37"/>
      <c r="HNQ307" s="37"/>
      <c r="HNR307" s="37"/>
      <c r="HNS307" s="37"/>
      <c r="HNT307" s="37"/>
      <c r="HNU307" s="33"/>
      <c r="HNV307" s="206"/>
      <c r="HNW307" s="207"/>
      <c r="HNX307" s="204"/>
      <c r="HNY307" s="35"/>
      <c r="HNZ307" s="202"/>
      <c r="HOA307" s="203"/>
      <c r="HOB307" s="36"/>
      <c r="HOC307" s="36"/>
      <c r="HOD307" s="205"/>
      <c r="HOE307" s="33"/>
      <c r="HOF307" s="37"/>
      <c r="HOG307" s="37"/>
      <c r="HOH307" s="37"/>
      <c r="HOI307" s="37"/>
      <c r="HOJ307" s="37"/>
      <c r="HOK307" s="33"/>
      <c r="HOL307" s="206"/>
      <c r="HOM307" s="207"/>
      <c r="HON307" s="204"/>
      <c r="HOO307" s="35"/>
      <c r="HOP307" s="202"/>
      <c r="HOQ307" s="203"/>
      <c r="HOR307" s="36"/>
      <c r="HOS307" s="36"/>
      <c r="HOT307" s="205"/>
      <c r="HOU307" s="33"/>
      <c r="HOV307" s="37"/>
      <c r="HOW307" s="37"/>
      <c r="HOX307" s="37"/>
      <c r="HOY307" s="37"/>
      <c r="HOZ307" s="37"/>
      <c r="HPA307" s="33"/>
      <c r="HPB307" s="206"/>
      <c r="HPC307" s="207"/>
      <c r="HPD307" s="204"/>
      <c r="HPE307" s="35"/>
      <c r="HPF307" s="202"/>
      <c r="HPG307" s="203"/>
      <c r="HPH307" s="36"/>
      <c r="HPI307" s="36"/>
      <c r="HPJ307" s="205"/>
      <c r="HPK307" s="33"/>
      <c r="HPL307" s="37"/>
      <c r="HPM307" s="37"/>
      <c r="HPN307" s="37"/>
      <c r="HPO307" s="37"/>
      <c r="HPP307" s="37"/>
      <c r="HPQ307" s="33"/>
      <c r="HPR307" s="206"/>
      <c r="HPS307" s="207"/>
      <c r="HPT307" s="204"/>
      <c r="HPU307" s="35"/>
      <c r="HPV307" s="202"/>
      <c r="HPW307" s="203"/>
      <c r="HPX307" s="36"/>
      <c r="HPY307" s="36"/>
      <c r="HPZ307" s="205"/>
      <c r="HQA307" s="33"/>
      <c r="HQB307" s="37"/>
      <c r="HQC307" s="37"/>
      <c r="HQD307" s="37"/>
      <c r="HQE307" s="37"/>
      <c r="HQF307" s="37"/>
      <c r="HQG307" s="33"/>
      <c r="HQH307" s="206"/>
      <c r="HQI307" s="207"/>
      <c r="HQJ307" s="204"/>
      <c r="HQK307" s="35"/>
      <c r="HQL307" s="202"/>
      <c r="HQM307" s="203"/>
      <c r="HQN307" s="36"/>
      <c r="HQO307" s="36"/>
      <c r="HQP307" s="205"/>
      <c r="HQQ307" s="33"/>
      <c r="HQR307" s="37"/>
      <c r="HQS307" s="37"/>
      <c r="HQT307" s="37"/>
      <c r="HQU307" s="37"/>
      <c r="HQV307" s="37"/>
      <c r="HQW307" s="33"/>
      <c r="HQX307" s="206"/>
      <c r="HQY307" s="207"/>
      <c r="HQZ307" s="204"/>
      <c r="HRA307" s="35"/>
      <c r="HRB307" s="202"/>
      <c r="HRC307" s="203"/>
      <c r="HRD307" s="36"/>
      <c r="HRE307" s="36"/>
      <c r="HRF307" s="205"/>
      <c r="HRG307" s="33"/>
      <c r="HRH307" s="37"/>
      <c r="HRI307" s="37"/>
      <c r="HRJ307" s="37"/>
      <c r="HRK307" s="37"/>
      <c r="HRL307" s="37"/>
      <c r="HRM307" s="33"/>
      <c r="HRN307" s="206"/>
      <c r="HRO307" s="207"/>
      <c r="HRP307" s="204"/>
      <c r="HRQ307" s="35"/>
      <c r="HRR307" s="202"/>
      <c r="HRS307" s="203"/>
      <c r="HRT307" s="36"/>
      <c r="HRU307" s="36"/>
      <c r="HRV307" s="205"/>
      <c r="HRW307" s="33"/>
      <c r="HRX307" s="37"/>
      <c r="HRY307" s="37"/>
      <c r="HRZ307" s="37"/>
      <c r="HSA307" s="37"/>
      <c r="HSB307" s="37"/>
      <c r="HSC307" s="33"/>
      <c r="HSD307" s="206"/>
      <c r="HSE307" s="207"/>
      <c r="HSF307" s="204"/>
      <c r="HSG307" s="35"/>
      <c r="HSH307" s="202"/>
      <c r="HSI307" s="203"/>
      <c r="HSJ307" s="36"/>
      <c r="HSK307" s="36"/>
      <c r="HSL307" s="205"/>
      <c r="HSM307" s="33"/>
      <c r="HSN307" s="37"/>
      <c r="HSO307" s="37"/>
      <c r="HSP307" s="37"/>
      <c r="HSQ307" s="37"/>
      <c r="HSR307" s="37"/>
      <c r="HSS307" s="33"/>
      <c r="HST307" s="206"/>
      <c r="HSU307" s="207"/>
      <c r="HSV307" s="204"/>
      <c r="HSW307" s="35"/>
      <c r="HSX307" s="202"/>
      <c r="HSY307" s="203"/>
      <c r="HSZ307" s="36"/>
      <c r="HTA307" s="36"/>
      <c r="HTB307" s="205"/>
      <c r="HTC307" s="33"/>
      <c r="HTD307" s="37"/>
      <c r="HTE307" s="37"/>
      <c r="HTF307" s="37"/>
      <c r="HTG307" s="37"/>
      <c r="HTH307" s="37"/>
      <c r="HTI307" s="33"/>
      <c r="HTJ307" s="206"/>
      <c r="HTK307" s="207"/>
      <c r="HTL307" s="204"/>
      <c r="HTM307" s="35"/>
      <c r="HTN307" s="202"/>
      <c r="HTO307" s="203"/>
      <c r="HTP307" s="36"/>
      <c r="HTQ307" s="36"/>
      <c r="HTR307" s="205"/>
      <c r="HTS307" s="33"/>
      <c r="HTT307" s="37"/>
      <c r="HTU307" s="37"/>
      <c r="HTV307" s="37"/>
      <c r="HTW307" s="37"/>
      <c r="HTX307" s="37"/>
      <c r="HTY307" s="33"/>
      <c r="HTZ307" s="206"/>
      <c r="HUA307" s="207"/>
      <c r="HUB307" s="204"/>
      <c r="HUC307" s="35"/>
      <c r="HUD307" s="202"/>
      <c r="HUE307" s="203"/>
      <c r="HUF307" s="36"/>
      <c r="HUG307" s="36"/>
      <c r="HUH307" s="205"/>
      <c r="HUI307" s="33"/>
      <c r="HUJ307" s="37"/>
      <c r="HUK307" s="37"/>
      <c r="HUL307" s="37"/>
      <c r="HUM307" s="37"/>
      <c r="HUN307" s="37"/>
      <c r="HUO307" s="33"/>
      <c r="HUP307" s="206"/>
      <c r="HUQ307" s="207"/>
      <c r="HUR307" s="204"/>
      <c r="HUS307" s="35"/>
      <c r="HUT307" s="202"/>
      <c r="HUU307" s="203"/>
      <c r="HUV307" s="36"/>
      <c r="HUW307" s="36"/>
      <c r="HUX307" s="205"/>
      <c r="HUY307" s="33"/>
      <c r="HUZ307" s="37"/>
      <c r="HVA307" s="37"/>
      <c r="HVB307" s="37"/>
      <c r="HVC307" s="37"/>
      <c r="HVD307" s="37"/>
      <c r="HVE307" s="33"/>
      <c r="HVF307" s="206"/>
      <c r="HVG307" s="207"/>
      <c r="HVH307" s="204"/>
      <c r="HVI307" s="35"/>
      <c r="HVJ307" s="202"/>
      <c r="HVK307" s="203"/>
      <c r="HVL307" s="36"/>
      <c r="HVM307" s="36"/>
      <c r="HVN307" s="205"/>
      <c r="HVO307" s="33"/>
      <c r="HVP307" s="37"/>
      <c r="HVQ307" s="37"/>
      <c r="HVR307" s="37"/>
      <c r="HVS307" s="37"/>
      <c r="HVT307" s="37"/>
      <c r="HVU307" s="33"/>
      <c r="HVV307" s="206"/>
      <c r="HVW307" s="207"/>
      <c r="HVX307" s="204"/>
      <c r="HVY307" s="35"/>
      <c r="HVZ307" s="202"/>
      <c r="HWA307" s="203"/>
      <c r="HWB307" s="36"/>
      <c r="HWC307" s="36"/>
      <c r="HWD307" s="205"/>
      <c r="HWE307" s="33"/>
      <c r="HWF307" s="37"/>
      <c r="HWG307" s="37"/>
      <c r="HWH307" s="37"/>
      <c r="HWI307" s="37"/>
      <c r="HWJ307" s="37"/>
      <c r="HWK307" s="33"/>
      <c r="HWL307" s="206"/>
      <c r="HWM307" s="207"/>
      <c r="HWN307" s="204"/>
      <c r="HWO307" s="35"/>
      <c r="HWP307" s="202"/>
      <c r="HWQ307" s="203"/>
      <c r="HWR307" s="36"/>
      <c r="HWS307" s="36"/>
      <c r="HWT307" s="205"/>
      <c r="HWU307" s="33"/>
      <c r="HWV307" s="37"/>
      <c r="HWW307" s="37"/>
      <c r="HWX307" s="37"/>
      <c r="HWY307" s="37"/>
      <c r="HWZ307" s="37"/>
      <c r="HXA307" s="33"/>
      <c r="HXB307" s="206"/>
      <c r="HXC307" s="207"/>
      <c r="HXD307" s="204"/>
      <c r="HXE307" s="35"/>
      <c r="HXF307" s="202"/>
      <c r="HXG307" s="203"/>
      <c r="HXH307" s="36"/>
      <c r="HXI307" s="36"/>
      <c r="HXJ307" s="205"/>
      <c r="HXK307" s="33"/>
      <c r="HXL307" s="37"/>
      <c r="HXM307" s="37"/>
      <c r="HXN307" s="37"/>
      <c r="HXO307" s="37"/>
      <c r="HXP307" s="37"/>
      <c r="HXQ307" s="33"/>
      <c r="HXR307" s="206"/>
      <c r="HXS307" s="207"/>
      <c r="HXT307" s="204"/>
      <c r="HXU307" s="35"/>
      <c r="HXV307" s="202"/>
      <c r="HXW307" s="203"/>
      <c r="HXX307" s="36"/>
      <c r="HXY307" s="36"/>
      <c r="HXZ307" s="205"/>
      <c r="HYA307" s="33"/>
      <c r="HYB307" s="37"/>
      <c r="HYC307" s="37"/>
      <c r="HYD307" s="37"/>
      <c r="HYE307" s="37"/>
      <c r="HYF307" s="37"/>
      <c r="HYG307" s="33"/>
      <c r="HYH307" s="206"/>
      <c r="HYI307" s="207"/>
      <c r="HYJ307" s="204"/>
      <c r="HYK307" s="35"/>
      <c r="HYL307" s="202"/>
      <c r="HYM307" s="203"/>
      <c r="HYN307" s="36"/>
      <c r="HYO307" s="36"/>
      <c r="HYP307" s="205"/>
      <c r="HYQ307" s="33"/>
      <c r="HYR307" s="37"/>
      <c r="HYS307" s="37"/>
      <c r="HYT307" s="37"/>
      <c r="HYU307" s="37"/>
      <c r="HYV307" s="37"/>
      <c r="HYW307" s="33"/>
      <c r="HYX307" s="206"/>
      <c r="HYY307" s="207"/>
      <c r="HYZ307" s="204"/>
      <c r="HZA307" s="35"/>
      <c r="HZB307" s="202"/>
      <c r="HZC307" s="203"/>
      <c r="HZD307" s="36"/>
      <c r="HZE307" s="36"/>
      <c r="HZF307" s="205"/>
      <c r="HZG307" s="33"/>
      <c r="HZH307" s="37"/>
      <c r="HZI307" s="37"/>
      <c r="HZJ307" s="37"/>
      <c r="HZK307" s="37"/>
      <c r="HZL307" s="37"/>
      <c r="HZM307" s="33"/>
      <c r="HZN307" s="206"/>
      <c r="HZO307" s="207"/>
      <c r="HZP307" s="204"/>
      <c r="HZQ307" s="35"/>
      <c r="HZR307" s="202"/>
      <c r="HZS307" s="203"/>
      <c r="HZT307" s="36"/>
      <c r="HZU307" s="36"/>
      <c r="HZV307" s="205"/>
      <c r="HZW307" s="33"/>
      <c r="HZX307" s="37"/>
      <c r="HZY307" s="37"/>
      <c r="HZZ307" s="37"/>
      <c r="IAA307" s="37"/>
      <c r="IAB307" s="37"/>
      <c r="IAC307" s="33"/>
      <c r="IAD307" s="206"/>
      <c r="IAE307" s="207"/>
      <c r="IAF307" s="204"/>
      <c r="IAG307" s="35"/>
      <c r="IAH307" s="202"/>
      <c r="IAI307" s="203"/>
      <c r="IAJ307" s="36"/>
      <c r="IAK307" s="36"/>
      <c r="IAL307" s="205"/>
      <c r="IAM307" s="33"/>
      <c r="IAN307" s="37"/>
      <c r="IAO307" s="37"/>
      <c r="IAP307" s="37"/>
      <c r="IAQ307" s="37"/>
      <c r="IAR307" s="37"/>
      <c r="IAS307" s="33"/>
      <c r="IAT307" s="206"/>
      <c r="IAU307" s="207"/>
      <c r="IAV307" s="204"/>
      <c r="IAW307" s="35"/>
      <c r="IAX307" s="202"/>
      <c r="IAY307" s="203"/>
      <c r="IAZ307" s="36"/>
      <c r="IBA307" s="36"/>
      <c r="IBB307" s="205"/>
      <c r="IBC307" s="33"/>
      <c r="IBD307" s="37"/>
      <c r="IBE307" s="37"/>
      <c r="IBF307" s="37"/>
      <c r="IBG307" s="37"/>
      <c r="IBH307" s="37"/>
      <c r="IBI307" s="33"/>
      <c r="IBJ307" s="206"/>
      <c r="IBK307" s="207"/>
      <c r="IBL307" s="204"/>
      <c r="IBM307" s="35"/>
      <c r="IBN307" s="202"/>
      <c r="IBO307" s="203"/>
      <c r="IBP307" s="36"/>
      <c r="IBQ307" s="36"/>
      <c r="IBR307" s="205"/>
      <c r="IBS307" s="33"/>
      <c r="IBT307" s="37"/>
      <c r="IBU307" s="37"/>
      <c r="IBV307" s="37"/>
      <c r="IBW307" s="37"/>
      <c r="IBX307" s="37"/>
      <c r="IBY307" s="33"/>
      <c r="IBZ307" s="206"/>
      <c r="ICA307" s="207"/>
      <c r="ICB307" s="204"/>
      <c r="ICC307" s="35"/>
      <c r="ICD307" s="202"/>
      <c r="ICE307" s="203"/>
      <c r="ICF307" s="36"/>
      <c r="ICG307" s="36"/>
      <c r="ICH307" s="205"/>
      <c r="ICI307" s="33"/>
      <c r="ICJ307" s="37"/>
      <c r="ICK307" s="37"/>
      <c r="ICL307" s="37"/>
      <c r="ICM307" s="37"/>
      <c r="ICN307" s="37"/>
      <c r="ICO307" s="33"/>
      <c r="ICP307" s="206"/>
      <c r="ICQ307" s="207"/>
      <c r="ICR307" s="204"/>
      <c r="ICS307" s="35"/>
      <c r="ICT307" s="202"/>
      <c r="ICU307" s="203"/>
      <c r="ICV307" s="36"/>
      <c r="ICW307" s="36"/>
      <c r="ICX307" s="205"/>
      <c r="ICY307" s="33"/>
      <c r="ICZ307" s="37"/>
      <c r="IDA307" s="37"/>
      <c r="IDB307" s="37"/>
      <c r="IDC307" s="37"/>
      <c r="IDD307" s="37"/>
      <c r="IDE307" s="33"/>
      <c r="IDF307" s="206"/>
      <c r="IDG307" s="207"/>
      <c r="IDH307" s="204"/>
      <c r="IDI307" s="35"/>
      <c r="IDJ307" s="202"/>
      <c r="IDK307" s="203"/>
      <c r="IDL307" s="36"/>
      <c r="IDM307" s="36"/>
      <c r="IDN307" s="205"/>
      <c r="IDO307" s="33"/>
      <c r="IDP307" s="37"/>
      <c r="IDQ307" s="37"/>
      <c r="IDR307" s="37"/>
      <c r="IDS307" s="37"/>
      <c r="IDT307" s="37"/>
      <c r="IDU307" s="33"/>
      <c r="IDV307" s="206"/>
      <c r="IDW307" s="207"/>
      <c r="IDX307" s="204"/>
      <c r="IDY307" s="35"/>
      <c r="IDZ307" s="202"/>
      <c r="IEA307" s="203"/>
      <c r="IEB307" s="36"/>
      <c r="IEC307" s="36"/>
      <c r="IED307" s="205"/>
      <c r="IEE307" s="33"/>
      <c r="IEF307" s="37"/>
      <c r="IEG307" s="37"/>
      <c r="IEH307" s="37"/>
      <c r="IEI307" s="37"/>
      <c r="IEJ307" s="37"/>
      <c r="IEK307" s="33"/>
      <c r="IEL307" s="206"/>
      <c r="IEM307" s="207"/>
      <c r="IEN307" s="204"/>
      <c r="IEO307" s="35"/>
      <c r="IEP307" s="202"/>
      <c r="IEQ307" s="203"/>
      <c r="IER307" s="36"/>
      <c r="IES307" s="36"/>
      <c r="IET307" s="205"/>
      <c r="IEU307" s="33"/>
      <c r="IEV307" s="37"/>
      <c r="IEW307" s="37"/>
      <c r="IEX307" s="37"/>
      <c r="IEY307" s="37"/>
      <c r="IEZ307" s="37"/>
      <c r="IFA307" s="33"/>
      <c r="IFB307" s="206"/>
      <c r="IFC307" s="207"/>
      <c r="IFD307" s="204"/>
      <c r="IFE307" s="35"/>
      <c r="IFF307" s="202"/>
      <c r="IFG307" s="203"/>
      <c r="IFH307" s="36"/>
      <c r="IFI307" s="36"/>
      <c r="IFJ307" s="205"/>
      <c r="IFK307" s="33"/>
      <c r="IFL307" s="37"/>
      <c r="IFM307" s="37"/>
      <c r="IFN307" s="37"/>
      <c r="IFO307" s="37"/>
      <c r="IFP307" s="37"/>
      <c r="IFQ307" s="33"/>
      <c r="IFR307" s="206"/>
      <c r="IFS307" s="207"/>
      <c r="IFT307" s="204"/>
      <c r="IFU307" s="35"/>
      <c r="IFV307" s="202"/>
      <c r="IFW307" s="203"/>
      <c r="IFX307" s="36"/>
      <c r="IFY307" s="36"/>
      <c r="IFZ307" s="205"/>
      <c r="IGA307" s="33"/>
      <c r="IGB307" s="37"/>
      <c r="IGC307" s="37"/>
      <c r="IGD307" s="37"/>
      <c r="IGE307" s="37"/>
      <c r="IGF307" s="37"/>
      <c r="IGG307" s="33"/>
      <c r="IGH307" s="206"/>
      <c r="IGI307" s="207"/>
      <c r="IGJ307" s="204"/>
      <c r="IGK307" s="35"/>
      <c r="IGL307" s="202"/>
      <c r="IGM307" s="203"/>
      <c r="IGN307" s="36"/>
      <c r="IGO307" s="36"/>
      <c r="IGP307" s="205"/>
      <c r="IGQ307" s="33"/>
      <c r="IGR307" s="37"/>
      <c r="IGS307" s="37"/>
      <c r="IGT307" s="37"/>
      <c r="IGU307" s="37"/>
      <c r="IGV307" s="37"/>
      <c r="IGW307" s="33"/>
      <c r="IGX307" s="206"/>
      <c r="IGY307" s="207"/>
      <c r="IGZ307" s="204"/>
      <c r="IHA307" s="35"/>
      <c r="IHB307" s="202"/>
      <c r="IHC307" s="203"/>
      <c r="IHD307" s="36"/>
      <c r="IHE307" s="36"/>
      <c r="IHF307" s="205"/>
      <c r="IHG307" s="33"/>
      <c r="IHH307" s="37"/>
      <c r="IHI307" s="37"/>
      <c r="IHJ307" s="37"/>
      <c r="IHK307" s="37"/>
      <c r="IHL307" s="37"/>
      <c r="IHM307" s="33"/>
      <c r="IHN307" s="206"/>
      <c r="IHO307" s="207"/>
      <c r="IHP307" s="204"/>
      <c r="IHQ307" s="35"/>
      <c r="IHR307" s="202"/>
      <c r="IHS307" s="203"/>
      <c r="IHT307" s="36"/>
      <c r="IHU307" s="36"/>
      <c r="IHV307" s="205"/>
      <c r="IHW307" s="33"/>
      <c r="IHX307" s="37"/>
      <c r="IHY307" s="37"/>
      <c r="IHZ307" s="37"/>
      <c r="IIA307" s="37"/>
      <c r="IIB307" s="37"/>
      <c r="IIC307" s="33"/>
      <c r="IID307" s="206"/>
      <c r="IIE307" s="207"/>
      <c r="IIF307" s="204"/>
      <c r="IIG307" s="35"/>
      <c r="IIH307" s="202"/>
      <c r="III307" s="203"/>
      <c r="IIJ307" s="36"/>
      <c r="IIK307" s="36"/>
      <c r="IIL307" s="205"/>
      <c r="IIM307" s="33"/>
      <c r="IIN307" s="37"/>
      <c r="IIO307" s="37"/>
      <c r="IIP307" s="37"/>
      <c r="IIQ307" s="37"/>
      <c r="IIR307" s="37"/>
      <c r="IIS307" s="33"/>
      <c r="IIT307" s="206"/>
      <c r="IIU307" s="207"/>
      <c r="IIV307" s="204"/>
      <c r="IIW307" s="35"/>
      <c r="IIX307" s="202"/>
      <c r="IIY307" s="203"/>
      <c r="IIZ307" s="36"/>
      <c r="IJA307" s="36"/>
      <c r="IJB307" s="205"/>
      <c r="IJC307" s="33"/>
      <c r="IJD307" s="37"/>
      <c r="IJE307" s="37"/>
      <c r="IJF307" s="37"/>
      <c r="IJG307" s="37"/>
      <c r="IJH307" s="37"/>
      <c r="IJI307" s="33"/>
      <c r="IJJ307" s="206"/>
      <c r="IJK307" s="207"/>
      <c r="IJL307" s="204"/>
      <c r="IJM307" s="35"/>
      <c r="IJN307" s="202"/>
      <c r="IJO307" s="203"/>
      <c r="IJP307" s="36"/>
      <c r="IJQ307" s="36"/>
      <c r="IJR307" s="205"/>
      <c r="IJS307" s="33"/>
      <c r="IJT307" s="37"/>
      <c r="IJU307" s="37"/>
      <c r="IJV307" s="37"/>
      <c r="IJW307" s="37"/>
      <c r="IJX307" s="37"/>
      <c r="IJY307" s="33"/>
      <c r="IJZ307" s="206"/>
      <c r="IKA307" s="207"/>
      <c r="IKB307" s="204"/>
      <c r="IKC307" s="35"/>
      <c r="IKD307" s="202"/>
      <c r="IKE307" s="203"/>
      <c r="IKF307" s="36"/>
      <c r="IKG307" s="36"/>
      <c r="IKH307" s="205"/>
      <c r="IKI307" s="33"/>
      <c r="IKJ307" s="37"/>
      <c r="IKK307" s="37"/>
      <c r="IKL307" s="37"/>
      <c r="IKM307" s="37"/>
      <c r="IKN307" s="37"/>
      <c r="IKO307" s="33"/>
      <c r="IKP307" s="206"/>
      <c r="IKQ307" s="207"/>
      <c r="IKR307" s="204"/>
      <c r="IKS307" s="35"/>
      <c r="IKT307" s="202"/>
      <c r="IKU307" s="203"/>
      <c r="IKV307" s="36"/>
      <c r="IKW307" s="36"/>
      <c r="IKX307" s="205"/>
      <c r="IKY307" s="33"/>
      <c r="IKZ307" s="37"/>
      <c r="ILA307" s="37"/>
      <c r="ILB307" s="37"/>
      <c r="ILC307" s="37"/>
      <c r="ILD307" s="37"/>
      <c r="ILE307" s="33"/>
      <c r="ILF307" s="206"/>
      <c r="ILG307" s="207"/>
      <c r="ILH307" s="204"/>
      <c r="ILI307" s="35"/>
      <c r="ILJ307" s="202"/>
      <c r="ILK307" s="203"/>
      <c r="ILL307" s="36"/>
      <c r="ILM307" s="36"/>
      <c r="ILN307" s="205"/>
      <c r="ILO307" s="33"/>
      <c r="ILP307" s="37"/>
      <c r="ILQ307" s="37"/>
      <c r="ILR307" s="37"/>
      <c r="ILS307" s="37"/>
      <c r="ILT307" s="37"/>
      <c r="ILU307" s="33"/>
      <c r="ILV307" s="206"/>
      <c r="ILW307" s="207"/>
      <c r="ILX307" s="204"/>
      <c r="ILY307" s="35"/>
      <c r="ILZ307" s="202"/>
      <c r="IMA307" s="203"/>
      <c r="IMB307" s="36"/>
      <c r="IMC307" s="36"/>
      <c r="IMD307" s="205"/>
      <c r="IME307" s="33"/>
      <c r="IMF307" s="37"/>
      <c r="IMG307" s="37"/>
      <c r="IMH307" s="37"/>
      <c r="IMI307" s="37"/>
      <c r="IMJ307" s="37"/>
      <c r="IMK307" s="33"/>
      <c r="IML307" s="206"/>
      <c r="IMM307" s="207"/>
      <c r="IMN307" s="204"/>
      <c r="IMO307" s="35"/>
      <c r="IMP307" s="202"/>
      <c r="IMQ307" s="203"/>
      <c r="IMR307" s="36"/>
      <c r="IMS307" s="36"/>
      <c r="IMT307" s="205"/>
      <c r="IMU307" s="33"/>
      <c r="IMV307" s="37"/>
      <c r="IMW307" s="37"/>
      <c r="IMX307" s="37"/>
      <c r="IMY307" s="37"/>
      <c r="IMZ307" s="37"/>
      <c r="INA307" s="33"/>
      <c r="INB307" s="206"/>
      <c r="INC307" s="207"/>
      <c r="IND307" s="204"/>
      <c r="INE307" s="35"/>
      <c r="INF307" s="202"/>
      <c r="ING307" s="203"/>
      <c r="INH307" s="36"/>
      <c r="INI307" s="36"/>
      <c r="INJ307" s="205"/>
      <c r="INK307" s="33"/>
      <c r="INL307" s="37"/>
      <c r="INM307" s="37"/>
      <c r="INN307" s="37"/>
      <c r="INO307" s="37"/>
      <c r="INP307" s="37"/>
      <c r="INQ307" s="33"/>
      <c r="INR307" s="206"/>
      <c r="INS307" s="207"/>
      <c r="INT307" s="204"/>
      <c r="INU307" s="35"/>
      <c r="INV307" s="202"/>
      <c r="INW307" s="203"/>
      <c r="INX307" s="36"/>
      <c r="INY307" s="36"/>
      <c r="INZ307" s="205"/>
      <c r="IOA307" s="33"/>
      <c r="IOB307" s="37"/>
      <c r="IOC307" s="37"/>
      <c r="IOD307" s="37"/>
      <c r="IOE307" s="37"/>
      <c r="IOF307" s="37"/>
      <c r="IOG307" s="33"/>
      <c r="IOH307" s="206"/>
      <c r="IOI307" s="207"/>
      <c r="IOJ307" s="204"/>
      <c r="IOK307" s="35"/>
      <c r="IOL307" s="202"/>
      <c r="IOM307" s="203"/>
      <c r="ION307" s="36"/>
      <c r="IOO307" s="36"/>
      <c r="IOP307" s="205"/>
      <c r="IOQ307" s="33"/>
      <c r="IOR307" s="37"/>
      <c r="IOS307" s="37"/>
      <c r="IOT307" s="37"/>
      <c r="IOU307" s="37"/>
      <c r="IOV307" s="37"/>
      <c r="IOW307" s="33"/>
      <c r="IOX307" s="206"/>
      <c r="IOY307" s="207"/>
      <c r="IOZ307" s="204"/>
      <c r="IPA307" s="35"/>
      <c r="IPB307" s="202"/>
      <c r="IPC307" s="203"/>
      <c r="IPD307" s="36"/>
      <c r="IPE307" s="36"/>
      <c r="IPF307" s="205"/>
      <c r="IPG307" s="33"/>
      <c r="IPH307" s="37"/>
      <c r="IPI307" s="37"/>
      <c r="IPJ307" s="37"/>
      <c r="IPK307" s="37"/>
      <c r="IPL307" s="37"/>
      <c r="IPM307" s="33"/>
      <c r="IPN307" s="206"/>
      <c r="IPO307" s="207"/>
      <c r="IPP307" s="204"/>
      <c r="IPQ307" s="35"/>
      <c r="IPR307" s="202"/>
      <c r="IPS307" s="203"/>
      <c r="IPT307" s="36"/>
      <c r="IPU307" s="36"/>
      <c r="IPV307" s="205"/>
      <c r="IPW307" s="33"/>
      <c r="IPX307" s="37"/>
      <c r="IPY307" s="37"/>
      <c r="IPZ307" s="37"/>
      <c r="IQA307" s="37"/>
      <c r="IQB307" s="37"/>
      <c r="IQC307" s="33"/>
      <c r="IQD307" s="206"/>
      <c r="IQE307" s="207"/>
      <c r="IQF307" s="204"/>
      <c r="IQG307" s="35"/>
      <c r="IQH307" s="202"/>
      <c r="IQI307" s="203"/>
      <c r="IQJ307" s="36"/>
      <c r="IQK307" s="36"/>
      <c r="IQL307" s="205"/>
      <c r="IQM307" s="33"/>
      <c r="IQN307" s="37"/>
      <c r="IQO307" s="37"/>
      <c r="IQP307" s="37"/>
      <c r="IQQ307" s="37"/>
      <c r="IQR307" s="37"/>
      <c r="IQS307" s="33"/>
      <c r="IQT307" s="206"/>
      <c r="IQU307" s="207"/>
      <c r="IQV307" s="204"/>
      <c r="IQW307" s="35"/>
      <c r="IQX307" s="202"/>
      <c r="IQY307" s="203"/>
      <c r="IQZ307" s="36"/>
      <c r="IRA307" s="36"/>
      <c r="IRB307" s="205"/>
      <c r="IRC307" s="33"/>
      <c r="IRD307" s="37"/>
      <c r="IRE307" s="37"/>
      <c r="IRF307" s="37"/>
      <c r="IRG307" s="37"/>
      <c r="IRH307" s="37"/>
      <c r="IRI307" s="33"/>
      <c r="IRJ307" s="206"/>
      <c r="IRK307" s="207"/>
      <c r="IRL307" s="204"/>
      <c r="IRM307" s="35"/>
      <c r="IRN307" s="202"/>
      <c r="IRO307" s="203"/>
      <c r="IRP307" s="36"/>
      <c r="IRQ307" s="36"/>
      <c r="IRR307" s="205"/>
      <c r="IRS307" s="33"/>
      <c r="IRT307" s="37"/>
      <c r="IRU307" s="37"/>
      <c r="IRV307" s="37"/>
      <c r="IRW307" s="37"/>
      <c r="IRX307" s="37"/>
      <c r="IRY307" s="33"/>
      <c r="IRZ307" s="206"/>
      <c r="ISA307" s="207"/>
      <c r="ISB307" s="204"/>
      <c r="ISC307" s="35"/>
      <c r="ISD307" s="202"/>
      <c r="ISE307" s="203"/>
      <c r="ISF307" s="36"/>
      <c r="ISG307" s="36"/>
      <c r="ISH307" s="205"/>
      <c r="ISI307" s="33"/>
      <c r="ISJ307" s="37"/>
      <c r="ISK307" s="37"/>
      <c r="ISL307" s="37"/>
      <c r="ISM307" s="37"/>
      <c r="ISN307" s="37"/>
      <c r="ISO307" s="33"/>
      <c r="ISP307" s="206"/>
      <c r="ISQ307" s="207"/>
      <c r="ISR307" s="204"/>
      <c r="ISS307" s="35"/>
      <c r="IST307" s="202"/>
      <c r="ISU307" s="203"/>
      <c r="ISV307" s="36"/>
      <c r="ISW307" s="36"/>
      <c r="ISX307" s="205"/>
      <c r="ISY307" s="33"/>
      <c r="ISZ307" s="37"/>
      <c r="ITA307" s="37"/>
      <c r="ITB307" s="37"/>
      <c r="ITC307" s="37"/>
      <c r="ITD307" s="37"/>
      <c r="ITE307" s="33"/>
      <c r="ITF307" s="206"/>
      <c r="ITG307" s="207"/>
      <c r="ITH307" s="204"/>
      <c r="ITI307" s="35"/>
      <c r="ITJ307" s="202"/>
      <c r="ITK307" s="203"/>
      <c r="ITL307" s="36"/>
      <c r="ITM307" s="36"/>
      <c r="ITN307" s="205"/>
      <c r="ITO307" s="33"/>
      <c r="ITP307" s="37"/>
      <c r="ITQ307" s="37"/>
      <c r="ITR307" s="37"/>
      <c r="ITS307" s="37"/>
      <c r="ITT307" s="37"/>
      <c r="ITU307" s="33"/>
      <c r="ITV307" s="206"/>
      <c r="ITW307" s="207"/>
      <c r="ITX307" s="204"/>
      <c r="ITY307" s="35"/>
      <c r="ITZ307" s="202"/>
      <c r="IUA307" s="203"/>
      <c r="IUB307" s="36"/>
      <c r="IUC307" s="36"/>
      <c r="IUD307" s="205"/>
      <c r="IUE307" s="33"/>
      <c r="IUF307" s="37"/>
      <c r="IUG307" s="37"/>
      <c r="IUH307" s="37"/>
      <c r="IUI307" s="37"/>
      <c r="IUJ307" s="37"/>
      <c r="IUK307" s="33"/>
      <c r="IUL307" s="206"/>
      <c r="IUM307" s="207"/>
      <c r="IUN307" s="204"/>
      <c r="IUO307" s="35"/>
      <c r="IUP307" s="202"/>
      <c r="IUQ307" s="203"/>
      <c r="IUR307" s="36"/>
      <c r="IUS307" s="36"/>
      <c r="IUT307" s="205"/>
      <c r="IUU307" s="33"/>
      <c r="IUV307" s="37"/>
      <c r="IUW307" s="37"/>
      <c r="IUX307" s="37"/>
      <c r="IUY307" s="37"/>
      <c r="IUZ307" s="37"/>
      <c r="IVA307" s="33"/>
      <c r="IVB307" s="206"/>
      <c r="IVC307" s="207"/>
      <c r="IVD307" s="204"/>
      <c r="IVE307" s="35"/>
      <c r="IVF307" s="202"/>
      <c r="IVG307" s="203"/>
      <c r="IVH307" s="36"/>
      <c r="IVI307" s="36"/>
      <c r="IVJ307" s="205"/>
      <c r="IVK307" s="33"/>
      <c r="IVL307" s="37"/>
      <c r="IVM307" s="37"/>
      <c r="IVN307" s="37"/>
      <c r="IVO307" s="37"/>
      <c r="IVP307" s="37"/>
      <c r="IVQ307" s="33"/>
      <c r="IVR307" s="206"/>
      <c r="IVS307" s="207"/>
      <c r="IVT307" s="204"/>
      <c r="IVU307" s="35"/>
      <c r="IVV307" s="202"/>
      <c r="IVW307" s="203"/>
      <c r="IVX307" s="36"/>
      <c r="IVY307" s="36"/>
      <c r="IVZ307" s="205"/>
      <c r="IWA307" s="33"/>
      <c r="IWB307" s="37"/>
      <c r="IWC307" s="37"/>
      <c r="IWD307" s="37"/>
      <c r="IWE307" s="37"/>
      <c r="IWF307" s="37"/>
      <c r="IWG307" s="33"/>
      <c r="IWH307" s="206"/>
      <c r="IWI307" s="207"/>
      <c r="IWJ307" s="204"/>
      <c r="IWK307" s="35"/>
      <c r="IWL307" s="202"/>
      <c r="IWM307" s="203"/>
      <c r="IWN307" s="36"/>
      <c r="IWO307" s="36"/>
      <c r="IWP307" s="205"/>
      <c r="IWQ307" s="33"/>
      <c r="IWR307" s="37"/>
      <c r="IWS307" s="37"/>
      <c r="IWT307" s="37"/>
      <c r="IWU307" s="37"/>
      <c r="IWV307" s="37"/>
      <c r="IWW307" s="33"/>
      <c r="IWX307" s="206"/>
      <c r="IWY307" s="207"/>
      <c r="IWZ307" s="204"/>
      <c r="IXA307" s="35"/>
      <c r="IXB307" s="202"/>
      <c r="IXC307" s="203"/>
      <c r="IXD307" s="36"/>
      <c r="IXE307" s="36"/>
      <c r="IXF307" s="205"/>
      <c r="IXG307" s="33"/>
      <c r="IXH307" s="37"/>
      <c r="IXI307" s="37"/>
      <c r="IXJ307" s="37"/>
      <c r="IXK307" s="37"/>
      <c r="IXL307" s="37"/>
      <c r="IXM307" s="33"/>
      <c r="IXN307" s="206"/>
      <c r="IXO307" s="207"/>
      <c r="IXP307" s="204"/>
      <c r="IXQ307" s="35"/>
      <c r="IXR307" s="202"/>
      <c r="IXS307" s="203"/>
      <c r="IXT307" s="36"/>
      <c r="IXU307" s="36"/>
      <c r="IXV307" s="205"/>
      <c r="IXW307" s="33"/>
      <c r="IXX307" s="37"/>
      <c r="IXY307" s="37"/>
      <c r="IXZ307" s="37"/>
      <c r="IYA307" s="37"/>
      <c r="IYB307" s="37"/>
      <c r="IYC307" s="33"/>
      <c r="IYD307" s="206"/>
      <c r="IYE307" s="207"/>
      <c r="IYF307" s="204"/>
      <c r="IYG307" s="35"/>
      <c r="IYH307" s="202"/>
      <c r="IYI307" s="203"/>
      <c r="IYJ307" s="36"/>
      <c r="IYK307" s="36"/>
      <c r="IYL307" s="205"/>
      <c r="IYM307" s="33"/>
      <c r="IYN307" s="37"/>
      <c r="IYO307" s="37"/>
      <c r="IYP307" s="37"/>
      <c r="IYQ307" s="37"/>
      <c r="IYR307" s="37"/>
      <c r="IYS307" s="33"/>
      <c r="IYT307" s="206"/>
      <c r="IYU307" s="207"/>
      <c r="IYV307" s="204"/>
      <c r="IYW307" s="35"/>
      <c r="IYX307" s="202"/>
      <c r="IYY307" s="203"/>
      <c r="IYZ307" s="36"/>
      <c r="IZA307" s="36"/>
      <c r="IZB307" s="205"/>
      <c r="IZC307" s="33"/>
      <c r="IZD307" s="37"/>
      <c r="IZE307" s="37"/>
      <c r="IZF307" s="37"/>
      <c r="IZG307" s="37"/>
      <c r="IZH307" s="37"/>
      <c r="IZI307" s="33"/>
      <c r="IZJ307" s="206"/>
      <c r="IZK307" s="207"/>
      <c r="IZL307" s="204"/>
      <c r="IZM307" s="35"/>
      <c r="IZN307" s="202"/>
      <c r="IZO307" s="203"/>
      <c r="IZP307" s="36"/>
      <c r="IZQ307" s="36"/>
      <c r="IZR307" s="205"/>
      <c r="IZS307" s="33"/>
      <c r="IZT307" s="37"/>
      <c r="IZU307" s="37"/>
      <c r="IZV307" s="37"/>
      <c r="IZW307" s="37"/>
      <c r="IZX307" s="37"/>
      <c r="IZY307" s="33"/>
      <c r="IZZ307" s="206"/>
      <c r="JAA307" s="207"/>
      <c r="JAB307" s="204"/>
      <c r="JAC307" s="35"/>
      <c r="JAD307" s="202"/>
      <c r="JAE307" s="203"/>
      <c r="JAF307" s="36"/>
      <c r="JAG307" s="36"/>
      <c r="JAH307" s="205"/>
      <c r="JAI307" s="33"/>
      <c r="JAJ307" s="37"/>
      <c r="JAK307" s="37"/>
      <c r="JAL307" s="37"/>
      <c r="JAM307" s="37"/>
      <c r="JAN307" s="37"/>
      <c r="JAO307" s="33"/>
      <c r="JAP307" s="206"/>
      <c r="JAQ307" s="207"/>
      <c r="JAR307" s="204"/>
      <c r="JAS307" s="35"/>
      <c r="JAT307" s="202"/>
      <c r="JAU307" s="203"/>
      <c r="JAV307" s="36"/>
      <c r="JAW307" s="36"/>
      <c r="JAX307" s="205"/>
      <c r="JAY307" s="33"/>
      <c r="JAZ307" s="37"/>
      <c r="JBA307" s="37"/>
      <c r="JBB307" s="37"/>
      <c r="JBC307" s="37"/>
      <c r="JBD307" s="37"/>
      <c r="JBE307" s="33"/>
      <c r="JBF307" s="206"/>
      <c r="JBG307" s="207"/>
      <c r="JBH307" s="204"/>
      <c r="JBI307" s="35"/>
      <c r="JBJ307" s="202"/>
      <c r="JBK307" s="203"/>
      <c r="JBL307" s="36"/>
      <c r="JBM307" s="36"/>
      <c r="JBN307" s="205"/>
      <c r="JBO307" s="33"/>
      <c r="JBP307" s="37"/>
      <c r="JBQ307" s="37"/>
      <c r="JBR307" s="37"/>
      <c r="JBS307" s="37"/>
      <c r="JBT307" s="37"/>
      <c r="JBU307" s="33"/>
      <c r="JBV307" s="206"/>
      <c r="JBW307" s="207"/>
      <c r="JBX307" s="204"/>
      <c r="JBY307" s="35"/>
      <c r="JBZ307" s="202"/>
      <c r="JCA307" s="203"/>
      <c r="JCB307" s="36"/>
      <c r="JCC307" s="36"/>
      <c r="JCD307" s="205"/>
      <c r="JCE307" s="33"/>
      <c r="JCF307" s="37"/>
      <c r="JCG307" s="37"/>
      <c r="JCH307" s="37"/>
      <c r="JCI307" s="37"/>
      <c r="JCJ307" s="37"/>
      <c r="JCK307" s="33"/>
      <c r="JCL307" s="206"/>
      <c r="JCM307" s="207"/>
      <c r="JCN307" s="204"/>
      <c r="JCO307" s="35"/>
      <c r="JCP307" s="202"/>
      <c r="JCQ307" s="203"/>
      <c r="JCR307" s="36"/>
      <c r="JCS307" s="36"/>
      <c r="JCT307" s="205"/>
      <c r="JCU307" s="33"/>
      <c r="JCV307" s="37"/>
      <c r="JCW307" s="37"/>
      <c r="JCX307" s="37"/>
      <c r="JCY307" s="37"/>
      <c r="JCZ307" s="37"/>
      <c r="JDA307" s="33"/>
      <c r="JDB307" s="206"/>
      <c r="JDC307" s="207"/>
      <c r="JDD307" s="204"/>
      <c r="JDE307" s="35"/>
      <c r="JDF307" s="202"/>
      <c r="JDG307" s="203"/>
      <c r="JDH307" s="36"/>
      <c r="JDI307" s="36"/>
      <c r="JDJ307" s="205"/>
      <c r="JDK307" s="33"/>
      <c r="JDL307" s="37"/>
      <c r="JDM307" s="37"/>
      <c r="JDN307" s="37"/>
      <c r="JDO307" s="37"/>
      <c r="JDP307" s="37"/>
      <c r="JDQ307" s="33"/>
      <c r="JDR307" s="206"/>
      <c r="JDS307" s="207"/>
      <c r="JDT307" s="204"/>
      <c r="JDU307" s="35"/>
      <c r="JDV307" s="202"/>
      <c r="JDW307" s="203"/>
      <c r="JDX307" s="36"/>
      <c r="JDY307" s="36"/>
      <c r="JDZ307" s="205"/>
      <c r="JEA307" s="33"/>
      <c r="JEB307" s="37"/>
      <c r="JEC307" s="37"/>
      <c r="JED307" s="37"/>
      <c r="JEE307" s="37"/>
      <c r="JEF307" s="37"/>
      <c r="JEG307" s="33"/>
      <c r="JEH307" s="206"/>
      <c r="JEI307" s="207"/>
      <c r="JEJ307" s="204"/>
      <c r="JEK307" s="35"/>
      <c r="JEL307" s="202"/>
      <c r="JEM307" s="203"/>
      <c r="JEN307" s="36"/>
      <c r="JEO307" s="36"/>
      <c r="JEP307" s="205"/>
      <c r="JEQ307" s="33"/>
      <c r="JER307" s="37"/>
      <c r="JES307" s="37"/>
      <c r="JET307" s="37"/>
      <c r="JEU307" s="37"/>
      <c r="JEV307" s="37"/>
      <c r="JEW307" s="33"/>
      <c r="JEX307" s="206"/>
      <c r="JEY307" s="207"/>
      <c r="JEZ307" s="204"/>
      <c r="JFA307" s="35"/>
      <c r="JFB307" s="202"/>
      <c r="JFC307" s="203"/>
      <c r="JFD307" s="36"/>
      <c r="JFE307" s="36"/>
      <c r="JFF307" s="205"/>
      <c r="JFG307" s="33"/>
      <c r="JFH307" s="37"/>
      <c r="JFI307" s="37"/>
      <c r="JFJ307" s="37"/>
      <c r="JFK307" s="37"/>
      <c r="JFL307" s="37"/>
      <c r="JFM307" s="33"/>
      <c r="JFN307" s="206"/>
      <c r="JFO307" s="207"/>
      <c r="JFP307" s="204"/>
      <c r="JFQ307" s="35"/>
      <c r="JFR307" s="202"/>
      <c r="JFS307" s="203"/>
      <c r="JFT307" s="36"/>
      <c r="JFU307" s="36"/>
      <c r="JFV307" s="205"/>
      <c r="JFW307" s="33"/>
      <c r="JFX307" s="37"/>
      <c r="JFY307" s="37"/>
      <c r="JFZ307" s="37"/>
      <c r="JGA307" s="37"/>
      <c r="JGB307" s="37"/>
      <c r="JGC307" s="33"/>
      <c r="JGD307" s="206"/>
      <c r="JGE307" s="207"/>
      <c r="JGF307" s="204"/>
      <c r="JGG307" s="35"/>
      <c r="JGH307" s="202"/>
      <c r="JGI307" s="203"/>
      <c r="JGJ307" s="36"/>
      <c r="JGK307" s="36"/>
      <c r="JGL307" s="205"/>
      <c r="JGM307" s="33"/>
      <c r="JGN307" s="37"/>
      <c r="JGO307" s="37"/>
      <c r="JGP307" s="37"/>
      <c r="JGQ307" s="37"/>
      <c r="JGR307" s="37"/>
      <c r="JGS307" s="33"/>
      <c r="JGT307" s="206"/>
      <c r="JGU307" s="207"/>
      <c r="JGV307" s="204"/>
      <c r="JGW307" s="35"/>
      <c r="JGX307" s="202"/>
      <c r="JGY307" s="203"/>
      <c r="JGZ307" s="36"/>
      <c r="JHA307" s="36"/>
      <c r="JHB307" s="205"/>
      <c r="JHC307" s="33"/>
      <c r="JHD307" s="37"/>
      <c r="JHE307" s="37"/>
      <c r="JHF307" s="37"/>
      <c r="JHG307" s="37"/>
      <c r="JHH307" s="37"/>
      <c r="JHI307" s="33"/>
      <c r="JHJ307" s="206"/>
      <c r="JHK307" s="207"/>
      <c r="JHL307" s="204"/>
      <c r="JHM307" s="35"/>
      <c r="JHN307" s="202"/>
      <c r="JHO307" s="203"/>
      <c r="JHP307" s="36"/>
      <c r="JHQ307" s="36"/>
      <c r="JHR307" s="205"/>
      <c r="JHS307" s="33"/>
      <c r="JHT307" s="37"/>
      <c r="JHU307" s="37"/>
      <c r="JHV307" s="37"/>
      <c r="JHW307" s="37"/>
      <c r="JHX307" s="37"/>
      <c r="JHY307" s="33"/>
      <c r="JHZ307" s="206"/>
      <c r="JIA307" s="207"/>
      <c r="JIB307" s="204"/>
      <c r="JIC307" s="35"/>
      <c r="JID307" s="202"/>
      <c r="JIE307" s="203"/>
      <c r="JIF307" s="36"/>
      <c r="JIG307" s="36"/>
      <c r="JIH307" s="205"/>
      <c r="JII307" s="33"/>
      <c r="JIJ307" s="37"/>
      <c r="JIK307" s="37"/>
      <c r="JIL307" s="37"/>
      <c r="JIM307" s="37"/>
      <c r="JIN307" s="37"/>
      <c r="JIO307" s="33"/>
      <c r="JIP307" s="206"/>
      <c r="JIQ307" s="207"/>
      <c r="JIR307" s="204"/>
      <c r="JIS307" s="35"/>
      <c r="JIT307" s="202"/>
      <c r="JIU307" s="203"/>
      <c r="JIV307" s="36"/>
      <c r="JIW307" s="36"/>
      <c r="JIX307" s="205"/>
      <c r="JIY307" s="33"/>
      <c r="JIZ307" s="37"/>
      <c r="JJA307" s="37"/>
      <c r="JJB307" s="37"/>
      <c r="JJC307" s="37"/>
      <c r="JJD307" s="37"/>
      <c r="JJE307" s="33"/>
      <c r="JJF307" s="206"/>
      <c r="JJG307" s="207"/>
      <c r="JJH307" s="204"/>
      <c r="JJI307" s="35"/>
      <c r="JJJ307" s="202"/>
      <c r="JJK307" s="203"/>
      <c r="JJL307" s="36"/>
      <c r="JJM307" s="36"/>
      <c r="JJN307" s="205"/>
      <c r="JJO307" s="33"/>
      <c r="JJP307" s="37"/>
      <c r="JJQ307" s="37"/>
      <c r="JJR307" s="37"/>
      <c r="JJS307" s="37"/>
      <c r="JJT307" s="37"/>
      <c r="JJU307" s="33"/>
      <c r="JJV307" s="206"/>
      <c r="JJW307" s="207"/>
      <c r="JJX307" s="204"/>
      <c r="JJY307" s="35"/>
      <c r="JJZ307" s="202"/>
      <c r="JKA307" s="203"/>
      <c r="JKB307" s="36"/>
      <c r="JKC307" s="36"/>
      <c r="JKD307" s="205"/>
      <c r="JKE307" s="33"/>
      <c r="JKF307" s="37"/>
      <c r="JKG307" s="37"/>
      <c r="JKH307" s="37"/>
      <c r="JKI307" s="37"/>
      <c r="JKJ307" s="37"/>
      <c r="JKK307" s="33"/>
      <c r="JKL307" s="206"/>
      <c r="JKM307" s="207"/>
      <c r="JKN307" s="204"/>
      <c r="JKO307" s="35"/>
      <c r="JKP307" s="202"/>
      <c r="JKQ307" s="203"/>
      <c r="JKR307" s="36"/>
      <c r="JKS307" s="36"/>
      <c r="JKT307" s="205"/>
      <c r="JKU307" s="33"/>
      <c r="JKV307" s="37"/>
      <c r="JKW307" s="37"/>
      <c r="JKX307" s="37"/>
      <c r="JKY307" s="37"/>
      <c r="JKZ307" s="37"/>
      <c r="JLA307" s="33"/>
      <c r="JLB307" s="206"/>
      <c r="JLC307" s="207"/>
      <c r="JLD307" s="204"/>
      <c r="JLE307" s="35"/>
      <c r="JLF307" s="202"/>
      <c r="JLG307" s="203"/>
      <c r="JLH307" s="36"/>
      <c r="JLI307" s="36"/>
      <c r="JLJ307" s="205"/>
      <c r="JLK307" s="33"/>
      <c r="JLL307" s="37"/>
      <c r="JLM307" s="37"/>
      <c r="JLN307" s="37"/>
      <c r="JLO307" s="37"/>
      <c r="JLP307" s="37"/>
      <c r="JLQ307" s="33"/>
      <c r="JLR307" s="206"/>
      <c r="JLS307" s="207"/>
      <c r="JLT307" s="204"/>
      <c r="JLU307" s="35"/>
      <c r="JLV307" s="202"/>
      <c r="JLW307" s="203"/>
      <c r="JLX307" s="36"/>
      <c r="JLY307" s="36"/>
      <c r="JLZ307" s="205"/>
      <c r="JMA307" s="33"/>
      <c r="JMB307" s="37"/>
      <c r="JMC307" s="37"/>
      <c r="JMD307" s="37"/>
      <c r="JME307" s="37"/>
      <c r="JMF307" s="37"/>
      <c r="JMG307" s="33"/>
      <c r="JMH307" s="206"/>
      <c r="JMI307" s="207"/>
      <c r="JMJ307" s="204"/>
      <c r="JMK307" s="35"/>
      <c r="JML307" s="202"/>
      <c r="JMM307" s="203"/>
      <c r="JMN307" s="36"/>
      <c r="JMO307" s="36"/>
      <c r="JMP307" s="205"/>
      <c r="JMQ307" s="33"/>
      <c r="JMR307" s="37"/>
      <c r="JMS307" s="37"/>
      <c r="JMT307" s="37"/>
      <c r="JMU307" s="37"/>
      <c r="JMV307" s="37"/>
      <c r="JMW307" s="33"/>
      <c r="JMX307" s="206"/>
      <c r="JMY307" s="207"/>
      <c r="JMZ307" s="204"/>
      <c r="JNA307" s="35"/>
      <c r="JNB307" s="202"/>
      <c r="JNC307" s="203"/>
      <c r="JND307" s="36"/>
      <c r="JNE307" s="36"/>
      <c r="JNF307" s="205"/>
      <c r="JNG307" s="33"/>
      <c r="JNH307" s="37"/>
      <c r="JNI307" s="37"/>
      <c r="JNJ307" s="37"/>
      <c r="JNK307" s="37"/>
      <c r="JNL307" s="37"/>
      <c r="JNM307" s="33"/>
      <c r="JNN307" s="206"/>
      <c r="JNO307" s="207"/>
      <c r="JNP307" s="204"/>
      <c r="JNQ307" s="35"/>
      <c r="JNR307" s="202"/>
      <c r="JNS307" s="203"/>
      <c r="JNT307" s="36"/>
      <c r="JNU307" s="36"/>
      <c r="JNV307" s="205"/>
      <c r="JNW307" s="33"/>
      <c r="JNX307" s="37"/>
      <c r="JNY307" s="37"/>
      <c r="JNZ307" s="37"/>
      <c r="JOA307" s="37"/>
      <c r="JOB307" s="37"/>
      <c r="JOC307" s="33"/>
      <c r="JOD307" s="206"/>
      <c r="JOE307" s="207"/>
      <c r="JOF307" s="204"/>
      <c r="JOG307" s="35"/>
      <c r="JOH307" s="202"/>
      <c r="JOI307" s="203"/>
      <c r="JOJ307" s="36"/>
      <c r="JOK307" s="36"/>
      <c r="JOL307" s="205"/>
      <c r="JOM307" s="33"/>
      <c r="JON307" s="37"/>
      <c r="JOO307" s="37"/>
      <c r="JOP307" s="37"/>
      <c r="JOQ307" s="37"/>
      <c r="JOR307" s="37"/>
      <c r="JOS307" s="33"/>
      <c r="JOT307" s="206"/>
      <c r="JOU307" s="207"/>
      <c r="JOV307" s="204"/>
      <c r="JOW307" s="35"/>
      <c r="JOX307" s="202"/>
      <c r="JOY307" s="203"/>
      <c r="JOZ307" s="36"/>
      <c r="JPA307" s="36"/>
      <c r="JPB307" s="205"/>
      <c r="JPC307" s="33"/>
      <c r="JPD307" s="37"/>
      <c r="JPE307" s="37"/>
      <c r="JPF307" s="37"/>
      <c r="JPG307" s="37"/>
      <c r="JPH307" s="37"/>
      <c r="JPI307" s="33"/>
      <c r="JPJ307" s="206"/>
      <c r="JPK307" s="207"/>
      <c r="JPL307" s="204"/>
      <c r="JPM307" s="35"/>
      <c r="JPN307" s="202"/>
      <c r="JPO307" s="203"/>
      <c r="JPP307" s="36"/>
      <c r="JPQ307" s="36"/>
      <c r="JPR307" s="205"/>
      <c r="JPS307" s="33"/>
      <c r="JPT307" s="37"/>
      <c r="JPU307" s="37"/>
      <c r="JPV307" s="37"/>
      <c r="JPW307" s="37"/>
      <c r="JPX307" s="37"/>
      <c r="JPY307" s="33"/>
      <c r="JPZ307" s="206"/>
      <c r="JQA307" s="207"/>
      <c r="JQB307" s="204"/>
      <c r="JQC307" s="35"/>
      <c r="JQD307" s="202"/>
      <c r="JQE307" s="203"/>
      <c r="JQF307" s="36"/>
      <c r="JQG307" s="36"/>
      <c r="JQH307" s="205"/>
      <c r="JQI307" s="33"/>
      <c r="JQJ307" s="37"/>
      <c r="JQK307" s="37"/>
      <c r="JQL307" s="37"/>
      <c r="JQM307" s="37"/>
      <c r="JQN307" s="37"/>
      <c r="JQO307" s="33"/>
      <c r="JQP307" s="206"/>
      <c r="JQQ307" s="207"/>
      <c r="JQR307" s="204"/>
      <c r="JQS307" s="35"/>
      <c r="JQT307" s="202"/>
      <c r="JQU307" s="203"/>
      <c r="JQV307" s="36"/>
      <c r="JQW307" s="36"/>
      <c r="JQX307" s="205"/>
      <c r="JQY307" s="33"/>
      <c r="JQZ307" s="37"/>
      <c r="JRA307" s="37"/>
      <c r="JRB307" s="37"/>
      <c r="JRC307" s="37"/>
      <c r="JRD307" s="37"/>
      <c r="JRE307" s="33"/>
      <c r="JRF307" s="206"/>
      <c r="JRG307" s="207"/>
      <c r="JRH307" s="204"/>
      <c r="JRI307" s="35"/>
      <c r="JRJ307" s="202"/>
      <c r="JRK307" s="203"/>
      <c r="JRL307" s="36"/>
      <c r="JRM307" s="36"/>
      <c r="JRN307" s="205"/>
      <c r="JRO307" s="33"/>
      <c r="JRP307" s="37"/>
      <c r="JRQ307" s="37"/>
      <c r="JRR307" s="37"/>
      <c r="JRS307" s="37"/>
      <c r="JRT307" s="37"/>
      <c r="JRU307" s="33"/>
      <c r="JRV307" s="206"/>
      <c r="JRW307" s="207"/>
      <c r="JRX307" s="204"/>
      <c r="JRY307" s="35"/>
      <c r="JRZ307" s="202"/>
      <c r="JSA307" s="203"/>
      <c r="JSB307" s="36"/>
      <c r="JSC307" s="36"/>
      <c r="JSD307" s="205"/>
      <c r="JSE307" s="33"/>
      <c r="JSF307" s="37"/>
      <c r="JSG307" s="37"/>
      <c r="JSH307" s="37"/>
      <c r="JSI307" s="37"/>
      <c r="JSJ307" s="37"/>
      <c r="JSK307" s="33"/>
      <c r="JSL307" s="206"/>
      <c r="JSM307" s="207"/>
      <c r="JSN307" s="204"/>
      <c r="JSO307" s="35"/>
      <c r="JSP307" s="202"/>
      <c r="JSQ307" s="203"/>
      <c r="JSR307" s="36"/>
      <c r="JSS307" s="36"/>
      <c r="JST307" s="205"/>
      <c r="JSU307" s="33"/>
      <c r="JSV307" s="37"/>
      <c r="JSW307" s="37"/>
      <c r="JSX307" s="37"/>
      <c r="JSY307" s="37"/>
      <c r="JSZ307" s="37"/>
      <c r="JTA307" s="33"/>
      <c r="JTB307" s="206"/>
      <c r="JTC307" s="207"/>
      <c r="JTD307" s="204"/>
      <c r="JTE307" s="35"/>
      <c r="JTF307" s="202"/>
      <c r="JTG307" s="203"/>
      <c r="JTH307" s="36"/>
      <c r="JTI307" s="36"/>
      <c r="JTJ307" s="205"/>
      <c r="JTK307" s="33"/>
      <c r="JTL307" s="37"/>
      <c r="JTM307" s="37"/>
      <c r="JTN307" s="37"/>
      <c r="JTO307" s="37"/>
      <c r="JTP307" s="37"/>
      <c r="JTQ307" s="33"/>
      <c r="JTR307" s="206"/>
      <c r="JTS307" s="207"/>
      <c r="JTT307" s="204"/>
      <c r="JTU307" s="35"/>
      <c r="JTV307" s="202"/>
      <c r="JTW307" s="203"/>
      <c r="JTX307" s="36"/>
      <c r="JTY307" s="36"/>
      <c r="JTZ307" s="205"/>
      <c r="JUA307" s="33"/>
      <c r="JUB307" s="37"/>
      <c r="JUC307" s="37"/>
      <c r="JUD307" s="37"/>
      <c r="JUE307" s="37"/>
      <c r="JUF307" s="37"/>
      <c r="JUG307" s="33"/>
      <c r="JUH307" s="206"/>
      <c r="JUI307" s="207"/>
      <c r="JUJ307" s="204"/>
      <c r="JUK307" s="35"/>
      <c r="JUL307" s="202"/>
      <c r="JUM307" s="203"/>
      <c r="JUN307" s="36"/>
      <c r="JUO307" s="36"/>
      <c r="JUP307" s="205"/>
      <c r="JUQ307" s="33"/>
      <c r="JUR307" s="37"/>
      <c r="JUS307" s="37"/>
      <c r="JUT307" s="37"/>
      <c r="JUU307" s="37"/>
      <c r="JUV307" s="37"/>
      <c r="JUW307" s="33"/>
      <c r="JUX307" s="206"/>
      <c r="JUY307" s="207"/>
      <c r="JUZ307" s="204"/>
      <c r="JVA307" s="35"/>
      <c r="JVB307" s="202"/>
      <c r="JVC307" s="203"/>
      <c r="JVD307" s="36"/>
      <c r="JVE307" s="36"/>
      <c r="JVF307" s="205"/>
      <c r="JVG307" s="33"/>
      <c r="JVH307" s="37"/>
      <c r="JVI307" s="37"/>
      <c r="JVJ307" s="37"/>
      <c r="JVK307" s="37"/>
      <c r="JVL307" s="37"/>
      <c r="JVM307" s="33"/>
      <c r="JVN307" s="206"/>
      <c r="JVO307" s="207"/>
      <c r="JVP307" s="204"/>
      <c r="JVQ307" s="35"/>
      <c r="JVR307" s="202"/>
      <c r="JVS307" s="203"/>
      <c r="JVT307" s="36"/>
      <c r="JVU307" s="36"/>
      <c r="JVV307" s="205"/>
      <c r="JVW307" s="33"/>
      <c r="JVX307" s="37"/>
      <c r="JVY307" s="37"/>
      <c r="JVZ307" s="37"/>
      <c r="JWA307" s="37"/>
      <c r="JWB307" s="37"/>
      <c r="JWC307" s="33"/>
      <c r="JWD307" s="206"/>
      <c r="JWE307" s="207"/>
      <c r="JWF307" s="204"/>
      <c r="JWG307" s="35"/>
      <c r="JWH307" s="202"/>
      <c r="JWI307" s="203"/>
      <c r="JWJ307" s="36"/>
      <c r="JWK307" s="36"/>
      <c r="JWL307" s="205"/>
      <c r="JWM307" s="33"/>
      <c r="JWN307" s="37"/>
      <c r="JWO307" s="37"/>
      <c r="JWP307" s="37"/>
      <c r="JWQ307" s="37"/>
      <c r="JWR307" s="37"/>
      <c r="JWS307" s="33"/>
      <c r="JWT307" s="206"/>
      <c r="JWU307" s="207"/>
      <c r="JWV307" s="204"/>
      <c r="JWW307" s="35"/>
      <c r="JWX307" s="202"/>
      <c r="JWY307" s="203"/>
      <c r="JWZ307" s="36"/>
      <c r="JXA307" s="36"/>
      <c r="JXB307" s="205"/>
      <c r="JXC307" s="33"/>
      <c r="JXD307" s="37"/>
      <c r="JXE307" s="37"/>
      <c r="JXF307" s="37"/>
      <c r="JXG307" s="37"/>
      <c r="JXH307" s="37"/>
      <c r="JXI307" s="33"/>
      <c r="JXJ307" s="206"/>
      <c r="JXK307" s="207"/>
      <c r="JXL307" s="204"/>
      <c r="JXM307" s="35"/>
      <c r="JXN307" s="202"/>
      <c r="JXO307" s="203"/>
      <c r="JXP307" s="36"/>
      <c r="JXQ307" s="36"/>
      <c r="JXR307" s="205"/>
      <c r="JXS307" s="33"/>
      <c r="JXT307" s="37"/>
      <c r="JXU307" s="37"/>
      <c r="JXV307" s="37"/>
      <c r="JXW307" s="37"/>
      <c r="JXX307" s="37"/>
      <c r="JXY307" s="33"/>
      <c r="JXZ307" s="206"/>
      <c r="JYA307" s="207"/>
      <c r="JYB307" s="204"/>
      <c r="JYC307" s="35"/>
      <c r="JYD307" s="202"/>
      <c r="JYE307" s="203"/>
      <c r="JYF307" s="36"/>
      <c r="JYG307" s="36"/>
      <c r="JYH307" s="205"/>
      <c r="JYI307" s="33"/>
      <c r="JYJ307" s="37"/>
      <c r="JYK307" s="37"/>
      <c r="JYL307" s="37"/>
      <c r="JYM307" s="37"/>
      <c r="JYN307" s="37"/>
      <c r="JYO307" s="33"/>
      <c r="JYP307" s="206"/>
      <c r="JYQ307" s="207"/>
      <c r="JYR307" s="204"/>
      <c r="JYS307" s="35"/>
      <c r="JYT307" s="202"/>
      <c r="JYU307" s="203"/>
      <c r="JYV307" s="36"/>
      <c r="JYW307" s="36"/>
      <c r="JYX307" s="205"/>
      <c r="JYY307" s="33"/>
      <c r="JYZ307" s="37"/>
      <c r="JZA307" s="37"/>
      <c r="JZB307" s="37"/>
      <c r="JZC307" s="37"/>
      <c r="JZD307" s="37"/>
      <c r="JZE307" s="33"/>
      <c r="JZF307" s="206"/>
      <c r="JZG307" s="207"/>
      <c r="JZH307" s="204"/>
      <c r="JZI307" s="35"/>
      <c r="JZJ307" s="202"/>
      <c r="JZK307" s="203"/>
      <c r="JZL307" s="36"/>
      <c r="JZM307" s="36"/>
      <c r="JZN307" s="205"/>
      <c r="JZO307" s="33"/>
      <c r="JZP307" s="37"/>
      <c r="JZQ307" s="37"/>
      <c r="JZR307" s="37"/>
      <c r="JZS307" s="37"/>
      <c r="JZT307" s="37"/>
      <c r="JZU307" s="33"/>
      <c r="JZV307" s="206"/>
      <c r="JZW307" s="207"/>
      <c r="JZX307" s="204"/>
      <c r="JZY307" s="35"/>
      <c r="JZZ307" s="202"/>
      <c r="KAA307" s="203"/>
      <c r="KAB307" s="36"/>
      <c r="KAC307" s="36"/>
      <c r="KAD307" s="205"/>
      <c r="KAE307" s="33"/>
      <c r="KAF307" s="37"/>
      <c r="KAG307" s="37"/>
      <c r="KAH307" s="37"/>
      <c r="KAI307" s="37"/>
      <c r="KAJ307" s="37"/>
      <c r="KAK307" s="33"/>
      <c r="KAL307" s="206"/>
      <c r="KAM307" s="207"/>
      <c r="KAN307" s="204"/>
      <c r="KAO307" s="35"/>
      <c r="KAP307" s="202"/>
      <c r="KAQ307" s="203"/>
      <c r="KAR307" s="36"/>
      <c r="KAS307" s="36"/>
      <c r="KAT307" s="205"/>
      <c r="KAU307" s="33"/>
      <c r="KAV307" s="37"/>
      <c r="KAW307" s="37"/>
      <c r="KAX307" s="37"/>
      <c r="KAY307" s="37"/>
      <c r="KAZ307" s="37"/>
      <c r="KBA307" s="33"/>
      <c r="KBB307" s="206"/>
      <c r="KBC307" s="207"/>
      <c r="KBD307" s="204"/>
      <c r="KBE307" s="35"/>
      <c r="KBF307" s="202"/>
      <c r="KBG307" s="203"/>
      <c r="KBH307" s="36"/>
      <c r="KBI307" s="36"/>
      <c r="KBJ307" s="205"/>
      <c r="KBK307" s="33"/>
      <c r="KBL307" s="37"/>
      <c r="KBM307" s="37"/>
      <c r="KBN307" s="37"/>
      <c r="KBO307" s="37"/>
      <c r="KBP307" s="37"/>
      <c r="KBQ307" s="33"/>
      <c r="KBR307" s="206"/>
      <c r="KBS307" s="207"/>
      <c r="KBT307" s="204"/>
      <c r="KBU307" s="35"/>
      <c r="KBV307" s="202"/>
      <c r="KBW307" s="203"/>
      <c r="KBX307" s="36"/>
      <c r="KBY307" s="36"/>
      <c r="KBZ307" s="205"/>
      <c r="KCA307" s="33"/>
      <c r="KCB307" s="37"/>
      <c r="KCC307" s="37"/>
      <c r="KCD307" s="37"/>
      <c r="KCE307" s="37"/>
      <c r="KCF307" s="37"/>
      <c r="KCG307" s="33"/>
      <c r="KCH307" s="206"/>
      <c r="KCI307" s="207"/>
      <c r="KCJ307" s="204"/>
      <c r="KCK307" s="35"/>
      <c r="KCL307" s="202"/>
      <c r="KCM307" s="203"/>
      <c r="KCN307" s="36"/>
      <c r="KCO307" s="36"/>
      <c r="KCP307" s="205"/>
      <c r="KCQ307" s="33"/>
      <c r="KCR307" s="37"/>
      <c r="KCS307" s="37"/>
      <c r="KCT307" s="37"/>
      <c r="KCU307" s="37"/>
      <c r="KCV307" s="37"/>
      <c r="KCW307" s="33"/>
      <c r="KCX307" s="206"/>
      <c r="KCY307" s="207"/>
      <c r="KCZ307" s="204"/>
      <c r="KDA307" s="35"/>
      <c r="KDB307" s="202"/>
      <c r="KDC307" s="203"/>
      <c r="KDD307" s="36"/>
      <c r="KDE307" s="36"/>
      <c r="KDF307" s="205"/>
      <c r="KDG307" s="33"/>
      <c r="KDH307" s="37"/>
      <c r="KDI307" s="37"/>
      <c r="KDJ307" s="37"/>
      <c r="KDK307" s="37"/>
      <c r="KDL307" s="37"/>
      <c r="KDM307" s="33"/>
      <c r="KDN307" s="206"/>
      <c r="KDO307" s="207"/>
      <c r="KDP307" s="204"/>
      <c r="KDQ307" s="35"/>
      <c r="KDR307" s="202"/>
      <c r="KDS307" s="203"/>
      <c r="KDT307" s="36"/>
      <c r="KDU307" s="36"/>
      <c r="KDV307" s="205"/>
      <c r="KDW307" s="33"/>
      <c r="KDX307" s="37"/>
      <c r="KDY307" s="37"/>
      <c r="KDZ307" s="37"/>
      <c r="KEA307" s="37"/>
      <c r="KEB307" s="37"/>
      <c r="KEC307" s="33"/>
      <c r="KED307" s="206"/>
      <c r="KEE307" s="207"/>
      <c r="KEF307" s="204"/>
      <c r="KEG307" s="35"/>
      <c r="KEH307" s="202"/>
      <c r="KEI307" s="203"/>
      <c r="KEJ307" s="36"/>
      <c r="KEK307" s="36"/>
      <c r="KEL307" s="205"/>
      <c r="KEM307" s="33"/>
      <c r="KEN307" s="37"/>
      <c r="KEO307" s="37"/>
      <c r="KEP307" s="37"/>
      <c r="KEQ307" s="37"/>
      <c r="KER307" s="37"/>
      <c r="KES307" s="33"/>
      <c r="KET307" s="206"/>
      <c r="KEU307" s="207"/>
      <c r="KEV307" s="204"/>
      <c r="KEW307" s="35"/>
      <c r="KEX307" s="202"/>
      <c r="KEY307" s="203"/>
      <c r="KEZ307" s="36"/>
      <c r="KFA307" s="36"/>
      <c r="KFB307" s="205"/>
      <c r="KFC307" s="33"/>
      <c r="KFD307" s="37"/>
      <c r="KFE307" s="37"/>
      <c r="KFF307" s="37"/>
      <c r="KFG307" s="37"/>
      <c r="KFH307" s="37"/>
      <c r="KFI307" s="33"/>
      <c r="KFJ307" s="206"/>
      <c r="KFK307" s="207"/>
      <c r="KFL307" s="204"/>
      <c r="KFM307" s="35"/>
      <c r="KFN307" s="202"/>
      <c r="KFO307" s="203"/>
      <c r="KFP307" s="36"/>
      <c r="KFQ307" s="36"/>
      <c r="KFR307" s="205"/>
      <c r="KFS307" s="33"/>
      <c r="KFT307" s="37"/>
      <c r="KFU307" s="37"/>
      <c r="KFV307" s="37"/>
      <c r="KFW307" s="37"/>
      <c r="KFX307" s="37"/>
      <c r="KFY307" s="33"/>
      <c r="KFZ307" s="206"/>
      <c r="KGA307" s="207"/>
      <c r="KGB307" s="204"/>
      <c r="KGC307" s="35"/>
      <c r="KGD307" s="202"/>
      <c r="KGE307" s="203"/>
      <c r="KGF307" s="36"/>
      <c r="KGG307" s="36"/>
      <c r="KGH307" s="205"/>
      <c r="KGI307" s="33"/>
      <c r="KGJ307" s="37"/>
      <c r="KGK307" s="37"/>
      <c r="KGL307" s="37"/>
      <c r="KGM307" s="37"/>
      <c r="KGN307" s="37"/>
      <c r="KGO307" s="33"/>
      <c r="KGP307" s="206"/>
      <c r="KGQ307" s="207"/>
      <c r="KGR307" s="204"/>
      <c r="KGS307" s="35"/>
      <c r="KGT307" s="202"/>
      <c r="KGU307" s="203"/>
      <c r="KGV307" s="36"/>
      <c r="KGW307" s="36"/>
      <c r="KGX307" s="205"/>
      <c r="KGY307" s="33"/>
      <c r="KGZ307" s="37"/>
      <c r="KHA307" s="37"/>
      <c r="KHB307" s="37"/>
      <c r="KHC307" s="37"/>
      <c r="KHD307" s="37"/>
      <c r="KHE307" s="33"/>
      <c r="KHF307" s="206"/>
      <c r="KHG307" s="207"/>
      <c r="KHH307" s="204"/>
      <c r="KHI307" s="35"/>
      <c r="KHJ307" s="202"/>
      <c r="KHK307" s="203"/>
      <c r="KHL307" s="36"/>
      <c r="KHM307" s="36"/>
      <c r="KHN307" s="205"/>
      <c r="KHO307" s="33"/>
      <c r="KHP307" s="37"/>
      <c r="KHQ307" s="37"/>
      <c r="KHR307" s="37"/>
      <c r="KHS307" s="37"/>
      <c r="KHT307" s="37"/>
      <c r="KHU307" s="33"/>
      <c r="KHV307" s="206"/>
      <c r="KHW307" s="207"/>
      <c r="KHX307" s="204"/>
      <c r="KHY307" s="35"/>
      <c r="KHZ307" s="202"/>
      <c r="KIA307" s="203"/>
      <c r="KIB307" s="36"/>
      <c r="KIC307" s="36"/>
      <c r="KID307" s="205"/>
      <c r="KIE307" s="33"/>
      <c r="KIF307" s="37"/>
      <c r="KIG307" s="37"/>
      <c r="KIH307" s="37"/>
      <c r="KII307" s="37"/>
      <c r="KIJ307" s="37"/>
      <c r="KIK307" s="33"/>
      <c r="KIL307" s="206"/>
      <c r="KIM307" s="207"/>
      <c r="KIN307" s="204"/>
      <c r="KIO307" s="35"/>
      <c r="KIP307" s="202"/>
      <c r="KIQ307" s="203"/>
      <c r="KIR307" s="36"/>
      <c r="KIS307" s="36"/>
      <c r="KIT307" s="205"/>
      <c r="KIU307" s="33"/>
      <c r="KIV307" s="37"/>
      <c r="KIW307" s="37"/>
      <c r="KIX307" s="37"/>
      <c r="KIY307" s="37"/>
      <c r="KIZ307" s="37"/>
      <c r="KJA307" s="33"/>
      <c r="KJB307" s="206"/>
      <c r="KJC307" s="207"/>
      <c r="KJD307" s="204"/>
      <c r="KJE307" s="35"/>
      <c r="KJF307" s="202"/>
      <c r="KJG307" s="203"/>
      <c r="KJH307" s="36"/>
      <c r="KJI307" s="36"/>
      <c r="KJJ307" s="205"/>
      <c r="KJK307" s="33"/>
      <c r="KJL307" s="37"/>
      <c r="KJM307" s="37"/>
      <c r="KJN307" s="37"/>
      <c r="KJO307" s="37"/>
      <c r="KJP307" s="37"/>
      <c r="KJQ307" s="33"/>
      <c r="KJR307" s="206"/>
      <c r="KJS307" s="207"/>
      <c r="KJT307" s="204"/>
      <c r="KJU307" s="35"/>
      <c r="KJV307" s="202"/>
      <c r="KJW307" s="203"/>
      <c r="KJX307" s="36"/>
      <c r="KJY307" s="36"/>
      <c r="KJZ307" s="205"/>
      <c r="KKA307" s="33"/>
      <c r="KKB307" s="37"/>
      <c r="KKC307" s="37"/>
      <c r="KKD307" s="37"/>
      <c r="KKE307" s="37"/>
      <c r="KKF307" s="37"/>
      <c r="KKG307" s="33"/>
      <c r="KKH307" s="206"/>
      <c r="KKI307" s="207"/>
      <c r="KKJ307" s="204"/>
      <c r="KKK307" s="35"/>
      <c r="KKL307" s="202"/>
      <c r="KKM307" s="203"/>
      <c r="KKN307" s="36"/>
      <c r="KKO307" s="36"/>
      <c r="KKP307" s="205"/>
      <c r="KKQ307" s="33"/>
      <c r="KKR307" s="37"/>
      <c r="KKS307" s="37"/>
      <c r="KKT307" s="37"/>
      <c r="KKU307" s="37"/>
      <c r="KKV307" s="37"/>
      <c r="KKW307" s="33"/>
      <c r="KKX307" s="206"/>
      <c r="KKY307" s="207"/>
      <c r="KKZ307" s="204"/>
      <c r="KLA307" s="35"/>
      <c r="KLB307" s="202"/>
      <c r="KLC307" s="203"/>
      <c r="KLD307" s="36"/>
      <c r="KLE307" s="36"/>
      <c r="KLF307" s="205"/>
      <c r="KLG307" s="33"/>
      <c r="KLH307" s="37"/>
      <c r="KLI307" s="37"/>
      <c r="KLJ307" s="37"/>
      <c r="KLK307" s="37"/>
      <c r="KLL307" s="37"/>
      <c r="KLM307" s="33"/>
      <c r="KLN307" s="206"/>
      <c r="KLO307" s="207"/>
      <c r="KLP307" s="204"/>
      <c r="KLQ307" s="35"/>
      <c r="KLR307" s="202"/>
      <c r="KLS307" s="203"/>
      <c r="KLT307" s="36"/>
      <c r="KLU307" s="36"/>
      <c r="KLV307" s="205"/>
      <c r="KLW307" s="33"/>
      <c r="KLX307" s="37"/>
      <c r="KLY307" s="37"/>
      <c r="KLZ307" s="37"/>
      <c r="KMA307" s="37"/>
      <c r="KMB307" s="37"/>
      <c r="KMC307" s="33"/>
      <c r="KMD307" s="206"/>
      <c r="KME307" s="207"/>
      <c r="KMF307" s="204"/>
      <c r="KMG307" s="35"/>
      <c r="KMH307" s="202"/>
      <c r="KMI307" s="203"/>
      <c r="KMJ307" s="36"/>
      <c r="KMK307" s="36"/>
      <c r="KML307" s="205"/>
      <c r="KMM307" s="33"/>
      <c r="KMN307" s="37"/>
      <c r="KMO307" s="37"/>
      <c r="KMP307" s="37"/>
      <c r="KMQ307" s="37"/>
      <c r="KMR307" s="37"/>
      <c r="KMS307" s="33"/>
      <c r="KMT307" s="206"/>
      <c r="KMU307" s="207"/>
      <c r="KMV307" s="204"/>
      <c r="KMW307" s="35"/>
      <c r="KMX307" s="202"/>
      <c r="KMY307" s="203"/>
      <c r="KMZ307" s="36"/>
      <c r="KNA307" s="36"/>
      <c r="KNB307" s="205"/>
      <c r="KNC307" s="33"/>
      <c r="KND307" s="37"/>
      <c r="KNE307" s="37"/>
      <c r="KNF307" s="37"/>
      <c r="KNG307" s="37"/>
      <c r="KNH307" s="37"/>
      <c r="KNI307" s="33"/>
      <c r="KNJ307" s="206"/>
      <c r="KNK307" s="207"/>
      <c r="KNL307" s="204"/>
      <c r="KNM307" s="35"/>
      <c r="KNN307" s="202"/>
      <c r="KNO307" s="203"/>
      <c r="KNP307" s="36"/>
      <c r="KNQ307" s="36"/>
      <c r="KNR307" s="205"/>
      <c r="KNS307" s="33"/>
      <c r="KNT307" s="37"/>
      <c r="KNU307" s="37"/>
      <c r="KNV307" s="37"/>
      <c r="KNW307" s="37"/>
      <c r="KNX307" s="37"/>
      <c r="KNY307" s="33"/>
      <c r="KNZ307" s="206"/>
      <c r="KOA307" s="207"/>
      <c r="KOB307" s="204"/>
      <c r="KOC307" s="35"/>
      <c r="KOD307" s="202"/>
      <c r="KOE307" s="203"/>
      <c r="KOF307" s="36"/>
      <c r="KOG307" s="36"/>
      <c r="KOH307" s="205"/>
      <c r="KOI307" s="33"/>
      <c r="KOJ307" s="37"/>
      <c r="KOK307" s="37"/>
      <c r="KOL307" s="37"/>
      <c r="KOM307" s="37"/>
      <c r="KON307" s="37"/>
      <c r="KOO307" s="33"/>
      <c r="KOP307" s="206"/>
      <c r="KOQ307" s="207"/>
      <c r="KOR307" s="204"/>
      <c r="KOS307" s="35"/>
      <c r="KOT307" s="202"/>
      <c r="KOU307" s="203"/>
      <c r="KOV307" s="36"/>
      <c r="KOW307" s="36"/>
      <c r="KOX307" s="205"/>
      <c r="KOY307" s="33"/>
      <c r="KOZ307" s="37"/>
      <c r="KPA307" s="37"/>
      <c r="KPB307" s="37"/>
      <c r="KPC307" s="37"/>
      <c r="KPD307" s="37"/>
      <c r="KPE307" s="33"/>
      <c r="KPF307" s="206"/>
      <c r="KPG307" s="207"/>
      <c r="KPH307" s="204"/>
      <c r="KPI307" s="35"/>
      <c r="KPJ307" s="202"/>
      <c r="KPK307" s="203"/>
      <c r="KPL307" s="36"/>
      <c r="KPM307" s="36"/>
      <c r="KPN307" s="205"/>
      <c r="KPO307" s="33"/>
      <c r="KPP307" s="37"/>
      <c r="KPQ307" s="37"/>
      <c r="KPR307" s="37"/>
      <c r="KPS307" s="37"/>
      <c r="KPT307" s="37"/>
      <c r="KPU307" s="33"/>
      <c r="KPV307" s="206"/>
      <c r="KPW307" s="207"/>
      <c r="KPX307" s="204"/>
      <c r="KPY307" s="35"/>
      <c r="KPZ307" s="202"/>
      <c r="KQA307" s="203"/>
      <c r="KQB307" s="36"/>
      <c r="KQC307" s="36"/>
      <c r="KQD307" s="205"/>
      <c r="KQE307" s="33"/>
      <c r="KQF307" s="37"/>
      <c r="KQG307" s="37"/>
      <c r="KQH307" s="37"/>
      <c r="KQI307" s="37"/>
      <c r="KQJ307" s="37"/>
      <c r="KQK307" s="33"/>
      <c r="KQL307" s="206"/>
      <c r="KQM307" s="207"/>
      <c r="KQN307" s="204"/>
      <c r="KQO307" s="35"/>
      <c r="KQP307" s="202"/>
      <c r="KQQ307" s="203"/>
      <c r="KQR307" s="36"/>
      <c r="KQS307" s="36"/>
      <c r="KQT307" s="205"/>
      <c r="KQU307" s="33"/>
      <c r="KQV307" s="37"/>
      <c r="KQW307" s="37"/>
      <c r="KQX307" s="37"/>
      <c r="KQY307" s="37"/>
      <c r="KQZ307" s="37"/>
      <c r="KRA307" s="33"/>
      <c r="KRB307" s="206"/>
      <c r="KRC307" s="207"/>
      <c r="KRD307" s="204"/>
      <c r="KRE307" s="35"/>
      <c r="KRF307" s="202"/>
      <c r="KRG307" s="203"/>
      <c r="KRH307" s="36"/>
      <c r="KRI307" s="36"/>
      <c r="KRJ307" s="205"/>
      <c r="KRK307" s="33"/>
      <c r="KRL307" s="37"/>
      <c r="KRM307" s="37"/>
      <c r="KRN307" s="37"/>
      <c r="KRO307" s="37"/>
      <c r="KRP307" s="37"/>
      <c r="KRQ307" s="33"/>
      <c r="KRR307" s="206"/>
      <c r="KRS307" s="207"/>
      <c r="KRT307" s="204"/>
      <c r="KRU307" s="35"/>
      <c r="KRV307" s="202"/>
      <c r="KRW307" s="203"/>
      <c r="KRX307" s="36"/>
      <c r="KRY307" s="36"/>
      <c r="KRZ307" s="205"/>
      <c r="KSA307" s="33"/>
      <c r="KSB307" s="37"/>
      <c r="KSC307" s="37"/>
      <c r="KSD307" s="37"/>
      <c r="KSE307" s="37"/>
      <c r="KSF307" s="37"/>
      <c r="KSG307" s="33"/>
      <c r="KSH307" s="206"/>
      <c r="KSI307" s="207"/>
      <c r="KSJ307" s="204"/>
      <c r="KSK307" s="35"/>
      <c r="KSL307" s="202"/>
      <c r="KSM307" s="203"/>
      <c r="KSN307" s="36"/>
      <c r="KSO307" s="36"/>
      <c r="KSP307" s="205"/>
      <c r="KSQ307" s="33"/>
      <c r="KSR307" s="37"/>
      <c r="KSS307" s="37"/>
      <c r="KST307" s="37"/>
      <c r="KSU307" s="37"/>
      <c r="KSV307" s="37"/>
      <c r="KSW307" s="33"/>
      <c r="KSX307" s="206"/>
      <c r="KSY307" s="207"/>
      <c r="KSZ307" s="204"/>
      <c r="KTA307" s="35"/>
      <c r="KTB307" s="202"/>
      <c r="KTC307" s="203"/>
      <c r="KTD307" s="36"/>
      <c r="KTE307" s="36"/>
      <c r="KTF307" s="205"/>
      <c r="KTG307" s="33"/>
      <c r="KTH307" s="37"/>
      <c r="KTI307" s="37"/>
      <c r="KTJ307" s="37"/>
      <c r="KTK307" s="37"/>
      <c r="KTL307" s="37"/>
      <c r="KTM307" s="33"/>
      <c r="KTN307" s="206"/>
      <c r="KTO307" s="207"/>
      <c r="KTP307" s="204"/>
      <c r="KTQ307" s="35"/>
      <c r="KTR307" s="202"/>
      <c r="KTS307" s="203"/>
      <c r="KTT307" s="36"/>
      <c r="KTU307" s="36"/>
      <c r="KTV307" s="205"/>
      <c r="KTW307" s="33"/>
      <c r="KTX307" s="37"/>
      <c r="KTY307" s="37"/>
      <c r="KTZ307" s="37"/>
      <c r="KUA307" s="37"/>
      <c r="KUB307" s="37"/>
      <c r="KUC307" s="33"/>
      <c r="KUD307" s="206"/>
      <c r="KUE307" s="207"/>
      <c r="KUF307" s="204"/>
      <c r="KUG307" s="35"/>
      <c r="KUH307" s="202"/>
      <c r="KUI307" s="203"/>
      <c r="KUJ307" s="36"/>
      <c r="KUK307" s="36"/>
      <c r="KUL307" s="205"/>
      <c r="KUM307" s="33"/>
      <c r="KUN307" s="37"/>
      <c r="KUO307" s="37"/>
      <c r="KUP307" s="37"/>
      <c r="KUQ307" s="37"/>
      <c r="KUR307" s="37"/>
      <c r="KUS307" s="33"/>
      <c r="KUT307" s="206"/>
      <c r="KUU307" s="207"/>
      <c r="KUV307" s="204"/>
      <c r="KUW307" s="35"/>
      <c r="KUX307" s="202"/>
      <c r="KUY307" s="203"/>
      <c r="KUZ307" s="36"/>
      <c r="KVA307" s="36"/>
      <c r="KVB307" s="205"/>
      <c r="KVC307" s="33"/>
      <c r="KVD307" s="37"/>
      <c r="KVE307" s="37"/>
      <c r="KVF307" s="37"/>
      <c r="KVG307" s="37"/>
      <c r="KVH307" s="37"/>
      <c r="KVI307" s="33"/>
      <c r="KVJ307" s="206"/>
      <c r="KVK307" s="207"/>
      <c r="KVL307" s="204"/>
      <c r="KVM307" s="35"/>
      <c r="KVN307" s="202"/>
      <c r="KVO307" s="203"/>
      <c r="KVP307" s="36"/>
      <c r="KVQ307" s="36"/>
      <c r="KVR307" s="205"/>
      <c r="KVS307" s="33"/>
      <c r="KVT307" s="37"/>
      <c r="KVU307" s="37"/>
      <c r="KVV307" s="37"/>
      <c r="KVW307" s="37"/>
      <c r="KVX307" s="37"/>
      <c r="KVY307" s="33"/>
      <c r="KVZ307" s="206"/>
      <c r="KWA307" s="207"/>
      <c r="KWB307" s="204"/>
      <c r="KWC307" s="35"/>
      <c r="KWD307" s="202"/>
      <c r="KWE307" s="203"/>
      <c r="KWF307" s="36"/>
      <c r="KWG307" s="36"/>
      <c r="KWH307" s="205"/>
      <c r="KWI307" s="33"/>
      <c r="KWJ307" s="37"/>
      <c r="KWK307" s="37"/>
      <c r="KWL307" s="37"/>
      <c r="KWM307" s="37"/>
      <c r="KWN307" s="37"/>
      <c r="KWO307" s="33"/>
      <c r="KWP307" s="206"/>
      <c r="KWQ307" s="207"/>
      <c r="KWR307" s="204"/>
      <c r="KWS307" s="35"/>
      <c r="KWT307" s="202"/>
      <c r="KWU307" s="203"/>
      <c r="KWV307" s="36"/>
      <c r="KWW307" s="36"/>
      <c r="KWX307" s="205"/>
      <c r="KWY307" s="33"/>
      <c r="KWZ307" s="37"/>
      <c r="KXA307" s="37"/>
      <c r="KXB307" s="37"/>
      <c r="KXC307" s="37"/>
      <c r="KXD307" s="37"/>
      <c r="KXE307" s="33"/>
      <c r="KXF307" s="206"/>
      <c r="KXG307" s="207"/>
      <c r="KXH307" s="204"/>
      <c r="KXI307" s="35"/>
      <c r="KXJ307" s="202"/>
      <c r="KXK307" s="203"/>
      <c r="KXL307" s="36"/>
      <c r="KXM307" s="36"/>
      <c r="KXN307" s="205"/>
      <c r="KXO307" s="33"/>
      <c r="KXP307" s="37"/>
      <c r="KXQ307" s="37"/>
      <c r="KXR307" s="37"/>
      <c r="KXS307" s="37"/>
      <c r="KXT307" s="37"/>
      <c r="KXU307" s="33"/>
      <c r="KXV307" s="206"/>
      <c r="KXW307" s="207"/>
      <c r="KXX307" s="204"/>
      <c r="KXY307" s="35"/>
      <c r="KXZ307" s="202"/>
      <c r="KYA307" s="203"/>
      <c r="KYB307" s="36"/>
      <c r="KYC307" s="36"/>
      <c r="KYD307" s="205"/>
      <c r="KYE307" s="33"/>
      <c r="KYF307" s="37"/>
      <c r="KYG307" s="37"/>
      <c r="KYH307" s="37"/>
      <c r="KYI307" s="37"/>
      <c r="KYJ307" s="37"/>
      <c r="KYK307" s="33"/>
      <c r="KYL307" s="206"/>
      <c r="KYM307" s="207"/>
      <c r="KYN307" s="204"/>
      <c r="KYO307" s="35"/>
      <c r="KYP307" s="202"/>
      <c r="KYQ307" s="203"/>
      <c r="KYR307" s="36"/>
      <c r="KYS307" s="36"/>
      <c r="KYT307" s="205"/>
      <c r="KYU307" s="33"/>
      <c r="KYV307" s="37"/>
      <c r="KYW307" s="37"/>
      <c r="KYX307" s="37"/>
      <c r="KYY307" s="37"/>
      <c r="KYZ307" s="37"/>
      <c r="KZA307" s="33"/>
      <c r="KZB307" s="206"/>
      <c r="KZC307" s="207"/>
      <c r="KZD307" s="204"/>
      <c r="KZE307" s="35"/>
      <c r="KZF307" s="202"/>
      <c r="KZG307" s="203"/>
      <c r="KZH307" s="36"/>
      <c r="KZI307" s="36"/>
      <c r="KZJ307" s="205"/>
      <c r="KZK307" s="33"/>
      <c r="KZL307" s="37"/>
      <c r="KZM307" s="37"/>
      <c r="KZN307" s="37"/>
      <c r="KZO307" s="37"/>
      <c r="KZP307" s="37"/>
      <c r="KZQ307" s="33"/>
      <c r="KZR307" s="206"/>
      <c r="KZS307" s="207"/>
      <c r="KZT307" s="204"/>
      <c r="KZU307" s="35"/>
      <c r="KZV307" s="202"/>
      <c r="KZW307" s="203"/>
      <c r="KZX307" s="36"/>
      <c r="KZY307" s="36"/>
      <c r="KZZ307" s="205"/>
      <c r="LAA307" s="33"/>
      <c r="LAB307" s="37"/>
      <c r="LAC307" s="37"/>
      <c r="LAD307" s="37"/>
      <c r="LAE307" s="37"/>
      <c r="LAF307" s="37"/>
      <c r="LAG307" s="33"/>
      <c r="LAH307" s="206"/>
      <c r="LAI307" s="207"/>
      <c r="LAJ307" s="204"/>
      <c r="LAK307" s="35"/>
      <c r="LAL307" s="202"/>
      <c r="LAM307" s="203"/>
      <c r="LAN307" s="36"/>
      <c r="LAO307" s="36"/>
      <c r="LAP307" s="205"/>
      <c r="LAQ307" s="33"/>
      <c r="LAR307" s="37"/>
      <c r="LAS307" s="37"/>
      <c r="LAT307" s="37"/>
      <c r="LAU307" s="37"/>
      <c r="LAV307" s="37"/>
      <c r="LAW307" s="33"/>
      <c r="LAX307" s="206"/>
      <c r="LAY307" s="207"/>
      <c r="LAZ307" s="204"/>
      <c r="LBA307" s="35"/>
      <c r="LBB307" s="202"/>
      <c r="LBC307" s="203"/>
      <c r="LBD307" s="36"/>
      <c r="LBE307" s="36"/>
      <c r="LBF307" s="205"/>
      <c r="LBG307" s="33"/>
      <c r="LBH307" s="37"/>
      <c r="LBI307" s="37"/>
      <c r="LBJ307" s="37"/>
      <c r="LBK307" s="37"/>
      <c r="LBL307" s="37"/>
      <c r="LBM307" s="33"/>
      <c r="LBN307" s="206"/>
      <c r="LBO307" s="207"/>
      <c r="LBP307" s="204"/>
      <c r="LBQ307" s="35"/>
      <c r="LBR307" s="202"/>
      <c r="LBS307" s="203"/>
      <c r="LBT307" s="36"/>
      <c r="LBU307" s="36"/>
      <c r="LBV307" s="205"/>
      <c r="LBW307" s="33"/>
      <c r="LBX307" s="37"/>
      <c r="LBY307" s="37"/>
      <c r="LBZ307" s="37"/>
      <c r="LCA307" s="37"/>
      <c r="LCB307" s="37"/>
      <c r="LCC307" s="33"/>
      <c r="LCD307" s="206"/>
      <c r="LCE307" s="207"/>
      <c r="LCF307" s="204"/>
      <c r="LCG307" s="35"/>
      <c r="LCH307" s="202"/>
      <c r="LCI307" s="203"/>
      <c r="LCJ307" s="36"/>
      <c r="LCK307" s="36"/>
      <c r="LCL307" s="205"/>
      <c r="LCM307" s="33"/>
      <c r="LCN307" s="37"/>
      <c r="LCO307" s="37"/>
      <c r="LCP307" s="37"/>
      <c r="LCQ307" s="37"/>
      <c r="LCR307" s="37"/>
      <c r="LCS307" s="33"/>
      <c r="LCT307" s="206"/>
      <c r="LCU307" s="207"/>
      <c r="LCV307" s="204"/>
      <c r="LCW307" s="35"/>
      <c r="LCX307" s="202"/>
      <c r="LCY307" s="203"/>
      <c r="LCZ307" s="36"/>
      <c r="LDA307" s="36"/>
      <c r="LDB307" s="205"/>
      <c r="LDC307" s="33"/>
      <c r="LDD307" s="37"/>
      <c r="LDE307" s="37"/>
      <c r="LDF307" s="37"/>
      <c r="LDG307" s="37"/>
      <c r="LDH307" s="37"/>
      <c r="LDI307" s="33"/>
      <c r="LDJ307" s="206"/>
      <c r="LDK307" s="207"/>
      <c r="LDL307" s="204"/>
      <c r="LDM307" s="35"/>
      <c r="LDN307" s="202"/>
      <c r="LDO307" s="203"/>
      <c r="LDP307" s="36"/>
      <c r="LDQ307" s="36"/>
      <c r="LDR307" s="205"/>
      <c r="LDS307" s="33"/>
      <c r="LDT307" s="37"/>
      <c r="LDU307" s="37"/>
      <c r="LDV307" s="37"/>
      <c r="LDW307" s="37"/>
      <c r="LDX307" s="37"/>
      <c r="LDY307" s="33"/>
      <c r="LDZ307" s="206"/>
      <c r="LEA307" s="207"/>
      <c r="LEB307" s="204"/>
      <c r="LEC307" s="35"/>
      <c r="LED307" s="202"/>
      <c r="LEE307" s="203"/>
      <c r="LEF307" s="36"/>
      <c r="LEG307" s="36"/>
      <c r="LEH307" s="205"/>
      <c r="LEI307" s="33"/>
      <c r="LEJ307" s="37"/>
      <c r="LEK307" s="37"/>
      <c r="LEL307" s="37"/>
      <c r="LEM307" s="37"/>
      <c r="LEN307" s="37"/>
      <c r="LEO307" s="33"/>
      <c r="LEP307" s="206"/>
      <c r="LEQ307" s="207"/>
      <c r="LER307" s="204"/>
      <c r="LES307" s="35"/>
      <c r="LET307" s="202"/>
      <c r="LEU307" s="203"/>
      <c r="LEV307" s="36"/>
      <c r="LEW307" s="36"/>
      <c r="LEX307" s="205"/>
      <c r="LEY307" s="33"/>
      <c r="LEZ307" s="37"/>
      <c r="LFA307" s="37"/>
      <c r="LFB307" s="37"/>
      <c r="LFC307" s="37"/>
      <c r="LFD307" s="37"/>
      <c r="LFE307" s="33"/>
      <c r="LFF307" s="206"/>
      <c r="LFG307" s="207"/>
      <c r="LFH307" s="204"/>
      <c r="LFI307" s="35"/>
      <c r="LFJ307" s="202"/>
      <c r="LFK307" s="203"/>
      <c r="LFL307" s="36"/>
      <c r="LFM307" s="36"/>
      <c r="LFN307" s="205"/>
      <c r="LFO307" s="33"/>
      <c r="LFP307" s="37"/>
      <c r="LFQ307" s="37"/>
      <c r="LFR307" s="37"/>
      <c r="LFS307" s="37"/>
      <c r="LFT307" s="37"/>
      <c r="LFU307" s="33"/>
      <c r="LFV307" s="206"/>
      <c r="LFW307" s="207"/>
      <c r="LFX307" s="204"/>
      <c r="LFY307" s="35"/>
      <c r="LFZ307" s="202"/>
      <c r="LGA307" s="203"/>
      <c r="LGB307" s="36"/>
      <c r="LGC307" s="36"/>
      <c r="LGD307" s="205"/>
      <c r="LGE307" s="33"/>
      <c r="LGF307" s="37"/>
      <c r="LGG307" s="37"/>
      <c r="LGH307" s="37"/>
      <c r="LGI307" s="37"/>
      <c r="LGJ307" s="37"/>
      <c r="LGK307" s="33"/>
      <c r="LGL307" s="206"/>
      <c r="LGM307" s="207"/>
      <c r="LGN307" s="204"/>
      <c r="LGO307" s="35"/>
      <c r="LGP307" s="202"/>
      <c r="LGQ307" s="203"/>
      <c r="LGR307" s="36"/>
      <c r="LGS307" s="36"/>
      <c r="LGT307" s="205"/>
      <c r="LGU307" s="33"/>
      <c r="LGV307" s="37"/>
      <c r="LGW307" s="37"/>
      <c r="LGX307" s="37"/>
      <c r="LGY307" s="37"/>
      <c r="LGZ307" s="37"/>
      <c r="LHA307" s="33"/>
      <c r="LHB307" s="206"/>
      <c r="LHC307" s="207"/>
      <c r="LHD307" s="204"/>
      <c r="LHE307" s="35"/>
      <c r="LHF307" s="202"/>
      <c r="LHG307" s="203"/>
      <c r="LHH307" s="36"/>
      <c r="LHI307" s="36"/>
      <c r="LHJ307" s="205"/>
      <c r="LHK307" s="33"/>
      <c r="LHL307" s="37"/>
      <c r="LHM307" s="37"/>
      <c r="LHN307" s="37"/>
      <c r="LHO307" s="37"/>
      <c r="LHP307" s="37"/>
      <c r="LHQ307" s="33"/>
      <c r="LHR307" s="206"/>
      <c r="LHS307" s="207"/>
      <c r="LHT307" s="204"/>
      <c r="LHU307" s="35"/>
      <c r="LHV307" s="202"/>
      <c r="LHW307" s="203"/>
      <c r="LHX307" s="36"/>
      <c r="LHY307" s="36"/>
      <c r="LHZ307" s="205"/>
      <c r="LIA307" s="33"/>
      <c r="LIB307" s="37"/>
      <c r="LIC307" s="37"/>
      <c r="LID307" s="37"/>
      <c r="LIE307" s="37"/>
      <c r="LIF307" s="37"/>
      <c r="LIG307" s="33"/>
      <c r="LIH307" s="206"/>
      <c r="LII307" s="207"/>
      <c r="LIJ307" s="204"/>
      <c r="LIK307" s="35"/>
      <c r="LIL307" s="202"/>
      <c r="LIM307" s="203"/>
      <c r="LIN307" s="36"/>
      <c r="LIO307" s="36"/>
      <c r="LIP307" s="205"/>
      <c r="LIQ307" s="33"/>
      <c r="LIR307" s="37"/>
      <c r="LIS307" s="37"/>
      <c r="LIT307" s="37"/>
      <c r="LIU307" s="37"/>
      <c r="LIV307" s="37"/>
      <c r="LIW307" s="33"/>
      <c r="LIX307" s="206"/>
      <c r="LIY307" s="207"/>
      <c r="LIZ307" s="204"/>
      <c r="LJA307" s="35"/>
      <c r="LJB307" s="202"/>
      <c r="LJC307" s="203"/>
      <c r="LJD307" s="36"/>
      <c r="LJE307" s="36"/>
      <c r="LJF307" s="205"/>
      <c r="LJG307" s="33"/>
      <c r="LJH307" s="37"/>
      <c r="LJI307" s="37"/>
      <c r="LJJ307" s="37"/>
      <c r="LJK307" s="37"/>
      <c r="LJL307" s="37"/>
      <c r="LJM307" s="33"/>
      <c r="LJN307" s="206"/>
      <c r="LJO307" s="207"/>
      <c r="LJP307" s="204"/>
      <c r="LJQ307" s="35"/>
      <c r="LJR307" s="202"/>
      <c r="LJS307" s="203"/>
      <c r="LJT307" s="36"/>
      <c r="LJU307" s="36"/>
      <c r="LJV307" s="205"/>
      <c r="LJW307" s="33"/>
      <c r="LJX307" s="37"/>
      <c r="LJY307" s="37"/>
      <c r="LJZ307" s="37"/>
      <c r="LKA307" s="37"/>
      <c r="LKB307" s="37"/>
      <c r="LKC307" s="33"/>
      <c r="LKD307" s="206"/>
      <c r="LKE307" s="207"/>
      <c r="LKF307" s="204"/>
      <c r="LKG307" s="35"/>
      <c r="LKH307" s="202"/>
      <c r="LKI307" s="203"/>
      <c r="LKJ307" s="36"/>
      <c r="LKK307" s="36"/>
      <c r="LKL307" s="205"/>
      <c r="LKM307" s="33"/>
      <c r="LKN307" s="37"/>
      <c r="LKO307" s="37"/>
      <c r="LKP307" s="37"/>
      <c r="LKQ307" s="37"/>
      <c r="LKR307" s="37"/>
      <c r="LKS307" s="33"/>
      <c r="LKT307" s="206"/>
      <c r="LKU307" s="207"/>
      <c r="LKV307" s="204"/>
      <c r="LKW307" s="35"/>
      <c r="LKX307" s="202"/>
      <c r="LKY307" s="203"/>
      <c r="LKZ307" s="36"/>
      <c r="LLA307" s="36"/>
      <c r="LLB307" s="205"/>
      <c r="LLC307" s="33"/>
      <c r="LLD307" s="37"/>
      <c r="LLE307" s="37"/>
      <c r="LLF307" s="37"/>
      <c r="LLG307" s="37"/>
      <c r="LLH307" s="37"/>
      <c r="LLI307" s="33"/>
      <c r="LLJ307" s="206"/>
      <c r="LLK307" s="207"/>
      <c r="LLL307" s="204"/>
      <c r="LLM307" s="35"/>
      <c r="LLN307" s="202"/>
      <c r="LLO307" s="203"/>
      <c r="LLP307" s="36"/>
      <c r="LLQ307" s="36"/>
      <c r="LLR307" s="205"/>
      <c r="LLS307" s="33"/>
      <c r="LLT307" s="37"/>
      <c r="LLU307" s="37"/>
      <c r="LLV307" s="37"/>
      <c r="LLW307" s="37"/>
      <c r="LLX307" s="37"/>
      <c r="LLY307" s="33"/>
      <c r="LLZ307" s="206"/>
      <c r="LMA307" s="207"/>
      <c r="LMB307" s="204"/>
      <c r="LMC307" s="35"/>
      <c r="LMD307" s="202"/>
      <c r="LME307" s="203"/>
      <c r="LMF307" s="36"/>
      <c r="LMG307" s="36"/>
      <c r="LMH307" s="205"/>
      <c r="LMI307" s="33"/>
      <c r="LMJ307" s="37"/>
      <c r="LMK307" s="37"/>
      <c r="LML307" s="37"/>
      <c r="LMM307" s="37"/>
      <c r="LMN307" s="37"/>
      <c r="LMO307" s="33"/>
      <c r="LMP307" s="206"/>
      <c r="LMQ307" s="207"/>
      <c r="LMR307" s="204"/>
      <c r="LMS307" s="35"/>
      <c r="LMT307" s="202"/>
      <c r="LMU307" s="203"/>
      <c r="LMV307" s="36"/>
      <c r="LMW307" s="36"/>
      <c r="LMX307" s="205"/>
      <c r="LMY307" s="33"/>
      <c r="LMZ307" s="37"/>
      <c r="LNA307" s="37"/>
      <c r="LNB307" s="37"/>
      <c r="LNC307" s="37"/>
      <c r="LND307" s="37"/>
      <c r="LNE307" s="33"/>
      <c r="LNF307" s="206"/>
      <c r="LNG307" s="207"/>
      <c r="LNH307" s="204"/>
      <c r="LNI307" s="35"/>
      <c r="LNJ307" s="202"/>
      <c r="LNK307" s="203"/>
      <c r="LNL307" s="36"/>
      <c r="LNM307" s="36"/>
      <c r="LNN307" s="205"/>
      <c r="LNO307" s="33"/>
      <c r="LNP307" s="37"/>
      <c r="LNQ307" s="37"/>
      <c r="LNR307" s="37"/>
      <c r="LNS307" s="37"/>
      <c r="LNT307" s="37"/>
      <c r="LNU307" s="33"/>
      <c r="LNV307" s="206"/>
      <c r="LNW307" s="207"/>
      <c r="LNX307" s="204"/>
      <c r="LNY307" s="35"/>
      <c r="LNZ307" s="202"/>
      <c r="LOA307" s="203"/>
      <c r="LOB307" s="36"/>
      <c r="LOC307" s="36"/>
      <c r="LOD307" s="205"/>
      <c r="LOE307" s="33"/>
      <c r="LOF307" s="37"/>
      <c r="LOG307" s="37"/>
      <c r="LOH307" s="37"/>
      <c r="LOI307" s="37"/>
      <c r="LOJ307" s="37"/>
      <c r="LOK307" s="33"/>
      <c r="LOL307" s="206"/>
      <c r="LOM307" s="207"/>
      <c r="LON307" s="204"/>
      <c r="LOO307" s="35"/>
      <c r="LOP307" s="202"/>
      <c r="LOQ307" s="203"/>
      <c r="LOR307" s="36"/>
      <c r="LOS307" s="36"/>
      <c r="LOT307" s="205"/>
      <c r="LOU307" s="33"/>
      <c r="LOV307" s="37"/>
      <c r="LOW307" s="37"/>
      <c r="LOX307" s="37"/>
      <c r="LOY307" s="37"/>
      <c r="LOZ307" s="37"/>
      <c r="LPA307" s="33"/>
      <c r="LPB307" s="206"/>
      <c r="LPC307" s="207"/>
      <c r="LPD307" s="204"/>
      <c r="LPE307" s="35"/>
      <c r="LPF307" s="202"/>
      <c r="LPG307" s="203"/>
      <c r="LPH307" s="36"/>
      <c r="LPI307" s="36"/>
      <c r="LPJ307" s="205"/>
      <c r="LPK307" s="33"/>
      <c r="LPL307" s="37"/>
      <c r="LPM307" s="37"/>
      <c r="LPN307" s="37"/>
      <c r="LPO307" s="37"/>
      <c r="LPP307" s="37"/>
      <c r="LPQ307" s="33"/>
      <c r="LPR307" s="206"/>
      <c r="LPS307" s="207"/>
      <c r="LPT307" s="204"/>
      <c r="LPU307" s="35"/>
      <c r="LPV307" s="202"/>
      <c r="LPW307" s="203"/>
      <c r="LPX307" s="36"/>
      <c r="LPY307" s="36"/>
      <c r="LPZ307" s="205"/>
      <c r="LQA307" s="33"/>
      <c r="LQB307" s="37"/>
      <c r="LQC307" s="37"/>
      <c r="LQD307" s="37"/>
      <c r="LQE307" s="37"/>
      <c r="LQF307" s="37"/>
      <c r="LQG307" s="33"/>
      <c r="LQH307" s="206"/>
      <c r="LQI307" s="207"/>
      <c r="LQJ307" s="204"/>
      <c r="LQK307" s="35"/>
      <c r="LQL307" s="202"/>
      <c r="LQM307" s="203"/>
      <c r="LQN307" s="36"/>
      <c r="LQO307" s="36"/>
      <c r="LQP307" s="205"/>
      <c r="LQQ307" s="33"/>
      <c r="LQR307" s="37"/>
      <c r="LQS307" s="37"/>
      <c r="LQT307" s="37"/>
      <c r="LQU307" s="37"/>
      <c r="LQV307" s="37"/>
      <c r="LQW307" s="33"/>
      <c r="LQX307" s="206"/>
      <c r="LQY307" s="207"/>
      <c r="LQZ307" s="204"/>
      <c r="LRA307" s="35"/>
      <c r="LRB307" s="202"/>
      <c r="LRC307" s="203"/>
      <c r="LRD307" s="36"/>
      <c r="LRE307" s="36"/>
      <c r="LRF307" s="205"/>
      <c r="LRG307" s="33"/>
      <c r="LRH307" s="37"/>
      <c r="LRI307" s="37"/>
      <c r="LRJ307" s="37"/>
      <c r="LRK307" s="37"/>
      <c r="LRL307" s="37"/>
      <c r="LRM307" s="33"/>
      <c r="LRN307" s="206"/>
      <c r="LRO307" s="207"/>
      <c r="LRP307" s="204"/>
      <c r="LRQ307" s="35"/>
      <c r="LRR307" s="202"/>
      <c r="LRS307" s="203"/>
      <c r="LRT307" s="36"/>
      <c r="LRU307" s="36"/>
      <c r="LRV307" s="205"/>
      <c r="LRW307" s="33"/>
      <c r="LRX307" s="37"/>
      <c r="LRY307" s="37"/>
      <c r="LRZ307" s="37"/>
      <c r="LSA307" s="37"/>
      <c r="LSB307" s="37"/>
      <c r="LSC307" s="33"/>
      <c r="LSD307" s="206"/>
      <c r="LSE307" s="207"/>
      <c r="LSF307" s="204"/>
      <c r="LSG307" s="35"/>
      <c r="LSH307" s="202"/>
      <c r="LSI307" s="203"/>
      <c r="LSJ307" s="36"/>
      <c r="LSK307" s="36"/>
      <c r="LSL307" s="205"/>
      <c r="LSM307" s="33"/>
      <c r="LSN307" s="37"/>
      <c r="LSO307" s="37"/>
      <c r="LSP307" s="37"/>
      <c r="LSQ307" s="37"/>
      <c r="LSR307" s="37"/>
      <c r="LSS307" s="33"/>
      <c r="LST307" s="206"/>
      <c r="LSU307" s="207"/>
      <c r="LSV307" s="204"/>
      <c r="LSW307" s="35"/>
      <c r="LSX307" s="202"/>
      <c r="LSY307" s="203"/>
      <c r="LSZ307" s="36"/>
      <c r="LTA307" s="36"/>
      <c r="LTB307" s="205"/>
      <c r="LTC307" s="33"/>
      <c r="LTD307" s="37"/>
      <c r="LTE307" s="37"/>
      <c r="LTF307" s="37"/>
      <c r="LTG307" s="37"/>
      <c r="LTH307" s="37"/>
      <c r="LTI307" s="33"/>
      <c r="LTJ307" s="206"/>
      <c r="LTK307" s="207"/>
      <c r="LTL307" s="204"/>
      <c r="LTM307" s="35"/>
      <c r="LTN307" s="202"/>
      <c r="LTO307" s="203"/>
      <c r="LTP307" s="36"/>
      <c r="LTQ307" s="36"/>
      <c r="LTR307" s="205"/>
      <c r="LTS307" s="33"/>
      <c r="LTT307" s="37"/>
      <c r="LTU307" s="37"/>
      <c r="LTV307" s="37"/>
      <c r="LTW307" s="37"/>
      <c r="LTX307" s="37"/>
      <c r="LTY307" s="33"/>
      <c r="LTZ307" s="206"/>
      <c r="LUA307" s="207"/>
      <c r="LUB307" s="204"/>
      <c r="LUC307" s="35"/>
      <c r="LUD307" s="202"/>
      <c r="LUE307" s="203"/>
      <c r="LUF307" s="36"/>
      <c r="LUG307" s="36"/>
      <c r="LUH307" s="205"/>
      <c r="LUI307" s="33"/>
      <c r="LUJ307" s="37"/>
      <c r="LUK307" s="37"/>
      <c r="LUL307" s="37"/>
      <c r="LUM307" s="37"/>
      <c r="LUN307" s="37"/>
      <c r="LUO307" s="33"/>
      <c r="LUP307" s="206"/>
      <c r="LUQ307" s="207"/>
      <c r="LUR307" s="204"/>
      <c r="LUS307" s="35"/>
      <c r="LUT307" s="202"/>
      <c r="LUU307" s="203"/>
      <c r="LUV307" s="36"/>
      <c r="LUW307" s="36"/>
      <c r="LUX307" s="205"/>
      <c r="LUY307" s="33"/>
      <c r="LUZ307" s="37"/>
      <c r="LVA307" s="37"/>
      <c r="LVB307" s="37"/>
      <c r="LVC307" s="37"/>
      <c r="LVD307" s="37"/>
      <c r="LVE307" s="33"/>
      <c r="LVF307" s="206"/>
      <c r="LVG307" s="207"/>
      <c r="LVH307" s="204"/>
      <c r="LVI307" s="35"/>
      <c r="LVJ307" s="202"/>
      <c r="LVK307" s="203"/>
      <c r="LVL307" s="36"/>
      <c r="LVM307" s="36"/>
      <c r="LVN307" s="205"/>
      <c r="LVO307" s="33"/>
      <c r="LVP307" s="37"/>
      <c r="LVQ307" s="37"/>
      <c r="LVR307" s="37"/>
      <c r="LVS307" s="37"/>
      <c r="LVT307" s="37"/>
      <c r="LVU307" s="33"/>
      <c r="LVV307" s="206"/>
      <c r="LVW307" s="207"/>
      <c r="LVX307" s="204"/>
      <c r="LVY307" s="35"/>
      <c r="LVZ307" s="202"/>
      <c r="LWA307" s="203"/>
      <c r="LWB307" s="36"/>
      <c r="LWC307" s="36"/>
      <c r="LWD307" s="205"/>
      <c r="LWE307" s="33"/>
      <c r="LWF307" s="37"/>
      <c r="LWG307" s="37"/>
      <c r="LWH307" s="37"/>
      <c r="LWI307" s="37"/>
      <c r="LWJ307" s="37"/>
      <c r="LWK307" s="33"/>
      <c r="LWL307" s="206"/>
      <c r="LWM307" s="207"/>
      <c r="LWN307" s="204"/>
      <c r="LWO307" s="35"/>
      <c r="LWP307" s="202"/>
      <c r="LWQ307" s="203"/>
      <c r="LWR307" s="36"/>
      <c r="LWS307" s="36"/>
      <c r="LWT307" s="205"/>
      <c r="LWU307" s="33"/>
      <c r="LWV307" s="37"/>
      <c r="LWW307" s="37"/>
      <c r="LWX307" s="37"/>
      <c r="LWY307" s="37"/>
      <c r="LWZ307" s="37"/>
      <c r="LXA307" s="33"/>
      <c r="LXB307" s="206"/>
      <c r="LXC307" s="207"/>
      <c r="LXD307" s="204"/>
      <c r="LXE307" s="35"/>
      <c r="LXF307" s="202"/>
      <c r="LXG307" s="203"/>
      <c r="LXH307" s="36"/>
      <c r="LXI307" s="36"/>
      <c r="LXJ307" s="205"/>
      <c r="LXK307" s="33"/>
      <c r="LXL307" s="37"/>
      <c r="LXM307" s="37"/>
      <c r="LXN307" s="37"/>
      <c r="LXO307" s="37"/>
      <c r="LXP307" s="37"/>
      <c r="LXQ307" s="33"/>
      <c r="LXR307" s="206"/>
      <c r="LXS307" s="207"/>
      <c r="LXT307" s="204"/>
      <c r="LXU307" s="35"/>
      <c r="LXV307" s="202"/>
      <c r="LXW307" s="203"/>
      <c r="LXX307" s="36"/>
      <c r="LXY307" s="36"/>
      <c r="LXZ307" s="205"/>
      <c r="LYA307" s="33"/>
      <c r="LYB307" s="37"/>
      <c r="LYC307" s="37"/>
      <c r="LYD307" s="37"/>
      <c r="LYE307" s="37"/>
      <c r="LYF307" s="37"/>
      <c r="LYG307" s="33"/>
      <c r="LYH307" s="206"/>
      <c r="LYI307" s="207"/>
      <c r="LYJ307" s="204"/>
      <c r="LYK307" s="35"/>
      <c r="LYL307" s="202"/>
      <c r="LYM307" s="203"/>
      <c r="LYN307" s="36"/>
      <c r="LYO307" s="36"/>
      <c r="LYP307" s="205"/>
      <c r="LYQ307" s="33"/>
      <c r="LYR307" s="37"/>
      <c r="LYS307" s="37"/>
      <c r="LYT307" s="37"/>
      <c r="LYU307" s="37"/>
      <c r="LYV307" s="37"/>
      <c r="LYW307" s="33"/>
      <c r="LYX307" s="206"/>
      <c r="LYY307" s="207"/>
      <c r="LYZ307" s="204"/>
      <c r="LZA307" s="35"/>
      <c r="LZB307" s="202"/>
      <c r="LZC307" s="203"/>
      <c r="LZD307" s="36"/>
      <c r="LZE307" s="36"/>
      <c r="LZF307" s="205"/>
      <c r="LZG307" s="33"/>
      <c r="LZH307" s="37"/>
      <c r="LZI307" s="37"/>
      <c r="LZJ307" s="37"/>
      <c r="LZK307" s="37"/>
      <c r="LZL307" s="37"/>
      <c r="LZM307" s="33"/>
      <c r="LZN307" s="206"/>
      <c r="LZO307" s="207"/>
      <c r="LZP307" s="204"/>
      <c r="LZQ307" s="35"/>
      <c r="LZR307" s="202"/>
      <c r="LZS307" s="203"/>
      <c r="LZT307" s="36"/>
      <c r="LZU307" s="36"/>
      <c r="LZV307" s="205"/>
      <c r="LZW307" s="33"/>
      <c r="LZX307" s="37"/>
      <c r="LZY307" s="37"/>
      <c r="LZZ307" s="37"/>
      <c r="MAA307" s="37"/>
      <c r="MAB307" s="37"/>
      <c r="MAC307" s="33"/>
      <c r="MAD307" s="206"/>
      <c r="MAE307" s="207"/>
      <c r="MAF307" s="204"/>
      <c r="MAG307" s="35"/>
      <c r="MAH307" s="202"/>
      <c r="MAI307" s="203"/>
      <c r="MAJ307" s="36"/>
      <c r="MAK307" s="36"/>
      <c r="MAL307" s="205"/>
      <c r="MAM307" s="33"/>
      <c r="MAN307" s="37"/>
      <c r="MAO307" s="37"/>
      <c r="MAP307" s="37"/>
      <c r="MAQ307" s="37"/>
      <c r="MAR307" s="37"/>
      <c r="MAS307" s="33"/>
      <c r="MAT307" s="206"/>
      <c r="MAU307" s="207"/>
      <c r="MAV307" s="204"/>
      <c r="MAW307" s="35"/>
      <c r="MAX307" s="202"/>
      <c r="MAY307" s="203"/>
      <c r="MAZ307" s="36"/>
      <c r="MBA307" s="36"/>
      <c r="MBB307" s="205"/>
      <c r="MBC307" s="33"/>
      <c r="MBD307" s="37"/>
      <c r="MBE307" s="37"/>
      <c r="MBF307" s="37"/>
      <c r="MBG307" s="37"/>
      <c r="MBH307" s="37"/>
      <c r="MBI307" s="33"/>
      <c r="MBJ307" s="206"/>
      <c r="MBK307" s="207"/>
      <c r="MBL307" s="204"/>
      <c r="MBM307" s="35"/>
      <c r="MBN307" s="202"/>
      <c r="MBO307" s="203"/>
      <c r="MBP307" s="36"/>
      <c r="MBQ307" s="36"/>
      <c r="MBR307" s="205"/>
      <c r="MBS307" s="33"/>
      <c r="MBT307" s="37"/>
      <c r="MBU307" s="37"/>
      <c r="MBV307" s="37"/>
      <c r="MBW307" s="37"/>
      <c r="MBX307" s="37"/>
      <c r="MBY307" s="33"/>
      <c r="MBZ307" s="206"/>
      <c r="MCA307" s="207"/>
      <c r="MCB307" s="204"/>
      <c r="MCC307" s="35"/>
      <c r="MCD307" s="202"/>
      <c r="MCE307" s="203"/>
      <c r="MCF307" s="36"/>
      <c r="MCG307" s="36"/>
      <c r="MCH307" s="205"/>
      <c r="MCI307" s="33"/>
      <c r="MCJ307" s="37"/>
      <c r="MCK307" s="37"/>
      <c r="MCL307" s="37"/>
      <c r="MCM307" s="37"/>
      <c r="MCN307" s="37"/>
      <c r="MCO307" s="33"/>
      <c r="MCP307" s="206"/>
      <c r="MCQ307" s="207"/>
      <c r="MCR307" s="204"/>
      <c r="MCS307" s="35"/>
      <c r="MCT307" s="202"/>
      <c r="MCU307" s="203"/>
      <c r="MCV307" s="36"/>
      <c r="MCW307" s="36"/>
      <c r="MCX307" s="205"/>
      <c r="MCY307" s="33"/>
      <c r="MCZ307" s="37"/>
      <c r="MDA307" s="37"/>
      <c r="MDB307" s="37"/>
      <c r="MDC307" s="37"/>
      <c r="MDD307" s="37"/>
      <c r="MDE307" s="33"/>
      <c r="MDF307" s="206"/>
      <c r="MDG307" s="207"/>
      <c r="MDH307" s="204"/>
      <c r="MDI307" s="35"/>
      <c r="MDJ307" s="202"/>
      <c r="MDK307" s="203"/>
      <c r="MDL307" s="36"/>
      <c r="MDM307" s="36"/>
      <c r="MDN307" s="205"/>
      <c r="MDO307" s="33"/>
      <c r="MDP307" s="37"/>
      <c r="MDQ307" s="37"/>
      <c r="MDR307" s="37"/>
      <c r="MDS307" s="37"/>
      <c r="MDT307" s="37"/>
      <c r="MDU307" s="33"/>
      <c r="MDV307" s="206"/>
      <c r="MDW307" s="207"/>
      <c r="MDX307" s="204"/>
      <c r="MDY307" s="35"/>
      <c r="MDZ307" s="202"/>
      <c r="MEA307" s="203"/>
      <c r="MEB307" s="36"/>
      <c r="MEC307" s="36"/>
      <c r="MED307" s="205"/>
      <c r="MEE307" s="33"/>
      <c r="MEF307" s="37"/>
      <c r="MEG307" s="37"/>
      <c r="MEH307" s="37"/>
      <c r="MEI307" s="37"/>
      <c r="MEJ307" s="37"/>
      <c r="MEK307" s="33"/>
      <c r="MEL307" s="206"/>
      <c r="MEM307" s="207"/>
      <c r="MEN307" s="204"/>
      <c r="MEO307" s="35"/>
      <c r="MEP307" s="202"/>
      <c r="MEQ307" s="203"/>
      <c r="MER307" s="36"/>
      <c r="MES307" s="36"/>
      <c r="MET307" s="205"/>
      <c r="MEU307" s="33"/>
      <c r="MEV307" s="37"/>
      <c r="MEW307" s="37"/>
      <c r="MEX307" s="37"/>
      <c r="MEY307" s="37"/>
      <c r="MEZ307" s="37"/>
      <c r="MFA307" s="33"/>
      <c r="MFB307" s="206"/>
      <c r="MFC307" s="207"/>
      <c r="MFD307" s="204"/>
      <c r="MFE307" s="35"/>
      <c r="MFF307" s="202"/>
      <c r="MFG307" s="203"/>
      <c r="MFH307" s="36"/>
      <c r="MFI307" s="36"/>
      <c r="MFJ307" s="205"/>
      <c r="MFK307" s="33"/>
      <c r="MFL307" s="37"/>
      <c r="MFM307" s="37"/>
      <c r="MFN307" s="37"/>
      <c r="MFO307" s="37"/>
      <c r="MFP307" s="37"/>
      <c r="MFQ307" s="33"/>
      <c r="MFR307" s="206"/>
      <c r="MFS307" s="207"/>
      <c r="MFT307" s="204"/>
      <c r="MFU307" s="35"/>
      <c r="MFV307" s="202"/>
      <c r="MFW307" s="203"/>
      <c r="MFX307" s="36"/>
      <c r="MFY307" s="36"/>
      <c r="MFZ307" s="205"/>
      <c r="MGA307" s="33"/>
      <c r="MGB307" s="37"/>
      <c r="MGC307" s="37"/>
      <c r="MGD307" s="37"/>
      <c r="MGE307" s="37"/>
      <c r="MGF307" s="37"/>
      <c r="MGG307" s="33"/>
      <c r="MGH307" s="206"/>
      <c r="MGI307" s="207"/>
      <c r="MGJ307" s="204"/>
      <c r="MGK307" s="35"/>
      <c r="MGL307" s="202"/>
      <c r="MGM307" s="203"/>
      <c r="MGN307" s="36"/>
      <c r="MGO307" s="36"/>
      <c r="MGP307" s="205"/>
      <c r="MGQ307" s="33"/>
      <c r="MGR307" s="37"/>
      <c r="MGS307" s="37"/>
      <c r="MGT307" s="37"/>
      <c r="MGU307" s="37"/>
      <c r="MGV307" s="37"/>
      <c r="MGW307" s="33"/>
      <c r="MGX307" s="206"/>
      <c r="MGY307" s="207"/>
      <c r="MGZ307" s="204"/>
      <c r="MHA307" s="35"/>
      <c r="MHB307" s="202"/>
      <c r="MHC307" s="203"/>
      <c r="MHD307" s="36"/>
      <c r="MHE307" s="36"/>
      <c r="MHF307" s="205"/>
      <c r="MHG307" s="33"/>
      <c r="MHH307" s="37"/>
      <c r="MHI307" s="37"/>
      <c r="MHJ307" s="37"/>
      <c r="MHK307" s="37"/>
      <c r="MHL307" s="37"/>
      <c r="MHM307" s="33"/>
      <c r="MHN307" s="206"/>
      <c r="MHO307" s="207"/>
      <c r="MHP307" s="204"/>
      <c r="MHQ307" s="35"/>
      <c r="MHR307" s="202"/>
      <c r="MHS307" s="203"/>
      <c r="MHT307" s="36"/>
      <c r="MHU307" s="36"/>
      <c r="MHV307" s="205"/>
      <c r="MHW307" s="33"/>
      <c r="MHX307" s="37"/>
      <c r="MHY307" s="37"/>
      <c r="MHZ307" s="37"/>
      <c r="MIA307" s="37"/>
      <c r="MIB307" s="37"/>
      <c r="MIC307" s="33"/>
      <c r="MID307" s="206"/>
      <c r="MIE307" s="207"/>
      <c r="MIF307" s="204"/>
      <c r="MIG307" s="35"/>
      <c r="MIH307" s="202"/>
      <c r="MII307" s="203"/>
      <c r="MIJ307" s="36"/>
      <c r="MIK307" s="36"/>
      <c r="MIL307" s="205"/>
      <c r="MIM307" s="33"/>
      <c r="MIN307" s="37"/>
      <c r="MIO307" s="37"/>
      <c r="MIP307" s="37"/>
      <c r="MIQ307" s="37"/>
      <c r="MIR307" s="37"/>
      <c r="MIS307" s="33"/>
      <c r="MIT307" s="206"/>
      <c r="MIU307" s="207"/>
      <c r="MIV307" s="204"/>
      <c r="MIW307" s="35"/>
      <c r="MIX307" s="202"/>
      <c r="MIY307" s="203"/>
      <c r="MIZ307" s="36"/>
      <c r="MJA307" s="36"/>
      <c r="MJB307" s="205"/>
      <c r="MJC307" s="33"/>
      <c r="MJD307" s="37"/>
      <c r="MJE307" s="37"/>
      <c r="MJF307" s="37"/>
      <c r="MJG307" s="37"/>
      <c r="MJH307" s="37"/>
      <c r="MJI307" s="33"/>
      <c r="MJJ307" s="206"/>
      <c r="MJK307" s="207"/>
      <c r="MJL307" s="204"/>
      <c r="MJM307" s="35"/>
      <c r="MJN307" s="202"/>
      <c r="MJO307" s="203"/>
      <c r="MJP307" s="36"/>
      <c r="MJQ307" s="36"/>
      <c r="MJR307" s="205"/>
      <c r="MJS307" s="33"/>
      <c r="MJT307" s="37"/>
      <c r="MJU307" s="37"/>
      <c r="MJV307" s="37"/>
      <c r="MJW307" s="37"/>
      <c r="MJX307" s="37"/>
      <c r="MJY307" s="33"/>
      <c r="MJZ307" s="206"/>
      <c r="MKA307" s="207"/>
      <c r="MKB307" s="204"/>
      <c r="MKC307" s="35"/>
      <c r="MKD307" s="202"/>
      <c r="MKE307" s="203"/>
      <c r="MKF307" s="36"/>
      <c r="MKG307" s="36"/>
      <c r="MKH307" s="205"/>
      <c r="MKI307" s="33"/>
      <c r="MKJ307" s="37"/>
      <c r="MKK307" s="37"/>
      <c r="MKL307" s="37"/>
      <c r="MKM307" s="37"/>
      <c r="MKN307" s="37"/>
      <c r="MKO307" s="33"/>
      <c r="MKP307" s="206"/>
      <c r="MKQ307" s="207"/>
      <c r="MKR307" s="204"/>
      <c r="MKS307" s="35"/>
      <c r="MKT307" s="202"/>
      <c r="MKU307" s="203"/>
      <c r="MKV307" s="36"/>
      <c r="MKW307" s="36"/>
      <c r="MKX307" s="205"/>
      <c r="MKY307" s="33"/>
      <c r="MKZ307" s="37"/>
      <c r="MLA307" s="37"/>
      <c r="MLB307" s="37"/>
      <c r="MLC307" s="37"/>
      <c r="MLD307" s="37"/>
      <c r="MLE307" s="33"/>
      <c r="MLF307" s="206"/>
      <c r="MLG307" s="207"/>
      <c r="MLH307" s="204"/>
      <c r="MLI307" s="35"/>
      <c r="MLJ307" s="202"/>
      <c r="MLK307" s="203"/>
      <c r="MLL307" s="36"/>
      <c r="MLM307" s="36"/>
      <c r="MLN307" s="205"/>
      <c r="MLO307" s="33"/>
      <c r="MLP307" s="37"/>
      <c r="MLQ307" s="37"/>
      <c r="MLR307" s="37"/>
      <c r="MLS307" s="37"/>
      <c r="MLT307" s="37"/>
      <c r="MLU307" s="33"/>
      <c r="MLV307" s="206"/>
      <c r="MLW307" s="207"/>
      <c r="MLX307" s="204"/>
      <c r="MLY307" s="35"/>
      <c r="MLZ307" s="202"/>
      <c r="MMA307" s="203"/>
      <c r="MMB307" s="36"/>
      <c r="MMC307" s="36"/>
      <c r="MMD307" s="205"/>
      <c r="MME307" s="33"/>
      <c r="MMF307" s="37"/>
      <c r="MMG307" s="37"/>
      <c r="MMH307" s="37"/>
      <c r="MMI307" s="37"/>
      <c r="MMJ307" s="37"/>
      <c r="MMK307" s="33"/>
      <c r="MML307" s="206"/>
      <c r="MMM307" s="207"/>
      <c r="MMN307" s="204"/>
      <c r="MMO307" s="35"/>
      <c r="MMP307" s="202"/>
      <c r="MMQ307" s="203"/>
      <c r="MMR307" s="36"/>
      <c r="MMS307" s="36"/>
      <c r="MMT307" s="205"/>
      <c r="MMU307" s="33"/>
      <c r="MMV307" s="37"/>
      <c r="MMW307" s="37"/>
      <c r="MMX307" s="37"/>
      <c r="MMY307" s="37"/>
      <c r="MMZ307" s="37"/>
      <c r="MNA307" s="33"/>
      <c r="MNB307" s="206"/>
      <c r="MNC307" s="207"/>
      <c r="MND307" s="204"/>
      <c r="MNE307" s="35"/>
      <c r="MNF307" s="202"/>
      <c r="MNG307" s="203"/>
      <c r="MNH307" s="36"/>
      <c r="MNI307" s="36"/>
      <c r="MNJ307" s="205"/>
      <c r="MNK307" s="33"/>
      <c r="MNL307" s="37"/>
      <c r="MNM307" s="37"/>
      <c r="MNN307" s="37"/>
      <c r="MNO307" s="37"/>
      <c r="MNP307" s="37"/>
      <c r="MNQ307" s="33"/>
      <c r="MNR307" s="206"/>
      <c r="MNS307" s="207"/>
      <c r="MNT307" s="204"/>
      <c r="MNU307" s="35"/>
      <c r="MNV307" s="202"/>
      <c r="MNW307" s="203"/>
      <c r="MNX307" s="36"/>
      <c r="MNY307" s="36"/>
      <c r="MNZ307" s="205"/>
      <c r="MOA307" s="33"/>
      <c r="MOB307" s="37"/>
      <c r="MOC307" s="37"/>
      <c r="MOD307" s="37"/>
      <c r="MOE307" s="37"/>
      <c r="MOF307" s="37"/>
      <c r="MOG307" s="33"/>
      <c r="MOH307" s="206"/>
      <c r="MOI307" s="207"/>
      <c r="MOJ307" s="204"/>
      <c r="MOK307" s="35"/>
      <c r="MOL307" s="202"/>
      <c r="MOM307" s="203"/>
      <c r="MON307" s="36"/>
      <c r="MOO307" s="36"/>
      <c r="MOP307" s="205"/>
      <c r="MOQ307" s="33"/>
      <c r="MOR307" s="37"/>
      <c r="MOS307" s="37"/>
      <c r="MOT307" s="37"/>
      <c r="MOU307" s="37"/>
      <c r="MOV307" s="37"/>
      <c r="MOW307" s="33"/>
      <c r="MOX307" s="206"/>
      <c r="MOY307" s="207"/>
      <c r="MOZ307" s="204"/>
      <c r="MPA307" s="35"/>
      <c r="MPB307" s="202"/>
      <c r="MPC307" s="203"/>
      <c r="MPD307" s="36"/>
      <c r="MPE307" s="36"/>
      <c r="MPF307" s="205"/>
      <c r="MPG307" s="33"/>
      <c r="MPH307" s="37"/>
      <c r="MPI307" s="37"/>
      <c r="MPJ307" s="37"/>
      <c r="MPK307" s="37"/>
      <c r="MPL307" s="37"/>
      <c r="MPM307" s="33"/>
      <c r="MPN307" s="206"/>
      <c r="MPO307" s="207"/>
      <c r="MPP307" s="204"/>
      <c r="MPQ307" s="35"/>
      <c r="MPR307" s="202"/>
      <c r="MPS307" s="203"/>
      <c r="MPT307" s="36"/>
      <c r="MPU307" s="36"/>
      <c r="MPV307" s="205"/>
      <c r="MPW307" s="33"/>
      <c r="MPX307" s="37"/>
      <c r="MPY307" s="37"/>
      <c r="MPZ307" s="37"/>
      <c r="MQA307" s="37"/>
      <c r="MQB307" s="37"/>
      <c r="MQC307" s="33"/>
      <c r="MQD307" s="206"/>
      <c r="MQE307" s="207"/>
      <c r="MQF307" s="204"/>
      <c r="MQG307" s="35"/>
      <c r="MQH307" s="202"/>
      <c r="MQI307" s="203"/>
      <c r="MQJ307" s="36"/>
      <c r="MQK307" s="36"/>
      <c r="MQL307" s="205"/>
      <c r="MQM307" s="33"/>
      <c r="MQN307" s="37"/>
      <c r="MQO307" s="37"/>
      <c r="MQP307" s="37"/>
      <c r="MQQ307" s="37"/>
      <c r="MQR307" s="37"/>
      <c r="MQS307" s="33"/>
      <c r="MQT307" s="206"/>
      <c r="MQU307" s="207"/>
      <c r="MQV307" s="204"/>
      <c r="MQW307" s="35"/>
      <c r="MQX307" s="202"/>
      <c r="MQY307" s="203"/>
      <c r="MQZ307" s="36"/>
      <c r="MRA307" s="36"/>
      <c r="MRB307" s="205"/>
      <c r="MRC307" s="33"/>
      <c r="MRD307" s="37"/>
      <c r="MRE307" s="37"/>
      <c r="MRF307" s="37"/>
      <c r="MRG307" s="37"/>
      <c r="MRH307" s="37"/>
      <c r="MRI307" s="33"/>
      <c r="MRJ307" s="206"/>
      <c r="MRK307" s="207"/>
      <c r="MRL307" s="204"/>
      <c r="MRM307" s="35"/>
      <c r="MRN307" s="202"/>
      <c r="MRO307" s="203"/>
      <c r="MRP307" s="36"/>
      <c r="MRQ307" s="36"/>
      <c r="MRR307" s="205"/>
      <c r="MRS307" s="33"/>
      <c r="MRT307" s="37"/>
      <c r="MRU307" s="37"/>
      <c r="MRV307" s="37"/>
      <c r="MRW307" s="37"/>
      <c r="MRX307" s="37"/>
      <c r="MRY307" s="33"/>
      <c r="MRZ307" s="206"/>
      <c r="MSA307" s="207"/>
      <c r="MSB307" s="204"/>
      <c r="MSC307" s="35"/>
      <c r="MSD307" s="202"/>
      <c r="MSE307" s="203"/>
      <c r="MSF307" s="36"/>
      <c r="MSG307" s="36"/>
      <c r="MSH307" s="205"/>
      <c r="MSI307" s="33"/>
      <c r="MSJ307" s="37"/>
      <c r="MSK307" s="37"/>
      <c r="MSL307" s="37"/>
      <c r="MSM307" s="37"/>
      <c r="MSN307" s="37"/>
      <c r="MSO307" s="33"/>
      <c r="MSP307" s="206"/>
      <c r="MSQ307" s="207"/>
      <c r="MSR307" s="204"/>
      <c r="MSS307" s="35"/>
      <c r="MST307" s="202"/>
      <c r="MSU307" s="203"/>
      <c r="MSV307" s="36"/>
      <c r="MSW307" s="36"/>
      <c r="MSX307" s="205"/>
      <c r="MSY307" s="33"/>
      <c r="MSZ307" s="37"/>
      <c r="MTA307" s="37"/>
      <c r="MTB307" s="37"/>
      <c r="MTC307" s="37"/>
      <c r="MTD307" s="37"/>
      <c r="MTE307" s="33"/>
      <c r="MTF307" s="206"/>
      <c r="MTG307" s="207"/>
      <c r="MTH307" s="204"/>
      <c r="MTI307" s="35"/>
      <c r="MTJ307" s="202"/>
      <c r="MTK307" s="203"/>
      <c r="MTL307" s="36"/>
      <c r="MTM307" s="36"/>
      <c r="MTN307" s="205"/>
      <c r="MTO307" s="33"/>
      <c r="MTP307" s="37"/>
      <c r="MTQ307" s="37"/>
      <c r="MTR307" s="37"/>
      <c r="MTS307" s="37"/>
      <c r="MTT307" s="37"/>
      <c r="MTU307" s="33"/>
      <c r="MTV307" s="206"/>
      <c r="MTW307" s="207"/>
      <c r="MTX307" s="204"/>
      <c r="MTY307" s="35"/>
      <c r="MTZ307" s="202"/>
      <c r="MUA307" s="203"/>
      <c r="MUB307" s="36"/>
      <c r="MUC307" s="36"/>
      <c r="MUD307" s="205"/>
      <c r="MUE307" s="33"/>
      <c r="MUF307" s="37"/>
      <c r="MUG307" s="37"/>
      <c r="MUH307" s="37"/>
      <c r="MUI307" s="37"/>
      <c r="MUJ307" s="37"/>
      <c r="MUK307" s="33"/>
      <c r="MUL307" s="206"/>
      <c r="MUM307" s="207"/>
      <c r="MUN307" s="204"/>
      <c r="MUO307" s="35"/>
      <c r="MUP307" s="202"/>
      <c r="MUQ307" s="203"/>
      <c r="MUR307" s="36"/>
      <c r="MUS307" s="36"/>
      <c r="MUT307" s="205"/>
      <c r="MUU307" s="33"/>
      <c r="MUV307" s="37"/>
      <c r="MUW307" s="37"/>
      <c r="MUX307" s="37"/>
      <c r="MUY307" s="37"/>
      <c r="MUZ307" s="37"/>
      <c r="MVA307" s="33"/>
      <c r="MVB307" s="206"/>
      <c r="MVC307" s="207"/>
      <c r="MVD307" s="204"/>
      <c r="MVE307" s="35"/>
      <c r="MVF307" s="202"/>
      <c r="MVG307" s="203"/>
      <c r="MVH307" s="36"/>
      <c r="MVI307" s="36"/>
      <c r="MVJ307" s="205"/>
      <c r="MVK307" s="33"/>
      <c r="MVL307" s="37"/>
      <c r="MVM307" s="37"/>
      <c r="MVN307" s="37"/>
      <c r="MVO307" s="37"/>
      <c r="MVP307" s="37"/>
      <c r="MVQ307" s="33"/>
      <c r="MVR307" s="206"/>
      <c r="MVS307" s="207"/>
      <c r="MVT307" s="204"/>
      <c r="MVU307" s="35"/>
      <c r="MVV307" s="202"/>
      <c r="MVW307" s="203"/>
      <c r="MVX307" s="36"/>
      <c r="MVY307" s="36"/>
      <c r="MVZ307" s="205"/>
      <c r="MWA307" s="33"/>
      <c r="MWB307" s="37"/>
      <c r="MWC307" s="37"/>
      <c r="MWD307" s="37"/>
      <c r="MWE307" s="37"/>
      <c r="MWF307" s="37"/>
      <c r="MWG307" s="33"/>
      <c r="MWH307" s="206"/>
      <c r="MWI307" s="207"/>
      <c r="MWJ307" s="204"/>
      <c r="MWK307" s="35"/>
      <c r="MWL307" s="202"/>
      <c r="MWM307" s="203"/>
      <c r="MWN307" s="36"/>
      <c r="MWO307" s="36"/>
      <c r="MWP307" s="205"/>
      <c r="MWQ307" s="33"/>
      <c r="MWR307" s="37"/>
      <c r="MWS307" s="37"/>
      <c r="MWT307" s="37"/>
      <c r="MWU307" s="37"/>
      <c r="MWV307" s="37"/>
      <c r="MWW307" s="33"/>
      <c r="MWX307" s="206"/>
      <c r="MWY307" s="207"/>
      <c r="MWZ307" s="204"/>
      <c r="MXA307" s="35"/>
      <c r="MXB307" s="202"/>
      <c r="MXC307" s="203"/>
      <c r="MXD307" s="36"/>
      <c r="MXE307" s="36"/>
      <c r="MXF307" s="205"/>
      <c r="MXG307" s="33"/>
      <c r="MXH307" s="37"/>
      <c r="MXI307" s="37"/>
      <c r="MXJ307" s="37"/>
      <c r="MXK307" s="37"/>
      <c r="MXL307" s="37"/>
      <c r="MXM307" s="33"/>
      <c r="MXN307" s="206"/>
      <c r="MXO307" s="207"/>
      <c r="MXP307" s="204"/>
      <c r="MXQ307" s="35"/>
      <c r="MXR307" s="202"/>
      <c r="MXS307" s="203"/>
      <c r="MXT307" s="36"/>
      <c r="MXU307" s="36"/>
      <c r="MXV307" s="205"/>
      <c r="MXW307" s="33"/>
      <c r="MXX307" s="37"/>
      <c r="MXY307" s="37"/>
      <c r="MXZ307" s="37"/>
      <c r="MYA307" s="37"/>
      <c r="MYB307" s="37"/>
      <c r="MYC307" s="33"/>
      <c r="MYD307" s="206"/>
      <c r="MYE307" s="207"/>
      <c r="MYF307" s="204"/>
      <c r="MYG307" s="35"/>
      <c r="MYH307" s="202"/>
      <c r="MYI307" s="203"/>
      <c r="MYJ307" s="36"/>
      <c r="MYK307" s="36"/>
      <c r="MYL307" s="205"/>
      <c r="MYM307" s="33"/>
      <c r="MYN307" s="37"/>
      <c r="MYO307" s="37"/>
      <c r="MYP307" s="37"/>
      <c r="MYQ307" s="37"/>
      <c r="MYR307" s="37"/>
      <c r="MYS307" s="33"/>
      <c r="MYT307" s="206"/>
      <c r="MYU307" s="207"/>
      <c r="MYV307" s="204"/>
      <c r="MYW307" s="35"/>
      <c r="MYX307" s="202"/>
      <c r="MYY307" s="203"/>
      <c r="MYZ307" s="36"/>
      <c r="MZA307" s="36"/>
      <c r="MZB307" s="205"/>
      <c r="MZC307" s="33"/>
      <c r="MZD307" s="37"/>
      <c r="MZE307" s="37"/>
      <c r="MZF307" s="37"/>
      <c r="MZG307" s="37"/>
      <c r="MZH307" s="37"/>
      <c r="MZI307" s="33"/>
      <c r="MZJ307" s="206"/>
      <c r="MZK307" s="207"/>
      <c r="MZL307" s="204"/>
      <c r="MZM307" s="35"/>
      <c r="MZN307" s="202"/>
      <c r="MZO307" s="203"/>
      <c r="MZP307" s="36"/>
      <c r="MZQ307" s="36"/>
      <c r="MZR307" s="205"/>
      <c r="MZS307" s="33"/>
      <c r="MZT307" s="37"/>
      <c r="MZU307" s="37"/>
      <c r="MZV307" s="37"/>
      <c r="MZW307" s="37"/>
      <c r="MZX307" s="37"/>
      <c r="MZY307" s="33"/>
      <c r="MZZ307" s="206"/>
      <c r="NAA307" s="207"/>
      <c r="NAB307" s="204"/>
      <c r="NAC307" s="35"/>
      <c r="NAD307" s="202"/>
      <c r="NAE307" s="203"/>
      <c r="NAF307" s="36"/>
      <c r="NAG307" s="36"/>
      <c r="NAH307" s="205"/>
      <c r="NAI307" s="33"/>
      <c r="NAJ307" s="37"/>
      <c r="NAK307" s="37"/>
      <c r="NAL307" s="37"/>
      <c r="NAM307" s="37"/>
      <c r="NAN307" s="37"/>
      <c r="NAO307" s="33"/>
      <c r="NAP307" s="206"/>
      <c r="NAQ307" s="207"/>
      <c r="NAR307" s="204"/>
      <c r="NAS307" s="35"/>
      <c r="NAT307" s="202"/>
      <c r="NAU307" s="203"/>
      <c r="NAV307" s="36"/>
      <c r="NAW307" s="36"/>
      <c r="NAX307" s="205"/>
      <c r="NAY307" s="33"/>
      <c r="NAZ307" s="37"/>
      <c r="NBA307" s="37"/>
      <c r="NBB307" s="37"/>
      <c r="NBC307" s="37"/>
      <c r="NBD307" s="37"/>
      <c r="NBE307" s="33"/>
      <c r="NBF307" s="206"/>
      <c r="NBG307" s="207"/>
      <c r="NBH307" s="204"/>
      <c r="NBI307" s="35"/>
      <c r="NBJ307" s="202"/>
      <c r="NBK307" s="203"/>
      <c r="NBL307" s="36"/>
      <c r="NBM307" s="36"/>
      <c r="NBN307" s="205"/>
      <c r="NBO307" s="33"/>
      <c r="NBP307" s="37"/>
      <c r="NBQ307" s="37"/>
      <c r="NBR307" s="37"/>
      <c r="NBS307" s="37"/>
      <c r="NBT307" s="37"/>
      <c r="NBU307" s="33"/>
      <c r="NBV307" s="206"/>
      <c r="NBW307" s="207"/>
      <c r="NBX307" s="204"/>
      <c r="NBY307" s="35"/>
      <c r="NBZ307" s="202"/>
      <c r="NCA307" s="203"/>
      <c r="NCB307" s="36"/>
      <c r="NCC307" s="36"/>
      <c r="NCD307" s="205"/>
      <c r="NCE307" s="33"/>
      <c r="NCF307" s="37"/>
      <c r="NCG307" s="37"/>
      <c r="NCH307" s="37"/>
      <c r="NCI307" s="37"/>
      <c r="NCJ307" s="37"/>
      <c r="NCK307" s="33"/>
      <c r="NCL307" s="206"/>
      <c r="NCM307" s="207"/>
      <c r="NCN307" s="204"/>
      <c r="NCO307" s="35"/>
      <c r="NCP307" s="202"/>
      <c r="NCQ307" s="203"/>
      <c r="NCR307" s="36"/>
      <c r="NCS307" s="36"/>
      <c r="NCT307" s="205"/>
      <c r="NCU307" s="33"/>
      <c r="NCV307" s="37"/>
      <c r="NCW307" s="37"/>
      <c r="NCX307" s="37"/>
      <c r="NCY307" s="37"/>
      <c r="NCZ307" s="37"/>
      <c r="NDA307" s="33"/>
      <c r="NDB307" s="206"/>
      <c r="NDC307" s="207"/>
      <c r="NDD307" s="204"/>
      <c r="NDE307" s="35"/>
      <c r="NDF307" s="202"/>
      <c r="NDG307" s="203"/>
      <c r="NDH307" s="36"/>
      <c r="NDI307" s="36"/>
      <c r="NDJ307" s="205"/>
      <c r="NDK307" s="33"/>
      <c r="NDL307" s="37"/>
      <c r="NDM307" s="37"/>
      <c r="NDN307" s="37"/>
      <c r="NDO307" s="37"/>
      <c r="NDP307" s="37"/>
      <c r="NDQ307" s="33"/>
      <c r="NDR307" s="206"/>
      <c r="NDS307" s="207"/>
      <c r="NDT307" s="204"/>
      <c r="NDU307" s="35"/>
      <c r="NDV307" s="202"/>
      <c r="NDW307" s="203"/>
      <c r="NDX307" s="36"/>
      <c r="NDY307" s="36"/>
      <c r="NDZ307" s="205"/>
      <c r="NEA307" s="33"/>
      <c r="NEB307" s="37"/>
      <c r="NEC307" s="37"/>
      <c r="NED307" s="37"/>
      <c r="NEE307" s="37"/>
      <c r="NEF307" s="37"/>
      <c r="NEG307" s="33"/>
      <c r="NEH307" s="206"/>
      <c r="NEI307" s="207"/>
      <c r="NEJ307" s="204"/>
      <c r="NEK307" s="35"/>
      <c r="NEL307" s="202"/>
      <c r="NEM307" s="203"/>
      <c r="NEN307" s="36"/>
      <c r="NEO307" s="36"/>
      <c r="NEP307" s="205"/>
      <c r="NEQ307" s="33"/>
      <c r="NER307" s="37"/>
      <c r="NES307" s="37"/>
      <c r="NET307" s="37"/>
      <c r="NEU307" s="37"/>
      <c r="NEV307" s="37"/>
      <c r="NEW307" s="33"/>
      <c r="NEX307" s="206"/>
      <c r="NEY307" s="207"/>
      <c r="NEZ307" s="204"/>
      <c r="NFA307" s="35"/>
      <c r="NFB307" s="202"/>
      <c r="NFC307" s="203"/>
      <c r="NFD307" s="36"/>
      <c r="NFE307" s="36"/>
      <c r="NFF307" s="205"/>
      <c r="NFG307" s="33"/>
      <c r="NFH307" s="37"/>
      <c r="NFI307" s="37"/>
      <c r="NFJ307" s="37"/>
      <c r="NFK307" s="37"/>
      <c r="NFL307" s="37"/>
      <c r="NFM307" s="33"/>
      <c r="NFN307" s="206"/>
      <c r="NFO307" s="207"/>
      <c r="NFP307" s="204"/>
      <c r="NFQ307" s="35"/>
      <c r="NFR307" s="202"/>
      <c r="NFS307" s="203"/>
      <c r="NFT307" s="36"/>
      <c r="NFU307" s="36"/>
      <c r="NFV307" s="205"/>
      <c r="NFW307" s="33"/>
      <c r="NFX307" s="37"/>
      <c r="NFY307" s="37"/>
      <c r="NFZ307" s="37"/>
      <c r="NGA307" s="37"/>
      <c r="NGB307" s="37"/>
      <c r="NGC307" s="33"/>
      <c r="NGD307" s="206"/>
      <c r="NGE307" s="207"/>
      <c r="NGF307" s="204"/>
      <c r="NGG307" s="35"/>
      <c r="NGH307" s="202"/>
      <c r="NGI307" s="203"/>
      <c r="NGJ307" s="36"/>
      <c r="NGK307" s="36"/>
      <c r="NGL307" s="205"/>
      <c r="NGM307" s="33"/>
      <c r="NGN307" s="37"/>
      <c r="NGO307" s="37"/>
      <c r="NGP307" s="37"/>
      <c r="NGQ307" s="37"/>
      <c r="NGR307" s="37"/>
      <c r="NGS307" s="33"/>
      <c r="NGT307" s="206"/>
      <c r="NGU307" s="207"/>
      <c r="NGV307" s="204"/>
      <c r="NGW307" s="35"/>
      <c r="NGX307" s="202"/>
      <c r="NGY307" s="203"/>
      <c r="NGZ307" s="36"/>
      <c r="NHA307" s="36"/>
      <c r="NHB307" s="205"/>
      <c r="NHC307" s="33"/>
      <c r="NHD307" s="37"/>
      <c r="NHE307" s="37"/>
      <c r="NHF307" s="37"/>
      <c r="NHG307" s="37"/>
      <c r="NHH307" s="37"/>
      <c r="NHI307" s="33"/>
      <c r="NHJ307" s="206"/>
      <c r="NHK307" s="207"/>
      <c r="NHL307" s="204"/>
      <c r="NHM307" s="35"/>
      <c r="NHN307" s="202"/>
      <c r="NHO307" s="203"/>
      <c r="NHP307" s="36"/>
      <c r="NHQ307" s="36"/>
      <c r="NHR307" s="205"/>
      <c r="NHS307" s="33"/>
      <c r="NHT307" s="37"/>
      <c r="NHU307" s="37"/>
      <c r="NHV307" s="37"/>
      <c r="NHW307" s="37"/>
      <c r="NHX307" s="37"/>
      <c r="NHY307" s="33"/>
      <c r="NHZ307" s="206"/>
      <c r="NIA307" s="207"/>
      <c r="NIB307" s="204"/>
      <c r="NIC307" s="35"/>
      <c r="NID307" s="202"/>
      <c r="NIE307" s="203"/>
      <c r="NIF307" s="36"/>
      <c r="NIG307" s="36"/>
      <c r="NIH307" s="205"/>
      <c r="NII307" s="33"/>
      <c r="NIJ307" s="37"/>
      <c r="NIK307" s="37"/>
      <c r="NIL307" s="37"/>
      <c r="NIM307" s="37"/>
      <c r="NIN307" s="37"/>
      <c r="NIO307" s="33"/>
      <c r="NIP307" s="206"/>
      <c r="NIQ307" s="207"/>
      <c r="NIR307" s="204"/>
      <c r="NIS307" s="35"/>
      <c r="NIT307" s="202"/>
      <c r="NIU307" s="203"/>
      <c r="NIV307" s="36"/>
      <c r="NIW307" s="36"/>
      <c r="NIX307" s="205"/>
      <c r="NIY307" s="33"/>
      <c r="NIZ307" s="37"/>
      <c r="NJA307" s="37"/>
      <c r="NJB307" s="37"/>
      <c r="NJC307" s="37"/>
      <c r="NJD307" s="37"/>
      <c r="NJE307" s="33"/>
      <c r="NJF307" s="206"/>
      <c r="NJG307" s="207"/>
      <c r="NJH307" s="204"/>
      <c r="NJI307" s="35"/>
      <c r="NJJ307" s="202"/>
      <c r="NJK307" s="203"/>
      <c r="NJL307" s="36"/>
      <c r="NJM307" s="36"/>
      <c r="NJN307" s="205"/>
      <c r="NJO307" s="33"/>
      <c r="NJP307" s="37"/>
      <c r="NJQ307" s="37"/>
      <c r="NJR307" s="37"/>
      <c r="NJS307" s="37"/>
      <c r="NJT307" s="37"/>
      <c r="NJU307" s="33"/>
      <c r="NJV307" s="206"/>
      <c r="NJW307" s="207"/>
      <c r="NJX307" s="204"/>
      <c r="NJY307" s="35"/>
      <c r="NJZ307" s="202"/>
      <c r="NKA307" s="203"/>
      <c r="NKB307" s="36"/>
      <c r="NKC307" s="36"/>
      <c r="NKD307" s="205"/>
      <c r="NKE307" s="33"/>
      <c r="NKF307" s="37"/>
      <c r="NKG307" s="37"/>
      <c r="NKH307" s="37"/>
      <c r="NKI307" s="37"/>
      <c r="NKJ307" s="37"/>
      <c r="NKK307" s="33"/>
      <c r="NKL307" s="206"/>
      <c r="NKM307" s="207"/>
      <c r="NKN307" s="204"/>
      <c r="NKO307" s="35"/>
      <c r="NKP307" s="202"/>
      <c r="NKQ307" s="203"/>
      <c r="NKR307" s="36"/>
      <c r="NKS307" s="36"/>
      <c r="NKT307" s="205"/>
      <c r="NKU307" s="33"/>
      <c r="NKV307" s="37"/>
      <c r="NKW307" s="37"/>
      <c r="NKX307" s="37"/>
      <c r="NKY307" s="37"/>
      <c r="NKZ307" s="37"/>
      <c r="NLA307" s="33"/>
      <c r="NLB307" s="206"/>
      <c r="NLC307" s="207"/>
      <c r="NLD307" s="204"/>
      <c r="NLE307" s="35"/>
      <c r="NLF307" s="202"/>
      <c r="NLG307" s="203"/>
      <c r="NLH307" s="36"/>
      <c r="NLI307" s="36"/>
      <c r="NLJ307" s="205"/>
      <c r="NLK307" s="33"/>
      <c r="NLL307" s="37"/>
      <c r="NLM307" s="37"/>
      <c r="NLN307" s="37"/>
      <c r="NLO307" s="37"/>
      <c r="NLP307" s="37"/>
      <c r="NLQ307" s="33"/>
      <c r="NLR307" s="206"/>
      <c r="NLS307" s="207"/>
      <c r="NLT307" s="204"/>
      <c r="NLU307" s="35"/>
      <c r="NLV307" s="202"/>
      <c r="NLW307" s="203"/>
      <c r="NLX307" s="36"/>
      <c r="NLY307" s="36"/>
      <c r="NLZ307" s="205"/>
      <c r="NMA307" s="33"/>
      <c r="NMB307" s="37"/>
      <c r="NMC307" s="37"/>
      <c r="NMD307" s="37"/>
      <c r="NME307" s="37"/>
      <c r="NMF307" s="37"/>
      <c r="NMG307" s="33"/>
      <c r="NMH307" s="206"/>
      <c r="NMI307" s="207"/>
      <c r="NMJ307" s="204"/>
      <c r="NMK307" s="35"/>
      <c r="NML307" s="202"/>
      <c r="NMM307" s="203"/>
      <c r="NMN307" s="36"/>
      <c r="NMO307" s="36"/>
      <c r="NMP307" s="205"/>
      <c r="NMQ307" s="33"/>
      <c r="NMR307" s="37"/>
      <c r="NMS307" s="37"/>
      <c r="NMT307" s="37"/>
      <c r="NMU307" s="37"/>
      <c r="NMV307" s="37"/>
      <c r="NMW307" s="33"/>
      <c r="NMX307" s="206"/>
      <c r="NMY307" s="207"/>
      <c r="NMZ307" s="204"/>
      <c r="NNA307" s="35"/>
      <c r="NNB307" s="202"/>
      <c r="NNC307" s="203"/>
      <c r="NND307" s="36"/>
      <c r="NNE307" s="36"/>
      <c r="NNF307" s="205"/>
      <c r="NNG307" s="33"/>
      <c r="NNH307" s="37"/>
      <c r="NNI307" s="37"/>
      <c r="NNJ307" s="37"/>
      <c r="NNK307" s="37"/>
      <c r="NNL307" s="37"/>
      <c r="NNM307" s="33"/>
      <c r="NNN307" s="206"/>
      <c r="NNO307" s="207"/>
      <c r="NNP307" s="204"/>
      <c r="NNQ307" s="35"/>
      <c r="NNR307" s="202"/>
      <c r="NNS307" s="203"/>
      <c r="NNT307" s="36"/>
      <c r="NNU307" s="36"/>
      <c r="NNV307" s="205"/>
      <c r="NNW307" s="33"/>
      <c r="NNX307" s="37"/>
      <c r="NNY307" s="37"/>
      <c r="NNZ307" s="37"/>
      <c r="NOA307" s="37"/>
      <c r="NOB307" s="37"/>
      <c r="NOC307" s="33"/>
      <c r="NOD307" s="206"/>
      <c r="NOE307" s="207"/>
      <c r="NOF307" s="204"/>
      <c r="NOG307" s="35"/>
      <c r="NOH307" s="202"/>
      <c r="NOI307" s="203"/>
      <c r="NOJ307" s="36"/>
      <c r="NOK307" s="36"/>
      <c r="NOL307" s="205"/>
      <c r="NOM307" s="33"/>
      <c r="NON307" s="37"/>
      <c r="NOO307" s="37"/>
      <c r="NOP307" s="37"/>
      <c r="NOQ307" s="37"/>
      <c r="NOR307" s="37"/>
      <c r="NOS307" s="33"/>
      <c r="NOT307" s="206"/>
      <c r="NOU307" s="207"/>
      <c r="NOV307" s="204"/>
      <c r="NOW307" s="35"/>
      <c r="NOX307" s="202"/>
      <c r="NOY307" s="203"/>
      <c r="NOZ307" s="36"/>
      <c r="NPA307" s="36"/>
      <c r="NPB307" s="205"/>
      <c r="NPC307" s="33"/>
      <c r="NPD307" s="37"/>
      <c r="NPE307" s="37"/>
      <c r="NPF307" s="37"/>
      <c r="NPG307" s="37"/>
      <c r="NPH307" s="37"/>
      <c r="NPI307" s="33"/>
      <c r="NPJ307" s="206"/>
      <c r="NPK307" s="207"/>
      <c r="NPL307" s="204"/>
      <c r="NPM307" s="35"/>
      <c r="NPN307" s="202"/>
      <c r="NPO307" s="203"/>
      <c r="NPP307" s="36"/>
      <c r="NPQ307" s="36"/>
      <c r="NPR307" s="205"/>
      <c r="NPS307" s="33"/>
      <c r="NPT307" s="37"/>
      <c r="NPU307" s="37"/>
      <c r="NPV307" s="37"/>
      <c r="NPW307" s="37"/>
      <c r="NPX307" s="37"/>
      <c r="NPY307" s="33"/>
      <c r="NPZ307" s="206"/>
      <c r="NQA307" s="207"/>
      <c r="NQB307" s="204"/>
      <c r="NQC307" s="35"/>
      <c r="NQD307" s="202"/>
      <c r="NQE307" s="203"/>
      <c r="NQF307" s="36"/>
      <c r="NQG307" s="36"/>
      <c r="NQH307" s="205"/>
      <c r="NQI307" s="33"/>
      <c r="NQJ307" s="37"/>
      <c r="NQK307" s="37"/>
      <c r="NQL307" s="37"/>
      <c r="NQM307" s="37"/>
      <c r="NQN307" s="37"/>
      <c r="NQO307" s="33"/>
      <c r="NQP307" s="206"/>
      <c r="NQQ307" s="207"/>
      <c r="NQR307" s="204"/>
      <c r="NQS307" s="35"/>
      <c r="NQT307" s="202"/>
      <c r="NQU307" s="203"/>
      <c r="NQV307" s="36"/>
      <c r="NQW307" s="36"/>
      <c r="NQX307" s="205"/>
      <c r="NQY307" s="33"/>
      <c r="NQZ307" s="37"/>
      <c r="NRA307" s="37"/>
      <c r="NRB307" s="37"/>
      <c r="NRC307" s="37"/>
      <c r="NRD307" s="37"/>
      <c r="NRE307" s="33"/>
      <c r="NRF307" s="206"/>
      <c r="NRG307" s="207"/>
      <c r="NRH307" s="204"/>
      <c r="NRI307" s="35"/>
      <c r="NRJ307" s="202"/>
      <c r="NRK307" s="203"/>
      <c r="NRL307" s="36"/>
      <c r="NRM307" s="36"/>
      <c r="NRN307" s="205"/>
      <c r="NRO307" s="33"/>
      <c r="NRP307" s="37"/>
      <c r="NRQ307" s="37"/>
      <c r="NRR307" s="37"/>
      <c r="NRS307" s="37"/>
      <c r="NRT307" s="37"/>
      <c r="NRU307" s="33"/>
      <c r="NRV307" s="206"/>
      <c r="NRW307" s="207"/>
      <c r="NRX307" s="204"/>
      <c r="NRY307" s="35"/>
      <c r="NRZ307" s="202"/>
      <c r="NSA307" s="203"/>
      <c r="NSB307" s="36"/>
      <c r="NSC307" s="36"/>
      <c r="NSD307" s="205"/>
      <c r="NSE307" s="33"/>
      <c r="NSF307" s="37"/>
      <c r="NSG307" s="37"/>
      <c r="NSH307" s="37"/>
      <c r="NSI307" s="37"/>
      <c r="NSJ307" s="37"/>
      <c r="NSK307" s="33"/>
      <c r="NSL307" s="206"/>
      <c r="NSM307" s="207"/>
      <c r="NSN307" s="204"/>
      <c r="NSO307" s="35"/>
      <c r="NSP307" s="202"/>
      <c r="NSQ307" s="203"/>
      <c r="NSR307" s="36"/>
      <c r="NSS307" s="36"/>
      <c r="NST307" s="205"/>
      <c r="NSU307" s="33"/>
      <c r="NSV307" s="37"/>
      <c r="NSW307" s="37"/>
      <c r="NSX307" s="37"/>
      <c r="NSY307" s="37"/>
      <c r="NSZ307" s="37"/>
      <c r="NTA307" s="33"/>
      <c r="NTB307" s="206"/>
      <c r="NTC307" s="207"/>
      <c r="NTD307" s="204"/>
      <c r="NTE307" s="35"/>
      <c r="NTF307" s="202"/>
      <c r="NTG307" s="203"/>
      <c r="NTH307" s="36"/>
      <c r="NTI307" s="36"/>
      <c r="NTJ307" s="205"/>
      <c r="NTK307" s="33"/>
      <c r="NTL307" s="37"/>
      <c r="NTM307" s="37"/>
      <c r="NTN307" s="37"/>
      <c r="NTO307" s="37"/>
      <c r="NTP307" s="37"/>
      <c r="NTQ307" s="33"/>
      <c r="NTR307" s="206"/>
      <c r="NTS307" s="207"/>
      <c r="NTT307" s="204"/>
      <c r="NTU307" s="35"/>
      <c r="NTV307" s="202"/>
      <c r="NTW307" s="203"/>
      <c r="NTX307" s="36"/>
      <c r="NTY307" s="36"/>
      <c r="NTZ307" s="205"/>
      <c r="NUA307" s="33"/>
      <c r="NUB307" s="37"/>
      <c r="NUC307" s="37"/>
      <c r="NUD307" s="37"/>
      <c r="NUE307" s="37"/>
      <c r="NUF307" s="37"/>
      <c r="NUG307" s="33"/>
      <c r="NUH307" s="206"/>
      <c r="NUI307" s="207"/>
      <c r="NUJ307" s="204"/>
      <c r="NUK307" s="35"/>
      <c r="NUL307" s="202"/>
      <c r="NUM307" s="203"/>
      <c r="NUN307" s="36"/>
      <c r="NUO307" s="36"/>
      <c r="NUP307" s="205"/>
      <c r="NUQ307" s="33"/>
      <c r="NUR307" s="37"/>
      <c r="NUS307" s="37"/>
      <c r="NUT307" s="37"/>
      <c r="NUU307" s="37"/>
      <c r="NUV307" s="37"/>
      <c r="NUW307" s="33"/>
      <c r="NUX307" s="206"/>
      <c r="NUY307" s="207"/>
      <c r="NUZ307" s="204"/>
      <c r="NVA307" s="35"/>
      <c r="NVB307" s="202"/>
      <c r="NVC307" s="203"/>
      <c r="NVD307" s="36"/>
      <c r="NVE307" s="36"/>
      <c r="NVF307" s="205"/>
      <c r="NVG307" s="33"/>
      <c r="NVH307" s="37"/>
      <c r="NVI307" s="37"/>
      <c r="NVJ307" s="37"/>
      <c r="NVK307" s="37"/>
      <c r="NVL307" s="37"/>
      <c r="NVM307" s="33"/>
      <c r="NVN307" s="206"/>
      <c r="NVO307" s="207"/>
      <c r="NVP307" s="204"/>
      <c r="NVQ307" s="35"/>
      <c r="NVR307" s="202"/>
      <c r="NVS307" s="203"/>
      <c r="NVT307" s="36"/>
      <c r="NVU307" s="36"/>
      <c r="NVV307" s="205"/>
      <c r="NVW307" s="33"/>
      <c r="NVX307" s="37"/>
      <c r="NVY307" s="37"/>
      <c r="NVZ307" s="37"/>
      <c r="NWA307" s="37"/>
      <c r="NWB307" s="37"/>
      <c r="NWC307" s="33"/>
      <c r="NWD307" s="206"/>
      <c r="NWE307" s="207"/>
      <c r="NWF307" s="204"/>
      <c r="NWG307" s="35"/>
      <c r="NWH307" s="202"/>
      <c r="NWI307" s="203"/>
      <c r="NWJ307" s="36"/>
      <c r="NWK307" s="36"/>
      <c r="NWL307" s="205"/>
      <c r="NWM307" s="33"/>
      <c r="NWN307" s="37"/>
      <c r="NWO307" s="37"/>
      <c r="NWP307" s="37"/>
      <c r="NWQ307" s="37"/>
      <c r="NWR307" s="37"/>
      <c r="NWS307" s="33"/>
      <c r="NWT307" s="206"/>
      <c r="NWU307" s="207"/>
      <c r="NWV307" s="204"/>
      <c r="NWW307" s="35"/>
      <c r="NWX307" s="202"/>
      <c r="NWY307" s="203"/>
      <c r="NWZ307" s="36"/>
      <c r="NXA307" s="36"/>
      <c r="NXB307" s="205"/>
      <c r="NXC307" s="33"/>
      <c r="NXD307" s="37"/>
      <c r="NXE307" s="37"/>
      <c r="NXF307" s="37"/>
      <c r="NXG307" s="37"/>
      <c r="NXH307" s="37"/>
      <c r="NXI307" s="33"/>
      <c r="NXJ307" s="206"/>
      <c r="NXK307" s="207"/>
      <c r="NXL307" s="204"/>
      <c r="NXM307" s="35"/>
      <c r="NXN307" s="202"/>
      <c r="NXO307" s="203"/>
      <c r="NXP307" s="36"/>
      <c r="NXQ307" s="36"/>
      <c r="NXR307" s="205"/>
      <c r="NXS307" s="33"/>
      <c r="NXT307" s="37"/>
      <c r="NXU307" s="37"/>
      <c r="NXV307" s="37"/>
      <c r="NXW307" s="37"/>
      <c r="NXX307" s="37"/>
      <c r="NXY307" s="33"/>
      <c r="NXZ307" s="206"/>
      <c r="NYA307" s="207"/>
      <c r="NYB307" s="204"/>
      <c r="NYC307" s="35"/>
      <c r="NYD307" s="202"/>
      <c r="NYE307" s="203"/>
      <c r="NYF307" s="36"/>
      <c r="NYG307" s="36"/>
      <c r="NYH307" s="205"/>
      <c r="NYI307" s="33"/>
      <c r="NYJ307" s="37"/>
      <c r="NYK307" s="37"/>
      <c r="NYL307" s="37"/>
      <c r="NYM307" s="37"/>
      <c r="NYN307" s="37"/>
      <c r="NYO307" s="33"/>
      <c r="NYP307" s="206"/>
      <c r="NYQ307" s="207"/>
      <c r="NYR307" s="204"/>
      <c r="NYS307" s="35"/>
      <c r="NYT307" s="202"/>
      <c r="NYU307" s="203"/>
      <c r="NYV307" s="36"/>
      <c r="NYW307" s="36"/>
      <c r="NYX307" s="205"/>
      <c r="NYY307" s="33"/>
      <c r="NYZ307" s="37"/>
      <c r="NZA307" s="37"/>
      <c r="NZB307" s="37"/>
      <c r="NZC307" s="37"/>
      <c r="NZD307" s="37"/>
      <c r="NZE307" s="33"/>
      <c r="NZF307" s="206"/>
      <c r="NZG307" s="207"/>
      <c r="NZH307" s="204"/>
      <c r="NZI307" s="35"/>
      <c r="NZJ307" s="202"/>
      <c r="NZK307" s="203"/>
      <c r="NZL307" s="36"/>
      <c r="NZM307" s="36"/>
      <c r="NZN307" s="205"/>
      <c r="NZO307" s="33"/>
      <c r="NZP307" s="37"/>
      <c r="NZQ307" s="37"/>
      <c r="NZR307" s="37"/>
      <c r="NZS307" s="37"/>
      <c r="NZT307" s="37"/>
      <c r="NZU307" s="33"/>
      <c r="NZV307" s="206"/>
      <c r="NZW307" s="207"/>
      <c r="NZX307" s="204"/>
      <c r="NZY307" s="35"/>
      <c r="NZZ307" s="202"/>
      <c r="OAA307" s="203"/>
      <c r="OAB307" s="36"/>
      <c r="OAC307" s="36"/>
      <c r="OAD307" s="205"/>
      <c r="OAE307" s="33"/>
      <c r="OAF307" s="37"/>
      <c r="OAG307" s="37"/>
      <c r="OAH307" s="37"/>
      <c r="OAI307" s="37"/>
      <c r="OAJ307" s="37"/>
      <c r="OAK307" s="33"/>
      <c r="OAL307" s="206"/>
      <c r="OAM307" s="207"/>
      <c r="OAN307" s="204"/>
      <c r="OAO307" s="35"/>
      <c r="OAP307" s="202"/>
      <c r="OAQ307" s="203"/>
      <c r="OAR307" s="36"/>
      <c r="OAS307" s="36"/>
      <c r="OAT307" s="205"/>
      <c r="OAU307" s="33"/>
      <c r="OAV307" s="37"/>
      <c r="OAW307" s="37"/>
      <c r="OAX307" s="37"/>
      <c r="OAY307" s="37"/>
      <c r="OAZ307" s="37"/>
      <c r="OBA307" s="33"/>
      <c r="OBB307" s="206"/>
      <c r="OBC307" s="207"/>
      <c r="OBD307" s="204"/>
      <c r="OBE307" s="35"/>
      <c r="OBF307" s="202"/>
      <c r="OBG307" s="203"/>
      <c r="OBH307" s="36"/>
      <c r="OBI307" s="36"/>
      <c r="OBJ307" s="205"/>
      <c r="OBK307" s="33"/>
      <c r="OBL307" s="37"/>
      <c r="OBM307" s="37"/>
      <c r="OBN307" s="37"/>
      <c r="OBO307" s="37"/>
      <c r="OBP307" s="37"/>
      <c r="OBQ307" s="33"/>
      <c r="OBR307" s="206"/>
      <c r="OBS307" s="207"/>
      <c r="OBT307" s="204"/>
      <c r="OBU307" s="35"/>
      <c r="OBV307" s="202"/>
      <c r="OBW307" s="203"/>
      <c r="OBX307" s="36"/>
      <c r="OBY307" s="36"/>
      <c r="OBZ307" s="205"/>
      <c r="OCA307" s="33"/>
      <c r="OCB307" s="37"/>
      <c r="OCC307" s="37"/>
      <c r="OCD307" s="37"/>
      <c r="OCE307" s="37"/>
      <c r="OCF307" s="37"/>
      <c r="OCG307" s="33"/>
      <c r="OCH307" s="206"/>
      <c r="OCI307" s="207"/>
      <c r="OCJ307" s="204"/>
      <c r="OCK307" s="35"/>
      <c r="OCL307" s="202"/>
      <c r="OCM307" s="203"/>
      <c r="OCN307" s="36"/>
      <c r="OCO307" s="36"/>
      <c r="OCP307" s="205"/>
      <c r="OCQ307" s="33"/>
      <c r="OCR307" s="37"/>
      <c r="OCS307" s="37"/>
      <c r="OCT307" s="37"/>
      <c r="OCU307" s="37"/>
      <c r="OCV307" s="37"/>
      <c r="OCW307" s="33"/>
      <c r="OCX307" s="206"/>
      <c r="OCY307" s="207"/>
      <c r="OCZ307" s="204"/>
      <c r="ODA307" s="35"/>
      <c r="ODB307" s="202"/>
      <c r="ODC307" s="203"/>
      <c r="ODD307" s="36"/>
      <c r="ODE307" s="36"/>
      <c r="ODF307" s="205"/>
      <c r="ODG307" s="33"/>
      <c r="ODH307" s="37"/>
      <c r="ODI307" s="37"/>
      <c r="ODJ307" s="37"/>
      <c r="ODK307" s="37"/>
      <c r="ODL307" s="37"/>
      <c r="ODM307" s="33"/>
      <c r="ODN307" s="206"/>
      <c r="ODO307" s="207"/>
      <c r="ODP307" s="204"/>
      <c r="ODQ307" s="35"/>
      <c r="ODR307" s="202"/>
      <c r="ODS307" s="203"/>
      <c r="ODT307" s="36"/>
      <c r="ODU307" s="36"/>
      <c r="ODV307" s="205"/>
      <c r="ODW307" s="33"/>
      <c r="ODX307" s="37"/>
      <c r="ODY307" s="37"/>
      <c r="ODZ307" s="37"/>
      <c r="OEA307" s="37"/>
      <c r="OEB307" s="37"/>
      <c r="OEC307" s="33"/>
      <c r="OED307" s="206"/>
      <c r="OEE307" s="207"/>
      <c r="OEF307" s="204"/>
      <c r="OEG307" s="35"/>
      <c r="OEH307" s="202"/>
      <c r="OEI307" s="203"/>
      <c r="OEJ307" s="36"/>
      <c r="OEK307" s="36"/>
      <c r="OEL307" s="205"/>
      <c r="OEM307" s="33"/>
      <c r="OEN307" s="37"/>
      <c r="OEO307" s="37"/>
      <c r="OEP307" s="37"/>
      <c r="OEQ307" s="37"/>
      <c r="OER307" s="37"/>
      <c r="OES307" s="33"/>
      <c r="OET307" s="206"/>
      <c r="OEU307" s="207"/>
      <c r="OEV307" s="204"/>
      <c r="OEW307" s="35"/>
      <c r="OEX307" s="202"/>
      <c r="OEY307" s="203"/>
      <c r="OEZ307" s="36"/>
      <c r="OFA307" s="36"/>
      <c r="OFB307" s="205"/>
      <c r="OFC307" s="33"/>
      <c r="OFD307" s="37"/>
      <c r="OFE307" s="37"/>
      <c r="OFF307" s="37"/>
      <c r="OFG307" s="37"/>
      <c r="OFH307" s="37"/>
      <c r="OFI307" s="33"/>
      <c r="OFJ307" s="206"/>
      <c r="OFK307" s="207"/>
      <c r="OFL307" s="204"/>
      <c r="OFM307" s="35"/>
      <c r="OFN307" s="202"/>
      <c r="OFO307" s="203"/>
      <c r="OFP307" s="36"/>
      <c r="OFQ307" s="36"/>
      <c r="OFR307" s="205"/>
      <c r="OFS307" s="33"/>
      <c r="OFT307" s="37"/>
      <c r="OFU307" s="37"/>
      <c r="OFV307" s="37"/>
      <c r="OFW307" s="37"/>
      <c r="OFX307" s="37"/>
      <c r="OFY307" s="33"/>
      <c r="OFZ307" s="206"/>
      <c r="OGA307" s="207"/>
      <c r="OGB307" s="204"/>
      <c r="OGC307" s="35"/>
      <c r="OGD307" s="202"/>
      <c r="OGE307" s="203"/>
      <c r="OGF307" s="36"/>
      <c r="OGG307" s="36"/>
      <c r="OGH307" s="205"/>
      <c r="OGI307" s="33"/>
      <c r="OGJ307" s="37"/>
      <c r="OGK307" s="37"/>
      <c r="OGL307" s="37"/>
      <c r="OGM307" s="37"/>
      <c r="OGN307" s="37"/>
      <c r="OGO307" s="33"/>
      <c r="OGP307" s="206"/>
      <c r="OGQ307" s="207"/>
      <c r="OGR307" s="204"/>
      <c r="OGS307" s="35"/>
      <c r="OGT307" s="202"/>
      <c r="OGU307" s="203"/>
      <c r="OGV307" s="36"/>
      <c r="OGW307" s="36"/>
      <c r="OGX307" s="205"/>
      <c r="OGY307" s="33"/>
      <c r="OGZ307" s="37"/>
      <c r="OHA307" s="37"/>
      <c r="OHB307" s="37"/>
      <c r="OHC307" s="37"/>
      <c r="OHD307" s="37"/>
      <c r="OHE307" s="33"/>
      <c r="OHF307" s="206"/>
      <c r="OHG307" s="207"/>
      <c r="OHH307" s="204"/>
      <c r="OHI307" s="35"/>
      <c r="OHJ307" s="202"/>
      <c r="OHK307" s="203"/>
      <c r="OHL307" s="36"/>
      <c r="OHM307" s="36"/>
      <c r="OHN307" s="205"/>
      <c r="OHO307" s="33"/>
      <c r="OHP307" s="37"/>
      <c r="OHQ307" s="37"/>
      <c r="OHR307" s="37"/>
      <c r="OHS307" s="37"/>
      <c r="OHT307" s="37"/>
      <c r="OHU307" s="33"/>
      <c r="OHV307" s="206"/>
      <c r="OHW307" s="207"/>
      <c r="OHX307" s="204"/>
      <c r="OHY307" s="35"/>
      <c r="OHZ307" s="202"/>
      <c r="OIA307" s="203"/>
      <c r="OIB307" s="36"/>
      <c r="OIC307" s="36"/>
      <c r="OID307" s="205"/>
      <c r="OIE307" s="33"/>
      <c r="OIF307" s="37"/>
      <c r="OIG307" s="37"/>
      <c r="OIH307" s="37"/>
      <c r="OII307" s="37"/>
      <c r="OIJ307" s="37"/>
      <c r="OIK307" s="33"/>
      <c r="OIL307" s="206"/>
      <c r="OIM307" s="207"/>
      <c r="OIN307" s="204"/>
      <c r="OIO307" s="35"/>
      <c r="OIP307" s="202"/>
      <c r="OIQ307" s="203"/>
      <c r="OIR307" s="36"/>
      <c r="OIS307" s="36"/>
      <c r="OIT307" s="205"/>
      <c r="OIU307" s="33"/>
      <c r="OIV307" s="37"/>
      <c r="OIW307" s="37"/>
      <c r="OIX307" s="37"/>
      <c r="OIY307" s="37"/>
      <c r="OIZ307" s="37"/>
      <c r="OJA307" s="33"/>
      <c r="OJB307" s="206"/>
      <c r="OJC307" s="207"/>
      <c r="OJD307" s="204"/>
      <c r="OJE307" s="35"/>
      <c r="OJF307" s="202"/>
      <c r="OJG307" s="203"/>
      <c r="OJH307" s="36"/>
      <c r="OJI307" s="36"/>
      <c r="OJJ307" s="205"/>
      <c r="OJK307" s="33"/>
      <c r="OJL307" s="37"/>
      <c r="OJM307" s="37"/>
      <c r="OJN307" s="37"/>
      <c r="OJO307" s="37"/>
      <c r="OJP307" s="37"/>
      <c r="OJQ307" s="33"/>
      <c r="OJR307" s="206"/>
      <c r="OJS307" s="207"/>
      <c r="OJT307" s="204"/>
      <c r="OJU307" s="35"/>
      <c r="OJV307" s="202"/>
      <c r="OJW307" s="203"/>
      <c r="OJX307" s="36"/>
      <c r="OJY307" s="36"/>
      <c r="OJZ307" s="205"/>
      <c r="OKA307" s="33"/>
      <c r="OKB307" s="37"/>
      <c r="OKC307" s="37"/>
      <c r="OKD307" s="37"/>
      <c r="OKE307" s="37"/>
      <c r="OKF307" s="37"/>
      <c r="OKG307" s="33"/>
      <c r="OKH307" s="206"/>
      <c r="OKI307" s="207"/>
      <c r="OKJ307" s="204"/>
      <c r="OKK307" s="35"/>
      <c r="OKL307" s="202"/>
      <c r="OKM307" s="203"/>
      <c r="OKN307" s="36"/>
      <c r="OKO307" s="36"/>
      <c r="OKP307" s="205"/>
      <c r="OKQ307" s="33"/>
      <c r="OKR307" s="37"/>
      <c r="OKS307" s="37"/>
      <c r="OKT307" s="37"/>
      <c r="OKU307" s="37"/>
      <c r="OKV307" s="37"/>
      <c r="OKW307" s="33"/>
      <c r="OKX307" s="206"/>
      <c r="OKY307" s="207"/>
      <c r="OKZ307" s="204"/>
      <c r="OLA307" s="35"/>
      <c r="OLB307" s="202"/>
      <c r="OLC307" s="203"/>
      <c r="OLD307" s="36"/>
      <c r="OLE307" s="36"/>
      <c r="OLF307" s="205"/>
      <c r="OLG307" s="33"/>
      <c r="OLH307" s="37"/>
      <c r="OLI307" s="37"/>
      <c r="OLJ307" s="37"/>
      <c r="OLK307" s="37"/>
      <c r="OLL307" s="37"/>
      <c r="OLM307" s="33"/>
      <c r="OLN307" s="206"/>
      <c r="OLO307" s="207"/>
      <c r="OLP307" s="204"/>
      <c r="OLQ307" s="35"/>
      <c r="OLR307" s="202"/>
      <c r="OLS307" s="203"/>
      <c r="OLT307" s="36"/>
      <c r="OLU307" s="36"/>
      <c r="OLV307" s="205"/>
      <c r="OLW307" s="33"/>
      <c r="OLX307" s="37"/>
      <c r="OLY307" s="37"/>
      <c r="OLZ307" s="37"/>
      <c r="OMA307" s="37"/>
      <c r="OMB307" s="37"/>
      <c r="OMC307" s="33"/>
      <c r="OMD307" s="206"/>
      <c r="OME307" s="207"/>
      <c r="OMF307" s="204"/>
      <c r="OMG307" s="35"/>
      <c r="OMH307" s="202"/>
      <c r="OMI307" s="203"/>
      <c r="OMJ307" s="36"/>
      <c r="OMK307" s="36"/>
      <c r="OML307" s="205"/>
      <c r="OMM307" s="33"/>
      <c r="OMN307" s="37"/>
      <c r="OMO307" s="37"/>
      <c r="OMP307" s="37"/>
      <c r="OMQ307" s="37"/>
      <c r="OMR307" s="37"/>
      <c r="OMS307" s="33"/>
      <c r="OMT307" s="206"/>
      <c r="OMU307" s="207"/>
      <c r="OMV307" s="204"/>
      <c r="OMW307" s="35"/>
      <c r="OMX307" s="202"/>
      <c r="OMY307" s="203"/>
      <c r="OMZ307" s="36"/>
      <c r="ONA307" s="36"/>
      <c r="ONB307" s="205"/>
      <c r="ONC307" s="33"/>
      <c r="OND307" s="37"/>
      <c r="ONE307" s="37"/>
      <c r="ONF307" s="37"/>
      <c r="ONG307" s="37"/>
      <c r="ONH307" s="37"/>
      <c r="ONI307" s="33"/>
      <c r="ONJ307" s="206"/>
      <c r="ONK307" s="207"/>
      <c r="ONL307" s="204"/>
      <c r="ONM307" s="35"/>
      <c r="ONN307" s="202"/>
      <c r="ONO307" s="203"/>
      <c r="ONP307" s="36"/>
      <c r="ONQ307" s="36"/>
      <c r="ONR307" s="205"/>
      <c r="ONS307" s="33"/>
      <c r="ONT307" s="37"/>
      <c r="ONU307" s="37"/>
      <c r="ONV307" s="37"/>
      <c r="ONW307" s="37"/>
      <c r="ONX307" s="37"/>
      <c r="ONY307" s="33"/>
      <c r="ONZ307" s="206"/>
      <c r="OOA307" s="207"/>
      <c r="OOB307" s="204"/>
      <c r="OOC307" s="35"/>
      <c r="OOD307" s="202"/>
      <c r="OOE307" s="203"/>
      <c r="OOF307" s="36"/>
      <c r="OOG307" s="36"/>
      <c r="OOH307" s="205"/>
      <c r="OOI307" s="33"/>
      <c r="OOJ307" s="37"/>
      <c r="OOK307" s="37"/>
      <c r="OOL307" s="37"/>
      <c r="OOM307" s="37"/>
      <c r="OON307" s="37"/>
      <c r="OOO307" s="33"/>
      <c r="OOP307" s="206"/>
      <c r="OOQ307" s="207"/>
      <c r="OOR307" s="204"/>
      <c r="OOS307" s="35"/>
      <c r="OOT307" s="202"/>
      <c r="OOU307" s="203"/>
      <c r="OOV307" s="36"/>
      <c r="OOW307" s="36"/>
      <c r="OOX307" s="205"/>
      <c r="OOY307" s="33"/>
      <c r="OOZ307" s="37"/>
      <c r="OPA307" s="37"/>
      <c r="OPB307" s="37"/>
      <c r="OPC307" s="37"/>
      <c r="OPD307" s="37"/>
      <c r="OPE307" s="33"/>
      <c r="OPF307" s="206"/>
      <c r="OPG307" s="207"/>
      <c r="OPH307" s="204"/>
      <c r="OPI307" s="35"/>
      <c r="OPJ307" s="202"/>
      <c r="OPK307" s="203"/>
      <c r="OPL307" s="36"/>
      <c r="OPM307" s="36"/>
      <c r="OPN307" s="205"/>
      <c r="OPO307" s="33"/>
      <c r="OPP307" s="37"/>
      <c r="OPQ307" s="37"/>
      <c r="OPR307" s="37"/>
      <c r="OPS307" s="37"/>
      <c r="OPT307" s="37"/>
      <c r="OPU307" s="33"/>
      <c r="OPV307" s="206"/>
      <c r="OPW307" s="207"/>
      <c r="OPX307" s="204"/>
      <c r="OPY307" s="35"/>
      <c r="OPZ307" s="202"/>
      <c r="OQA307" s="203"/>
      <c r="OQB307" s="36"/>
      <c r="OQC307" s="36"/>
      <c r="OQD307" s="205"/>
      <c r="OQE307" s="33"/>
      <c r="OQF307" s="37"/>
      <c r="OQG307" s="37"/>
      <c r="OQH307" s="37"/>
      <c r="OQI307" s="37"/>
      <c r="OQJ307" s="37"/>
      <c r="OQK307" s="33"/>
      <c r="OQL307" s="206"/>
      <c r="OQM307" s="207"/>
      <c r="OQN307" s="204"/>
      <c r="OQO307" s="35"/>
      <c r="OQP307" s="202"/>
      <c r="OQQ307" s="203"/>
      <c r="OQR307" s="36"/>
      <c r="OQS307" s="36"/>
      <c r="OQT307" s="205"/>
      <c r="OQU307" s="33"/>
      <c r="OQV307" s="37"/>
      <c r="OQW307" s="37"/>
      <c r="OQX307" s="37"/>
      <c r="OQY307" s="37"/>
      <c r="OQZ307" s="37"/>
      <c r="ORA307" s="33"/>
      <c r="ORB307" s="206"/>
      <c r="ORC307" s="207"/>
      <c r="ORD307" s="204"/>
      <c r="ORE307" s="35"/>
      <c r="ORF307" s="202"/>
      <c r="ORG307" s="203"/>
      <c r="ORH307" s="36"/>
      <c r="ORI307" s="36"/>
      <c r="ORJ307" s="205"/>
      <c r="ORK307" s="33"/>
      <c r="ORL307" s="37"/>
      <c r="ORM307" s="37"/>
      <c r="ORN307" s="37"/>
      <c r="ORO307" s="37"/>
      <c r="ORP307" s="37"/>
      <c r="ORQ307" s="33"/>
      <c r="ORR307" s="206"/>
      <c r="ORS307" s="207"/>
      <c r="ORT307" s="204"/>
      <c r="ORU307" s="35"/>
      <c r="ORV307" s="202"/>
      <c r="ORW307" s="203"/>
      <c r="ORX307" s="36"/>
      <c r="ORY307" s="36"/>
      <c r="ORZ307" s="205"/>
      <c r="OSA307" s="33"/>
      <c r="OSB307" s="37"/>
      <c r="OSC307" s="37"/>
      <c r="OSD307" s="37"/>
      <c r="OSE307" s="37"/>
      <c r="OSF307" s="37"/>
      <c r="OSG307" s="33"/>
      <c r="OSH307" s="206"/>
      <c r="OSI307" s="207"/>
      <c r="OSJ307" s="204"/>
      <c r="OSK307" s="35"/>
      <c r="OSL307" s="202"/>
      <c r="OSM307" s="203"/>
      <c r="OSN307" s="36"/>
      <c r="OSO307" s="36"/>
      <c r="OSP307" s="205"/>
      <c r="OSQ307" s="33"/>
      <c r="OSR307" s="37"/>
      <c r="OSS307" s="37"/>
      <c r="OST307" s="37"/>
      <c r="OSU307" s="37"/>
      <c r="OSV307" s="37"/>
      <c r="OSW307" s="33"/>
      <c r="OSX307" s="206"/>
      <c r="OSY307" s="207"/>
      <c r="OSZ307" s="204"/>
      <c r="OTA307" s="35"/>
      <c r="OTB307" s="202"/>
      <c r="OTC307" s="203"/>
      <c r="OTD307" s="36"/>
      <c r="OTE307" s="36"/>
      <c r="OTF307" s="205"/>
      <c r="OTG307" s="33"/>
      <c r="OTH307" s="37"/>
      <c r="OTI307" s="37"/>
      <c r="OTJ307" s="37"/>
      <c r="OTK307" s="37"/>
      <c r="OTL307" s="37"/>
      <c r="OTM307" s="33"/>
      <c r="OTN307" s="206"/>
      <c r="OTO307" s="207"/>
      <c r="OTP307" s="204"/>
      <c r="OTQ307" s="35"/>
      <c r="OTR307" s="202"/>
      <c r="OTS307" s="203"/>
      <c r="OTT307" s="36"/>
      <c r="OTU307" s="36"/>
      <c r="OTV307" s="205"/>
      <c r="OTW307" s="33"/>
      <c r="OTX307" s="37"/>
      <c r="OTY307" s="37"/>
      <c r="OTZ307" s="37"/>
      <c r="OUA307" s="37"/>
      <c r="OUB307" s="37"/>
      <c r="OUC307" s="33"/>
      <c r="OUD307" s="206"/>
      <c r="OUE307" s="207"/>
      <c r="OUF307" s="204"/>
      <c r="OUG307" s="35"/>
      <c r="OUH307" s="202"/>
      <c r="OUI307" s="203"/>
      <c r="OUJ307" s="36"/>
      <c r="OUK307" s="36"/>
      <c r="OUL307" s="205"/>
      <c r="OUM307" s="33"/>
      <c r="OUN307" s="37"/>
      <c r="OUO307" s="37"/>
      <c r="OUP307" s="37"/>
      <c r="OUQ307" s="37"/>
      <c r="OUR307" s="37"/>
      <c r="OUS307" s="33"/>
      <c r="OUT307" s="206"/>
      <c r="OUU307" s="207"/>
      <c r="OUV307" s="204"/>
      <c r="OUW307" s="35"/>
      <c r="OUX307" s="202"/>
      <c r="OUY307" s="203"/>
      <c r="OUZ307" s="36"/>
      <c r="OVA307" s="36"/>
      <c r="OVB307" s="205"/>
      <c r="OVC307" s="33"/>
      <c r="OVD307" s="37"/>
      <c r="OVE307" s="37"/>
      <c r="OVF307" s="37"/>
      <c r="OVG307" s="37"/>
      <c r="OVH307" s="37"/>
      <c r="OVI307" s="33"/>
      <c r="OVJ307" s="206"/>
      <c r="OVK307" s="207"/>
      <c r="OVL307" s="204"/>
      <c r="OVM307" s="35"/>
      <c r="OVN307" s="202"/>
      <c r="OVO307" s="203"/>
      <c r="OVP307" s="36"/>
      <c r="OVQ307" s="36"/>
      <c r="OVR307" s="205"/>
      <c r="OVS307" s="33"/>
      <c r="OVT307" s="37"/>
      <c r="OVU307" s="37"/>
      <c r="OVV307" s="37"/>
      <c r="OVW307" s="37"/>
      <c r="OVX307" s="37"/>
      <c r="OVY307" s="33"/>
      <c r="OVZ307" s="206"/>
      <c r="OWA307" s="207"/>
      <c r="OWB307" s="204"/>
      <c r="OWC307" s="35"/>
      <c r="OWD307" s="202"/>
      <c r="OWE307" s="203"/>
      <c r="OWF307" s="36"/>
      <c r="OWG307" s="36"/>
      <c r="OWH307" s="205"/>
      <c r="OWI307" s="33"/>
      <c r="OWJ307" s="37"/>
      <c r="OWK307" s="37"/>
      <c r="OWL307" s="37"/>
      <c r="OWM307" s="37"/>
      <c r="OWN307" s="37"/>
      <c r="OWO307" s="33"/>
      <c r="OWP307" s="206"/>
      <c r="OWQ307" s="207"/>
      <c r="OWR307" s="204"/>
      <c r="OWS307" s="35"/>
      <c r="OWT307" s="202"/>
      <c r="OWU307" s="203"/>
      <c r="OWV307" s="36"/>
      <c r="OWW307" s="36"/>
      <c r="OWX307" s="205"/>
      <c r="OWY307" s="33"/>
      <c r="OWZ307" s="37"/>
      <c r="OXA307" s="37"/>
      <c r="OXB307" s="37"/>
      <c r="OXC307" s="37"/>
      <c r="OXD307" s="37"/>
      <c r="OXE307" s="33"/>
      <c r="OXF307" s="206"/>
      <c r="OXG307" s="207"/>
      <c r="OXH307" s="204"/>
      <c r="OXI307" s="35"/>
      <c r="OXJ307" s="202"/>
      <c r="OXK307" s="203"/>
      <c r="OXL307" s="36"/>
      <c r="OXM307" s="36"/>
      <c r="OXN307" s="205"/>
      <c r="OXO307" s="33"/>
      <c r="OXP307" s="37"/>
      <c r="OXQ307" s="37"/>
      <c r="OXR307" s="37"/>
      <c r="OXS307" s="37"/>
      <c r="OXT307" s="37"/>
      <c r="OXU307" s="33"/>
      <c r="OXV307" s="206"/>
      <c r="OXW307" s="207"/>
      <c r="OXX307" s="204"/>
      <c r="OXY307" s="35"/>
      <c r="OXZ307" s="202"/>
      <c r="OYA307" s="203"/>
      <c r="OYB307" s="36"/>
      <c r="OYC307" s="36"/>
      <c r="OYD307" s="205"/>
      <c r="OYE307" s="33"/>
      <c r="OYF307" s="37"/>
      <c r="OYG307" s="37"/>
      <c r="OYH307" s="37"/>
      <c r="OYI307" s="37"/>
      <c r="OYJ307" s="37"/>
      <c r="OYK307" s="33"/>
      <c r="OYL307" s="206"/>
      <c r="OYM307" s="207"/>
      <c r="OYN307" s="204"/>
      <c r="OYO307" s="35"/>
      <c r="OYP307" s="202"/>
      <c r="OYQ307" s="203"/>
      <c r="OYR307" s="36"/>
      <c r="OYS307" s="36"/>
      <c r="OYT307" s="205"/>
      <c r="OYU307" s="33"/>
      <c r="OYV307" s="37"/>
      <c r="OYW307" s="37"/>
      <c r="OYX307" s="37"/>
      <c r="OYY307" s="37"/>
      <c r="OYZ307" s="37"/>
      <c r="OZA307" s="33"/>
      <c r="OZB307" s="206"/>
      <c r="OZC307" s="207"/>
      <c r="OZD307" s="204"/>
      <c r="OZE307" s="35"/>
      <c r="OZF307" s="202"/>
      <c r="OZG307" s="203"/>
      <c r="OZH307" s="36"/>
      <c r="OZI307" s="36"/>
      <c r="OZJ307" s="205"/>
      <c r="OZK307" s="33"/>
      <c r="OZL307" s="37"/>
      <c r="OZM307" s="37"/>
      <c r="OZN307" s="37"/>
      <c r="OZO307" s="37"/>
      <c r="OZP307" s="37"/>
      <c r="OZQ307" s="33"/>
      <c r="OZR307" s="206"/>
      <c r="OZS307" s="207"/>
      <c r="OZT307" s="204"/>
      <c r="OZU307" s="35"/>
      <c r="OZV307" s="202"/>
      <c r="OZW307" s="203"/>
      <c r="OZX307" s="36"/>
      <c r="OZY307" s="36"/>
      <c r="OZZ307" s="205"/>
      <c r="PAA307" s="33"/>
      <c r="PAB307" s="37"/>
      <c r="PAC307" s="37"/>
      <c r="PAD307" s="37"/>
      <c r="PAE307" s="37"/>
      <c r="PAF307" s="37"/>
      <c r="PAG307" s="33"/>
      <c r="PAH307" s="206"/>
      <c r="PAI307" s="207"/>
      <c r="PAJ307" s="204"/>
      <c r="PAK307" s="35"/>
      <c r="PAL307" s="202"/>
      <c r="PAM307" s="203"/>
      <c r="PAN307" s="36"/>
      <c r="PAO307" s="36"/>
      <c r="PAP307" s="205"/>
      <c r="PAQ307" s="33"/>
      <c r="PAR307" s="37"/>
      <c r="PAS307" s="37"/>
      <c r="PAT307" s="37"/>
      <c r="PAU307" s="37"/>
      <c r="PAV307" s="37"/>
      <c r="PAW307" s="33"/>
      <c r="PAX307" s="206"/>
      <c r="PAY307" s="207"/>
      <c r="PAZ307" s="204"/>
      <c r="PBA307" s="35"/>
      <c r="PBB307" s="202"/>
      <c r="PBC307" s="203"/>
      <c r="PBD307" s="36"/>
      <c r="PBE307" s="36"/>
      <c r="PBF307" s="205"/>
      <c r="PBG307" s="33"/>
      <c r="PBH307" s="37"/>
      <c r="PBI307" s="37"/>
      <c r="PBJ307" s="37"/>
      <c r="PBK307" s="37"/>
      <c r="PBL307" s="37"/>
      <c r="PBM307" s="33"/>
      <c r="PBN307" s="206"/>
      <c r="PBO307" s="207"/>
      <c r="PBP307" s="204"/>
      <c r="PBQ307" s="35"/>
      <c r="PBR307" s="202"/>
      <c r="PBS307" s="203"/>
      <c r="PBT307" s="36"/>
      <c r="PBU307" s="36"/>
      <c r="PBV307" s="205"/>
      <c r="PBW307" s="33"/>
      <c r="PBX307" s="37"/>
      <c r="PBY307" s="37"/>
      <c r="PBZ307" s="37"/>
      <c r="PCA307" s="37"/>
      <c r="PCB307" s="37"/>
      <c r="PCC307" s="33"/>
      <c r="PCD307" s="206"/>
      <c r="PCE307" s="207"/>
      <c r="PCF307" s="204"/>
      <c r="PCG307" s="35"/>
      <c r="PCH307" s="202"/>
      <c r="PCI307" s="203"/>
      <c r="PCJ307" s="36"/>
      <c r="PCK307" s="36"/>
      <c r="PCL307" s="205"/>
      <c r="PCM307" s="33"/>
      <c r="PCN307" s="37"/>
      <c r="PCO307" s="37"/>
      <c r="PCP307" s="37"/>
      <c r="PCQ307" s="37"/>
      <c r="PCR307" s="37"/>
      <c r="PCS307" s="33"/>
      <c r="PCT307" s="206"/>
      <c r="PCU307" s="207"/>
      <c r="PCV307" s="204"/>
      <c r="PCW307" s="35"/>
      <c r="PCX307" s="202"/>
      <c r="PCY307" s="203"/>
      <c r="PCZ307" s="36"/>
      <c r="PDA307" s="36"/>
      <c r="PDB307" s="205"/>
      <c r="PDC307" s="33"/>
      <c r="PDD307" s="37"/>
      <c r="PDE307" s="37"/>
      <c r="PDF307" s="37"/>
      <c r="PDG307" s="37"/>
      <c r="PDH307" s="37"/>
      <c r="PDI307" s="33"/>
      <c r="PDJ307" s="206"/>
      <c r="PDK307" s="207"/>
      <c r="PDL307" s="204"/>
      <c r="PDM307" s="35"/>
      <c r="PDN307" s="202"/>
      <c r="PDO307" s="203"/>
      <c r="PDP307" s="36"/>
      <c r="PDQ307" s="36"/>
      <c r="PDR307" s="205"/>
      <c r="PDS307" s="33"/>
      <c r="PDT307" s="37"/>
      <c r="PDU307" s="37"/>
      <c r="PDV307" s="37"/>
      <c r="PDW307" s="37"/>
      <c r="PDX307" s="37"/>
      <c r="PDY307" s="33"/>
      <c r="PDZ307" s="206"/>
      <c r="PEA307" s="207"/>
      <c r="PEB307" s="204"/>
      <c r="PEC307" s="35"/>
      <c r="PED307" s="202"/>
      <c r="PEE307" s="203"/>
      <c r="PEF307" s="36"/>
      <c r="PEG307" s="36"/>
      <c r="PEH307" s="205"/>
      <c r="PEI307" s="33"/>
      <c r="PEJ307" s="37"/>
      <c r="PEK307" s="37"/>
      <c r="PEL307" s="37"/>
      <c r="PEM307" s="37"/>
      <c r="PEN307" s="37"/>
      <c r="PEO307" s="33"/>
      <c r="PEP307" s="206"/>
      <c r="PEQ307" s="207"/>
      <c r="PER307" s="204"/>
      <c r="PES307" s="35"/>
      <c r="PET307" s="202"/>
      <c r="PEU307" s="203"/>
      <c r="PEV307" s="36"/>
      <c r="PEW307" s="36"/>
      <c r="PEX307" s="205"/>
      <c r="PEY307" s="33"/>
      <c r="PEZ307" s="37"/>
      <c r="PFA307" s="37"/>
      <c r="PFB307" s="37"/>
      <c r="PFC307" s="37"/>
      <c r="PFD307" s="37"/>
      <c r="PFE307" s="33"/>
      <c r="PFF307" s="206"/>
      <c r="PFG307" s="207"/>
      <c r="PFH307" s="204"/>
      <c r="PFI307" s="35"/>
      <c r="PFJ307" s="202"/>
      <c r="PFK307" s="203"/>
      <c r="PFL307" s="36"/>
      <c r="PFM307" s="36"/>
      <c r="PFN307" s="205"/>
      <c r="PFO307" s="33"/>
      <c r="PFP307" s="37"/>
      <c r="PFQ307" s="37"/>
      <c r="PFR307" s="37"/>
      <c r="PFS307" s="37"/>
      <c r="PFT307" s="37"/>
      <c r="PFU307" s="33"/>
      <c r="PFV307" s="206"/>
      <c r="PFW307" s="207"/>
      <c r="PFX307" s="204"/>
      <c r="PFY307" s="35"/>
      <c r="PFZ307" s="202"/>
      <c r="PGA307" s="203"/>
      <c r="PGB307" s="36"/>
      <c r="PGC307" s="36"/>
      <c r="PGD307" s="205"/>
      <c r="PGE307" s="33"/>
      <c r="PGF307" s="37"/>
      <c r="PGG307" s="37"/>
      <c r="PGH307" s="37"/>
      <c r="PGI307" s="37"/>
      <c r="PGJ307" s="37"/>
      <c r="PGK307" s="33"/>
      <c r="PGL307" s="206"/>
      <c r="PGM307" s="207"/>
      <c r="PGN307" s="204"/>
      <c r="PGO307" s="35"/>
      <c r="PGP307" s="202"/>
      <c r="PGQ307" s="203"/>
      <c r="PGR307" s="36"/>
      <c r="PGS307" s="36"/>
      <c r="PGT307" s="205"/>
      <c r="PGU307" s="33"/>
      <c r="PGV307" s="37"/>
      <c r="PGW307" s="37"/>
      <c r="PGX307" s="37"/>
      <c r="PGY307" s="37"/>
      <c r="PGZ307" s="37"/>
      <c r="PHA307" s="33"/>
      <c r="PHB307" s="206"/>
      <c r="PHC307" s="207"/>
      <c r="PHD307" s="204"/>
      <c r="PHE307" s="35"/>
      <c r="PHF307" s="202"/>
      <c r="PHG307" s="203"/>
      <c r="PHH307" s="36"/>
      <c r="PHI307" s="36"/>
      <c r="PHJ307" s="205"/>
      <c r="PHK307" s="33"/>
      <c r="PHL307" s="37"/>
      <c r="PHM307" s="37"/>
      <c r="PHN307" s="37"/>
      <c r="PHO307" s="37"/>
      <c r="PHP307" s="37"/>
      <c r="PHQ307" s="33"/>
      <c r="PHR307" s="206"/>
      <c r="PHS307" s="207"/>
      <c r="PHT307" s="204"/>
      <c r="PHU307" s="35"/>
      <c r="PHV307" s="202"/>
      <c r="PHW307" s="203"/>
      <c r="PHX307" s="36"/>
      <c r="PHY307" s="36"/>
      <c r="PHZ307" s="205"/>
      <c r="PIA307" s="33"/>
      <c r="PIB307" s="37"/>
      <c r="PIC307" s="37"/>
      <c r="PID307" s="37"/>
      <c r="PIE307" s="37"/>
      <c r="PIF307" s="37"/>
      <c r="PIG307" s="33"/>
      <c r="PIH307" s="206"/>
      <c r="PII307" s="207"/>
      <c r="PIJ307" s="204"/>
      <c r="PIK307" s="35"/>
      <c r="PIL307" s="202"/>
      <c r="PIM307" s="203"/>
      <c r="PIN307" s="36"/>
      <c r="PIO307" s="36"/>
      <c r="PIP307" s="205"/>
      <c r="PIQ307" s="33"/>
      <c r="PIR307" s="37"/>
      <c r="PIS307" s="37"/>
      <c r="PIT307" s="37"/>
      <c r="PIU307" s="37"/>
      <c r="PIV307" s="37"/>
      <c r="PIW307" s="33"/>
      <c r="PIX307" s="206"/>
      <c r="PIY307" s="207"/>
      <c r="PIZ307" s="204"/>
      <c r="PJA307" s="35"/>
      <c r="PJB307" s="202"/>
      <c r="PJC307" s="203"/>
      <c r="PJD307" s="36"/>
      <c r="PJE307" s="36"/>
      <c r="PJF307" s="205"/>
      <c r="PJG307" s="33"/>
      <c r="PJH307" s="37"/>
      <c r="PJI307" s="37"/>
      <c r="PJJ307" s="37"/>
      <c r="PJK307" s="37"/>
      <c r="PJL307" s="37"/>
      <c r="PJM307" s="33"/>
      <c r="PJN307" s="206"/>
      <c r="PJO307" s="207"/>
      <c r="PJP307" s="204"/>
      <c r="PJQ307" s="35"/>
      <c r="PJR307" s="202"/>
      <c r="PJS307" s="203"/>
      <c r="PJT307" s="36"/>
      <c r="PJU307" s="36"/>
      <c r="PJV307" s="205"/>
      <c r="PJW307" s="33"/>
      <c r="PJX307" s="37"/>
      <c r="PJY307" s="37"/>
      <c r="PJZ307" s="37"/>
      <c r="PKA307" s="37"/>
      <c r="PKB307" s="37"/>
      <c r="PKC307" s="33"/>
      <c r="PKD307" s="206"/>
      <c r="PKE307" s="207"/>
      <c r="PKF307" s="204"/>
      <c r="PKG307" s="35"/>
      <c r="PKH307" s="202"/>
      <c r="PKI307" s="203"/>
      <c r="PKJ307" s="36"/>
      <c r="PKK307" s="36"/>
      <c r="PKL307" s="205"/>
      <c r="PKM307" s="33"/>
      <c r="PKN307" s="37"/>
      <c r="PKO307" s="37"/>
      <c r="PKP307" s="37"/>
      <c r="PKQ307" s="37"/>
      <c r="PKR307" s="37"/>
      <c r="PKS307" s="33"/>
      <c r="PKT307" s="206"/>
      <c r="PKU307" s="207"/>
      <c r="PKV307" s="204"/>
      <c r="PKW307" s="35"/>
      <c r="PKX307" s="202"/>
      <c r="PKY307" s="203"/>
      <c r="PKZ307" s="36"/>
      <c r="PLA307" s="36"/>
      <c r="PLB307" s="205"/>
      <c r="PLC307" s="33"/>
      <c r="PLD307" s="37"/>
      <c r="PLE307" s="37"/>
      <c r="PLF307" s="37"/>
      <c r="PLG307" s="37"/>
      <c r="PLH307" s="37"/>
      <c r="PLI307" s="33"/>
      <c r="PLJ307" s="206"/>
      <c r="PLK307" s="207"/>
      <c r="PLL307" s="204"/>
      <c r="PLM307" s="35"/>
      <c r="PLN307" s="202"/>
      <c r="PLO307" s="203"/>
      <c r="PLP307" s="36"/>
      <c r="PLQ307" s="36"/>
      <c r="PLR307" s="205"/>
      <c r="PLS307" s="33"/>
      <c r="PLT307" s="37"/>
      <c r="PLU307" s="37"/>
      <c r="PLV307" s="37"/>
      <c r="PLW307" s="37"/>
      <c r="PLX307" s="37"/>
      <c r="PLY307" s="33"/>
      <c r="PLZ307" s="206"/>
      <c r="PMA307" s="207"/>
      <c r="PMB307" s="204"/>
      <c r="PMC307" s="35"/>
      <c r="PMD307" s="202"/>
      <c r="PME307" s="203"/>
      <c r="PMF307" s="36"/>
      <c r="PMG307" s="36"/>
      <c r="PMH307" s="205"/>
      <c r="PMI307" s="33"/>
      <c r="PMJ307" s="37"/>
      <c r="PMK307" s="37"/>
      <c r="PML307" s="37"/>
      <c r="PMM307" s="37"/>
      <c r="PMN307" s="37"/>
      <c r="PMO307" s="33"/>
      <c r="PMP307" s="206"/>
      <c r="PMQ307" s="207"/>
      <c r="PMR307" s="204"/>
      <c r="PMS307" s="35"/>
      <c r="PMT307" s="202"/>
      <c r="PMU307" s="203"/>
      <c r="PMV307" s="36"/>
      <c r="PMW307" s="36"/>
      <c r="PMX307" s="205"/>
      <c r="PMY307" s="33"/>
      <c r="PMZ307" s="37"/>
      <c r="PNA307" s="37"/>
      <c r="PNB307" s="37"/>
      <c r="PNC307" s="37"/>
      <c r="PND307" s="37"/>
      <c r="PNE307" s="33"/>
      <c r="PNF307" s="206"/>
      <c r="PNG307" s="207"/>
      <c r="PNH307" s="204"/>
      <c r="PNI307" s="35"/>
      <c r="PNJ307" s="202"/>
      <c r="PNK307" s="203"/>
      <c r="PNL307" s="36"/>
      <c r="PNM307" s="36"/>
      <c r="PNN307" s="205"/>
      <c r="PNO307" s="33"/>
      <c r="PNP307" s="37"/>
      <c r="PNQ307" s="37"/>
      <c r="PNR307" s="37"/>
      <c r="PNS307" s="37"/>
      <c r="PNT307" s="37"/>
      <c r="PNU307" s="33"/>
      <c r="PNV307" s="206"/>
      <c r="PNW307" s="207"/>
      <c r="PNX307" s="204"/>
      <c r="PNY307" s="35"/>
      <c r="PNZ307" s="202"/>
      <c r="POA307" s="203"/>
      <c r="POB307" s="36"/>
      <c r="POC307" s="36"/>
      <c r="POD307" s="205"/>
      <c r="POE307" s="33"/>
      <c r="POF307" s="37"/>
      <c r="POG307" s="37"/>
      <c r="POH307" s="37"/>
      <c r="POI307" s="37"/>
      <c r="POJ307" s="37"/>
      <c r="POK307" s="33"/>
      <c r="POL307" s="206"/>
      <c r="POM307" s="207"/>
      <c r="PON307" s="204"/>
      <c r="POO307" s="35"/>
      <c r="POP307" s="202"/>
      <c r="POQ307" s="203"/>
      <c r="POR307" s="36"/>
      <c r="POS307" s="36"/>
      <c r="POT307" s="205"/>
      <c r="POU307" s="33"/>
      <c r="POV307" s="37"/>
      <c r="POW307" s="37"/>
      <c r="POX307" s="37"/>
      <c r="POY307" s="37"/>
      <c r="POZ307" s="37"/>
      <c r="PPA307" s="33"/>
      <c r="PPB307" s="206"/>
      <c r="PPC307" s="207"/>
      <c r="PPD307" s="204"/>
      <c r="PPE307" s="35"/>
      <c r="PPF307" s="202"/>
      <c r="PPG307" s="203"/>
      <c r="PPH307" s="36"/>
      <c r="PPI307" s="36"/>
      <c r="PPJ307" s="205"/>
      <c r="PPK307" s="33"/>
      <c r="PPL307" s="37"/>
      <c r="PPM307" s="37"/>
      <c r="PPN307" s="37"/>
      <c r="PPO307" s="37"/>
      <c r="PPP307" s="37"/>
      <c r="PPQ307" s="33"/>
      <c r="PPR307" s="206"/>
      <c r="PPS307" s="207"/>
      <c r="PPT307" s="204"/>
      <c r="PPU307" s="35"/>
      <c r="PPV307" s="202"/>
      <c r="PPW307" s="203"/>
      <c r="PPX307" s="36"/>
      <c r="PPY307" s="36"/>
      <c r="PPZ307" s="205"/>
      <c r="PQA307" s="33"/>
      <c r="PQB307" s="37"/>
      <c r="PQC307" s="37"/>
      <c r="PQD307" s="37"/>
      <c r="PQE307" s="37"/>
      <c r="PQF307" s="37"/>
      <c r="PQG307" s="33"/>
      <c r="PQH307" s="206"/>
      <c r="PQI307" s="207"/>
      <c r="PQJ307" s="204"/>
      <c r="PQK307" s="35"/>
      <c r="PQL307" s="202"/>
      <c r="PQM307" s="203"/>
      <c r="PQN307" s="36"/>
      <c r="PQO307" s="36"/>
      <c r="PQP307" s="205"/>
      <c r="PQQ307" s="33"/>
      <c r="PQR307" s="37"/>
      <c r="PQS307" s="37"/>
      <c r="PQT307" s="37"/>
      <c r="PQU307" s="37"/>
      <c r="PQV307" s="37"/>
      <c r="PQW307" s="33"/>
      <c r="PQX307" s="206"/>
      <c r="PQY307" s="207"/>
      <c r="PQZ307" s="204"/>
      <c r="PRA307" s="35"/>
      <c r="PRB307" s="202"/>
      <c r="PRC307" s="203"/>
      <c r="PRD307" s="36"/>
      <c r="PRE307" s="36"/>
      <c r="PRF307" s="205"/>
      <c r="PRG307" s="33"/>
      <c r="PRH307" s="37"/>
      <c r="PRI307" s="37"/>
      <c r="PRJ307" s="37"/>
      <c r="PRK307" s="37"/>
      <c r="PRL307" s="37"/>
      <c r="PRM307" s="33"/>
      <c r="PRN307" s="206"/>
      <c r="PRO307" s="207"/>
      <c r="PRP307" s="204"/>
      <c r="PRQ307" s="35"/>
      <c r="PRR307" s="202"/>
      <c r="PRS307" s="203"/>
      <c r="PRT307" s="36"/>
      <c r="PRU307" s="36"/>
      <c r="PRV307" s="205"/>
      <c r="PRW307" s="33"/>
      <c r="PRX307" s="37"/>
      <c r="PRY307" s="37"/>
      <c r="PRZ307" s="37"/>
      <c r="PSA307" s="37"/>
      <c r="PSB307" s="37"/>
      <c r="PSC307" s="33"/>
      <c r="PSD307" s="206"/>
      <c r="PSE307" s="207"/>
      <c r="PSF307" s="204"/>
      <c r="PSG307" s="35"/>
      <c r="PSH307" s="202"/>
      <c r="PSI307" s="203"/>
      <c r="PSJ307" s="36"/>
      <c r="PSK307" s="36"/>
      <c r="PSL307" s="205"/>
      <c r="PSM307" s="33"/>
      <c r="PSN307" s="37"/>
      <c r="PSO307" s="37"/>
      <c r="PSP307" s="37"/>
      <c r="PSQ307" s="37"/>
      <c r="PSR307" s="37"/>
      <c r="PSS307" s="33"/>
      <c r="PST307" s="206"/>
      <c r="PSU307" s="207"/>
      <c r="PSV307" s="204"/>
      <c r="PSW307" s="35"/>
      <c r="PSX307" s="202"/>
      <c r="PSY307" s="203"/>
      <c r="PSZ307" s="36"/>
      <c r="PTA307" s="36"/>
      <c r="PTB307" s="205"/>
      <c r="PTC307" s="33"/>
      <c r="PTD307" s="37"/>
      <c r="PTE307" s="37"/>
      <c r="PTF307" s="37"/>
      <c r="PTG307" s="37"/>
      <c r="PTH307" s="37"/>
      <c r="PTI307" s="33"/>
      <c r="PTJ307" s="206"/>
      <c r="PTK307" s="207"/>
      <c r="PTL307" s="204"/>
      <c r="PTM307" s="35"/>
      <c r="PTN307" s="202"/>
      <c r="PTO307" s="203"/>
      <c r="PTP307" s="36"/>
      <c r="PTQ307" s="36"/>
      <c r="PTR307" s="205"/>
      <c r="PTS307" s="33"/>
      <c r="PTT307" s="37"/>
      <c r="PTU307" s="37"/>
      <c r="PTV307" s="37"/>
      <c r="PTW307" s="37"/>
      <c r="PTX307" s="37"/>
      <c r="PTY307" s="33"/>
      <c r="PTZ307" s="206"/>
      <c r="PUA307" s="207"/>
      <c r="PUB307" s="204"/>
      <c r="PUC307" s="35"/>
      <c r="PUD307" s="202"/>
      <c r="PUE307" s="203"/>
      <c r="PUF307" s="36"/>
      <c r="PUG307" s="36"/>
      <c r="PUH307" s="205"/>
      <c r="PUI307" s="33"/>
      <c r="PUJ307" s="37"/>
      <c r="PUK307" s="37"/>
      <c r="PUL307" s="37"/>
      <c r="PUM307" s="37"/>
      <c r="PUN307" s="37"/>
      <c r="PUO307" s="33"/>
      <c r="PUP307" s="206"/>
      <c r="PUQ307" s="207"/>
      <c r="PUR307" s="204"/>
      <c r="PUS307" s="35"/>
      <c r="PUT307" s="202"/>
      <c r="PUU307" s="203"/>
      <c r="PUV307" s="36"/>
      <c r="PUW307" s="36"/>
      <c r="PUX307" s="205"/>
      <c r="PUY307" s="33"/>
      <c r="PUZ307" s="37"/>
      <c r="PVA307" s="37"/>
      <c r="PVB307" s="37"/>
      <c r="PVC307" s="37"/>
      <c r="PVD307" s="37"/>
      <c r="PVE307" s="33"/>
      <c r="PVF307" s="206"/>
      <c r="PVG307" s="207"/>
      <c r="PVH307" s="204"/>
      <c r="PVI307" s="35"/>
      <c r="PVJ307" s="202"/>
      <c r="PVK307" s="203"/>
      <c r="PVL307" s="36"/>
      <c r="PVM307" s="36"/>
      <c r="PVN307" s="205"/>
      <c r="PVO307" s="33"/>
      <c r="PVP307" s="37"/>
      <c r="PVQ307" s="37"/>
      <c r="PVR307" s="37"/>
      <c r="PVS307" s="37"/>
      <c r="PVT307" s="37"/>
      <c r="PVU307" s="33"/>
      <c r="PVV307" s="206"/>
      <c r="PVW307" s="207"/>
      <c r="PVX307" s="204"/>
      <c r="PVY307" s="35"/>
      <c r="PVZ307" s="202"/>
      <c r="PWA307" s="203"/>
      <c r="PWB307" s="36"/>
      <c r="PWC307" s="36"/>
      <c r="PWD307" s="205"/>
      <c r="PWE307" s="33"/>
      <c r="PWF307" s="37"/>
      <c r="PWG307" s="37"/>
      <c r="PWH307" s="37"/>
      <c r="PWI307" s="37"/>
      <c r="PWJ307" s="37"/>
      <c r="PWK307" s="33"/>
      <c r="PWL307" s="206"/>
      <c r="PWM307" s="207"/>
      <c r="PWN307" s="204"/>
      <c r="PWO307" s="35"/>
      <c r="PWP307" s="202"/>
      <c r="PWQ307" s="203"/>
      <c r="PWR307" s="36"/>
      <c r="PWS307" s="36"/>
      <c r="PWT307" s="205"/>
      <c r="PWU307" s="33"/>
      <c r="PWV307" s="37"/>
      <c r="PWW307" s="37"/>
      <c r="PWX307" s="37"/>
      <c r="PWY307" s="37"/>
      <c r="PWZ307" s="37"/>
      <c r="PXA307" s="33"/>
      <c r="PXB307" s="206"/>
      <c r="PXC307" s="207"/>
      <c r="PXD307" s="204"/>
      <c r="PXE307" s="35"/>
      <c r="PXF307" s="202"/>
      <c r="PXG307" s="203"/>
      <c r="PXH307" s="36"/>
      <c r="PXI307" s="36"/>
      <c r="PXJ307" s="205"/>
      <c r="PXK307" s="33"/>
      <c r="PXL307" s="37"/>
      <c r="PXM307" s="37"/>
      <c r="PXN307" s="37"/>
      <c r="PXO307" s="37"/>
      <c r="PXP307" s="37"/>
      <c r="PXQ307" s="33"/>
      <c r="PXR307" s="206"/>
      <c r="PXS307" s="207"/>
      <c r="PXT307" s="204"/>
      <c r="PXU307" s="35"/>
      <c r="PXV307" s="202"/>
      <c r="PXW307" s="203"/>
      <c r="PXX307" s="36"/>
      <c r="PXY307" s="36"/>
      <c r="PXZ307" s="205"/>
      <c r="PYA307" s="33"/>
      <c r="PYB307" s="37"/>
      <c r="PYC307" s="37"/>
      <c r="PYD307" s="37"/>
      <c r="PYE307" s="37"/>
      <c r="PYF307" s="37"/>
      <c r="PYG307" s="33"/>
      <c r="PYH307" s="206"/>
      <c r="PYI307" s="207"/>
      <c r="PYJ307" s="204"/>
      <c r="PYK307" s="35"/>
      <c r="PYL307" s="202"/>
      <c r="PYM307" s="203"/>
      <c r="PYN307" s="36"/>
      <c r="PYO307" s="36"/>
      <c r="PYP307" s="205"/>
      <c r="PYQ307" s="33"/>
      <c r="PYR307" s="37"/>
      <c r="PYS307" s="37"/>
      <c r="PYT307" s="37"/>
      <c r="PYU307" s="37"/>
      <c r="PYV307" s="37"/>
      <c r="PYW307" s="33"/>
      <c r="PYX307" s="206"/>
      <c r="PYY307" s="207"/>
      <c r="PYZ307" s="204"/>
      <c r="PZA307" s="35"/>
      <c r="PZB307" s="202"/>
      <c r="PZC307" s="203"/>
      <c r="PZD307" s="36"/>
      <c r="PZE307" s="36"/>
      <c r="PZF307" s="205"/>
      <c r="PZG307" s="33"/>
      <c r="PZH307" s="37"/>
      <c r="PZI307" s="37"/>
      <c r="PZJ307" s="37"/>
      <c r="PZK307" s="37"/>
      <c r="PZL307" s="37"/>
      <c r="PZM307" s="33"/>
      <c r="PZN307" s="206"/>
      <c r="PZO307" s="207"/>
      <c r="PZP307" s="204"/>
      <c r="PZQ307" s="35"/>
      <c r="PZR307" s="202"/>
      <c r="PZS307" s="203"/>
      <c r="PZT307" s="36"/>
      <c r="PZU307" s="36"/>
      <c r="PZV307" s="205"/>
      <c r="PZW307" s="33"/>
      <c r="PZX307" s="37"/>
      <c r="PZY307" s="37"/>
      <c r="PZZ307" s="37"/>
      <c r="QAA307" s="37"/>
      <c r="QAB307" s="37"/>
      <c r="QAC307" s="33"/>
      <c r="QAD307" s="206"/>
      <c r="QAE307" s="207"/>
      <c r="QAF307" s="204"/>
      <c r="QAG307" s="35"/>
      <c r="QAH307" s="202"/>
      <c r="QAI307" s="203"/>
      <c r="QAJ307" s="36"/>
      <c r="QAK307" s="36"/>
      <c r="QAL307" s="205"/>
      <c r="QAM307" s="33"/>
      <c r="QAN307" s="37"/>
      <c r="QAO307" s="37"/>
      <c r="QAP307" s="37"/>
      <c r="QAQ307" s="37"/>
      <c r="QAR307" s="37"/>
      <c r="QAS307" s="33"/>
      <c r="QAT307" s="206"/>
      <c r="QAU307" s="207"/>
      <c r="QAV307" s="204"/>
      <c r="QAW307" s="35"/>
      <c r="QAX307" s="202"/>
      <c r="QAY307" s="203"/>
      <c r="QAZ307" s="36"/>
      <c r="QBA307" s="36"/>
      <c r="QBB307" s="205"/>
      <c r="QBC307" s="33"/>
      <c r="QBD307" s="37"/>
      <c r="QBE307" s="37"/>
      <c r="QBF307" s="37"/>
      <c r="QBG307" s="37"/>
      <c r="QBH307" s="37"/>
      <c r="QBI307" s="33"/>
      <c r="QBJ307" s="206"/>
      <c r="QBK307" s="207"/>
      <c r="QBL307" s="204"/>
      <c r="QBM307" s="35"/>
      <c r="QBN307" s="202"/>
      <c r="QBO307" s="203"/>
      <c r="QBP307" s="36"/>
      <c r="QBQ307" s="36"/>
      <c r="QBR307" s="205"/>
      <c r="QBS307" s="33"/>
      <c r="QBT307" s="37"/>
      <c r="QBU307" s="37"/>
      <c r="QBV307" s="37"/>
      <c r="QBW307" s="37"/>
      <c r="QBX307" s="37"/>
      <c r="QBY307" s="33"/>
      <c r="QBZ307" s="206"/>
      <c r="QCA307" s="207"/>
      <c r="QCB307" s="204"/>
      <c r="QCC307" s="35"/>
      <c r="QCD307" s="202"/>
      <c r="QCE307" s="203"/>
      <c r="QCF307" s="36"/>
      <c r="QCG307" s="36"/>
      <c r="QCH307" s="205"/>
      <c r="QCI307" s="33"/>
      <c r="QCJ307" s="37"/>
      <c r="QCK307" s="37"/>
      <c r="QCL307" s="37"/>
      <c r="QCM307" s="37"/>
      <c r="QCN307" s="37"/>
      <c r="QCO307" s="33"/>
      <c r="QCP307" s="206"/>
      <c r="QCQ307" s="207"/>
      <c r="QCR307" s="204"/>
      <c r="QCS307" s="35"/>
      <c r="QCT307" s="202"/>
      <c r="QCU307" s="203"/>
      <c r="QCV307" s="36"/>
      <c r="QCW307" s="36"/>
      <c r="QCX307" s="205"/>
      <c r="QCY307" s="33"/>
      <c r="QCZ307" s="37"/>
      <c r="QDA307" s="37"/>
      <c r="QDB307" s="37"/>
      <c r="QDC307" s="37"/>
      <c r="QDD307" s="37"/>
      <c r="QDE307" s="33"/>
      <c r="QDF307" s="206"/>
      <c r="QDG307" s="207"/>
      <c r="QDH307" s="204"/>
      <c r="QDI307" s="35"/>
      <c r="QDJ307" s="202"/>
      <c r="QDK307" s="203"/>
      <c r="QDL307" s="36"/>
      <c r="QDM307" s="36"/>
      <c r="QDN307" s="205"/>
      <c r="QDO307" s="33"/>
      <c r="QDP307" s="37"/>
      <c r="QDQ307" s="37"/>
      <c r="QDR307" s="37"/>
      <c r="QDS307" s="37"/>
      <c r="QDT307" s="37"/>
      <c r="QDU307" s="33"/>
      <c r="QDV307" s="206"/>
      <c r="QDW307" s="207"/>
      <c r="QDX307" s="204"/>
      <c r="QDY307" s="35"/>
      <c r="QDZ307" s="202"/>
      <c r="QEA307" s="203"/>
      <c r="QEB307" s="36"/>
      <c r="QEC307" s="36"/>
      <c r="QED307" s="205"/>
      <c r="QEE307" s="33"/>
      <c r="QEF307" s="37"/>
      <c r="QEG307" s="37"/>
      <c r="QEH307" s="37"/>
      <c r="QEI307" s="37"/>
      <c r="QEJ307" s="37"/>
      <c r="QEK307" s="33"/>
      <c r="QEL307" s="206"/>
      <c r="QEM307" s="207"/>
      <c r="QEN307" s="204"/>
      <c r="QEO307" s="35"/>
      <c r="QEP307" s="202"/>
      <c r="QEQ307" s="203"/>
      <c r="QER307" s="36"/>
      <c r="QES307" s="36"/>
      <c r="QET307" s="205"/>
      <c r="QEU307" s="33"/>
      <c r="QEV307" s="37"/>
      <c r="QEW307" s="37"/>
      <c r="QEX307" s="37"/>
      <c r="QEY307" s="37"/>
      <c r="QEZ307" s="37"/>
      <c r="QFA307" s="33"/>
      <c r="QFB307" s="206"/>
      <c r="QFC307" s="207"/>
      <c r="QFD307" s="204"/>
      <c r="QFE307" s="35"/>
      <c r="QFF307" s="202"/>
      <c r="QFG307" s="203"/>
      <c r="QFH307" s="36"/>
      <c r="QFI307" s="36"/>
      <c r="QFJ307" s="205"/>
      <c r="QFK307" s="33"/>
      <c r="QFL307" s="37"/>
      <c r="QFM307" s="37"/>
      <c r="QFN307" s="37"/>
      <c r="QFO307" s="37"/>
      <c r="QFP307" s="37"/>
      <c r="QFQ307" s="33"/>
      <c r="QFR307" s="206"/>
      <c r="QFS307" s="207"/>
      <c r="QFT307" s="204"/>
      <c r="QFU307" s="35"/>
      <c r="QFV307" s="202"/>
      <c r="QFW307" s="203"/>
      <c r="QFX307" s="36"/>
      <c r="QFY307" s="36"/>
      <c r="QFZ307" s="205"/>
      <c r="QGA307" s="33"/>
      <c r="QGB307" s="37"/>
      <c r="QGC307" s="37"/>
      <c r="QGD307" s="37"/>
      <c r="QGE307" s="37"/>
      <c r="QGF307" s="37"/>
      <c r="QGG307" s="33"/>
      <c r="QGH307" s="206"/>
      <c r="QGI307" s="207"/>
      <c r="QGJ307" s="204"/>
      <c r="QGK307" s="35"/>
      <c r="QGL307" s="202"/>
      <c r="QGM307" s="203"/>
      <c r="QGN307" s="36"/>
      <c r="QGO307" s="36"/>
      <c r="QGP307" s="205"/>
      <c r="QGQ307" s="33"/>
      <c r="QGR307" s="37"/>
      <c r="QGS307" s="37"/>
      <c r="QGT307" s="37"/>
      <c r="QGU307" s="37"/>
      <c r="QGV307" s="37"/>
      <c r="QGW307" s="33"/>
      <c r="QGX307" s="206"/>
      <c r="QGY307" s="207"/>
      <c r="QGZ307" s="204"/>
      <c r="QHA307" s="35"/>
      <c r="QHB307" s="202"/>
      <c r="QHC307" s="203"/>
      <c r="QHD307" s="36"/>
      <c r="QHE307" s="36"/>
      <c r="QHF307" s="205"/>
      <c r="QHG307" s="33"/>
      <c r="QHH307" s="37"/>
      <c r="QHI307" s="37"/>
      <c r="QHJ307" s="37"/>
      <c r="QHK307" s="37"/>
      <c r="QHL307" s="37"/>
      <c r="QHM307" s="33"/>
      <c r="QHN307" s="206"/>
      <c r="QHO307" s="207"/>
      <c r="QHP307" s="204"/>
      <c r="QHQ307" s="35"/>
      <c r="QHR307" s="202"/>
      <c r="QHS307" s="203"/>
      <c r="QHT307" s="36"/>
      <c r="QHU307" s="36"/>
      <c r="QHV307" s="205"/>
      <c r="QHW307" s="33"/>
      <c r="QHX307" s="37"/>
      <c r="QHY307" s="37"/>
      <c r="QHZ307" s="37"/>
      <c r="QIA307" s="37"/>
      <c r="QIB307" s="37"/>
      <c r="QIC307" s="33"/>
      <c r="QID307" s="206"/>
      <c r="QIE307" s="207"/>
      <c r="QIF307" s="204"/>
      <c r="QIG307" s="35"/>
      <c r="QIH307" s="202"/>
      <c r="QII307" s="203"/>
      <c r="QIJ307" s="36"/>
      <c r="QIK307" s="36"/>
      <c r="QIL307" s="205"/>
      <c r="QIM307" s="33"/>
      <c r="QIN307" s="37"/>
      <c r="QIO307" s="37"/>
      <c r="QIP307" s="37"/>
      <c r="QIQ307" s="37"/>
      <c r="QIR307" s="37"/>
      <c r="QIS307" s="33"/>
      <c r="QIT307" s="206"/>
      <c r="QIU307" s="207"/>
      <c r="QIV307" s="204"/>
      <c r="QIW307" s="35"/>
      <c r="QIX307" s="202"/>
      <c r="QIY307" s="203"/>
      <c r="QIZ307" s="36"/>
      <c r="QJA307" s="36"/>
      <c r="QJB307" s="205"/>
      <c r="QJC307" s="33"/>
      <c r="QJD307" s="37"/>
      <c r="QJE307" s="37"/>
      <c r="QJF307" s="37"/>
      <c r="QJG307" s="37"/>
      <c r="QJH307" s="37"/>
      <c r="QJI307" s="33"/>
      <c r="QJJ307" s="206"/>
      <c r="QJK307" s="207"/>
      <c r="QJL307" s="204"/>
      <c r="QJM307" s="35"/>
      <c r="QJN307" s="202"/>
      <c r="QJO307" s="203"/>
      <c r="QJP307" s="36"/>
      <c r="QJQ307" s="36"/>
      <c r="QJR307" s="205"/>
      <c r="QJS307" s="33"/>
      <c r="QJT307" s="37"/>
      <c r="QJU307" s="37"/>
      <c r="QJV307" s="37"/>
      <c r="QJW307" s="37"/>
      <c r="QJX307" s="37"/>
      <c r="QJY307" s="33"/>
      <c r="QJZ307" s="206"/>
      <c r="QKA307" s="207"/>
      <c r="QKB307" s="204"/>
      <c r="QKC307" s="35"/>
      <c r="QKD307" s="202"/>
      <c r="QKE307" s="203"/>
      <c r="QKF307" s="36"/>
      <c r="QKG307" s="36"/>
      <c r="QKH307" s="205"/>
      <c r="QKI307" s="33"/>
      <c r="QKJ307" s="37"/>
      <c r="QKK307" s="37"/>
      <c r="QKL307" s="37"/>
      <c r="QKM307" s="37"/>
      <c r="QKN307" s="37"/>
      <c r="QKO307" s="33"/>
      <c r="QKP307" s="206"/>
      <c r="QKQ307" s="207"/>
      <c r="QKR307" s="204"/>
      <c r="QKS307" s="35"/>
      <c r="QKT307" s="202"/>
      <c r="QKU307" s="203"/>
      <c r="QKV307" s="36"/>
      <c r="QKW307" s="36"/>
      <c r="QKX307" s="205"/>
      <c r="QKY307" s="33"/>
      <c r="QKZ307" s="37"/>
      <c r="QLA307" s="37"/>
      <c r="QLB307" s="37"/>
      <c r="QLC307" s="37"/>
      <c r="QLD307" s="37"/>
      <c r="QLE307" s="33"/>
      <c r="QLF307" s="206"/>
      <c r="QLG307" s="207"/>
      <c r="QLH307" s="204"/>
      <c r="QLI307" s="35"/>
      <c r="QLJ307" s="202"/>
      <c r="QLK307" s="203"/>
      <c r="QLL307" s="36"/>
      <c r="QLM307" s="36"/>
      <c r="QLN307" s="205"/>
      <c r="QLO307" s="33"/>
      <c r="QLP307" s="37"/>
      <c r="QLQ307" s="37"/>
      <c r="QLR307" s="37"/>
      <c r="QLS307" s="37"/>
      <c r="QLT307" s="37"/>
      <c r="QLU307" s="33"/>
      <c r="QLV307" s="206"/>
      <c r="QLW307" s="207"/>
      <c r="QLX307" s="204"/>
      <c r="QLY307" s="35"/>
      <c r="QLZ307" s="202"/>
      <c r="QMA307" s="203"/>
      <c r="QMB307" s="36"/>
      <c r="QMC307" s="36"/>
      <c r="QMD307" s="205"/>
      <c r="QME307" s="33"/>
      <c r="QMF307" s="37"/>
      <c r="QMG307" s="37"/>
      <c r="QMH307" s="37"/>
      <c r="QMI307" s="37"/>
      <c r="QMJ307" s="37"/>
      <c r="QMK307" s="33"/>
      <c r="QML307" s="206"/>
      <c r="QMM307" s="207"/>
      <c r="QMN307" s="204"/>
      <c r="QMO307" s="35"/>
      <c r="QMP307" s="202"/>
      <c r="QMQ307" s="203"/>
      <c r="QMR307" s="36"/>
      <c r="QMS307" s="36"/>
      <c r="QMT307" s="205"/>
      <c r="QMU307" s="33"/>
      <c r="QMV307" s="37"/>
      <c r="QMW307" s="37"/>
      <c r="QMX307" s="37"/>
      <c r="QMY307" s="37"/>
      <c r="QMZ307" s="37"/>
      <c r="QNA307" s="33"/>
      <c r="QNB307" s="206"/>
      <c r="QNC307" s="207"/>
      <c r="QND307" s="204"/>
      <c r="QNE307" s="35"/>
      <c r="QNF307" s="202"/>
      <c r="QNG307" s="203"/>
      <c r="QNH307" s="36"/>
      <c r="QNI307" s="36"/>
      <c r="QNJ307" s="205"/>
      <c r="QNK307" s="33"/>
      <c r="QNL307" s="37"/>
      <c r="QNM307" s="37"/>
      <c r="QNN307" s="37"/>
      <c r="QNO307" s="37"/>
      <c r="QNP307" s="37"/>
      <c r="QNQ307" s="33"/>
      <c r="QNR307" s="206"/>
      <c r="QNS307" s="207"/>
      <c r="QNT307" s="204"/>
      <c r="QNU307" s="35"/>
      <c r="QNV307" s="202"/>
      <c r="QNW307" s="203"/>
      <c r="QNX307" s="36"/>
      <c r="QNY307" s="36"/>
      <c r="QNZ307" s="205"/>
      <c r="QOA307" s="33"/>
      <c r="QOB307" s="37"/>
      <c r="QOC307" s="37"/>
      <c r="QOD307" s="37"/>
      <c r="QOE307" s="37"/>
      <c r="QOF307" s="37"/>
      <c r="QOG307" s="33"/>
      <c r="QOH307" s="206"/>
      <c r="QOI307" s="207"/>
      <c r="QOJ307" s="204"/>
      <c r="QOK307" s="35"/>
      <c r="QOL307" s="202"/>
      <c r="QOM307" s="203"/>
      <c r="QON307" s="36"/>
      <c r="QOO307" s="36"/>
      <c r="QOP307" s="205"/>
      <c r="QOQ307" s="33"/>
      <c r="QOR307" s="37"/>
      <c r="QOS307" s="37"/>
      <c r="QOT307" s="37"/>
      <c r="QOU307" s="37"/>
      <c r="QOV307" s="37"/>
      <c r="QOW307" s="33"/>
      <c r="QOX307" s="206"/>
      <c r="QOY307" s="207"/>
      <c r="QOZ307" s="204"/>
      <c r="QPA307" s="35"/>
      <c r="QPB307" s="202"/>
      <c r="QPC307" s="203"/>
      <c r="QPD307" s="36"/>
      <c r="QPE307" s="36"/>
      <c r="QPF307" s="205"/>
      <c r="QPG307" s="33"/>
      <c r="QPH307" s="37"/>
      <c r="QPI307" s="37"/>
      <c r="QPJ307" s="37"/>
      <c r="QPK307" s="37"/>
      <c r="QPL307" s="37"/>
      <c r="QPM307" s="33"/>
      <c r="QPN307" s="206"/>
      <c r="QPO307" s="207"/>
      <c r="QPP307" s="204"/>
      <c r="QPQ307" s="35"/>
      <c r="QPR307" s="202"/>
      <c r="QPS307" s="203"/>
      <c r="QPT307" s="36"/>
      <c r="QPU307" s="36"/>
      <c r="QPV307" s="205"/>
      <c r="QPW307" s="33"/>
      <c r="QPX307" s="37"/>
      <c r="QPY307" s="37"/>
      <c r="QPZ307" s="37"/>
      <c r="QQA307" s="37"/>
      <c r="QQB307" s="37"/>
      <c r="QQC307" s="33"/>
      <c r="QQD307" s="206"/>
      <c r="QQE307" s="207"/>
      <c r="QQF307" s="204"/>
      <c r="QQG307" s="35"/>
      <c r="QQH307" s="202"/>
      <c r="QQI307" s="203"/>
      <c r="QQJ307" s="36"/>
      <c r="QQK307" s="36"/>
      <c r="QQL307" s="205"/>
      <c r="QQM307" s="33"/>
      <c r="QQN307" s="37"/>
      <c r="QQO307" s="37"/>
      <c r="QQP307" s="37"/>
      <c r="QQQ307" s="37"/>
      <c r="QQR307" s="37"/>
      <c r="QQS307" s="33"/>
      <c r="QQT307" s="206"/>
      <c r="QQU307" s="207"/>
      <c r="QQV307" s="204"/>
      <c r="QQW307" s="35"/>
      <c r="QQX307" s="202"/>
      <c r="QQY307" s="203"/>
      <c r="QQZ307" s="36"/>
      <c r="QRA307" s="36"/>
      <c r="QRB307" s="205"/>
      <c r="QRC307" s="33"/>
      <c r="QRD307" s="37"/>
      <c r="QRE307" s="37"/>
      <c r="QRF307" s="37"/>
      <c r="QRG307" s="37"/>
      <c r="QRH307" s="37"/>
      <c r="QRI307" s="33"/>
      <c r="QRJ307" s="206"/>
      <c r="QRK307" s="207"/>
      <c r="QRL307" s="204"/>
      <c r="QRM307" s="35"/>
      <c r="QRN307" s="202"/>
      <c r="QRO307" s="203"/>
      <c r="QRP307" s="36"/>
      <c r="QRQ307" s="36"/>
      <c r="QRR307" s="205"/>
      <c r="QRS307" s="33"/>
      <c r="QRT307" s="37"/>
      <c r="QRU307" s="37"/>
      <c r="QRV307" s="37"/>
      <c r="QRW307" s="37"/>
      <c r="QRX307" s="37"/>
      <c r="QRY307" s="33"/>
      <c r="QRZ307" s="206"/>
      <c r="QSA307" s="207"/>
      <c r="QSB307" s="204"/>
      <c r="QSC307" s="35"/>
      <c r="QSD307" s="202"/>
      <c r="QSE307" s="203"/>
      <c r="QSF307" s="36"/>
      <c r="QSG307" s="36"/>
      <c r="QSH307" s="205"/>
      <c r="QSI307" s="33"/>
      <c r="QSJ307" s="37"/>
      <c r="QSK307" s="37"/>
      <c r="QSL307" s="37"/>
      <c r="QSM307" s="37"/>
      <c r="QSN307" s="37"/>
      <c r="QSO307" s="33"/>
      <c r="QSP307" s="206"/>
      <c r="QSQ307" s="207"/>
      <c r="QSR307" s="204"/>
      <c r="QSS307" s="35"/>
      <c r="QST307" s="202"/>
      <c r="QSU307" s="203"/>
      <c r="QSV307" s="36"/>
      <c r="QSW307" s="36"/>
      <c r="QSX307" s="205"/>
      <c r="QSY307" s="33"/>
      <c r="QSZ307" s="37"/>
      <c r="QTA307" s="37"/>
      <c r="QTB307" s="37"/>
      <c r="QTC307" s="37"/>
      <c r="QTD307" s="37"/>
      <c r="QTE307" s="33"/>
      <c r="QTF307" s="206"/>
      <c r="QTG307" s="207"/>
      <c r="QTH307" s="204"/>
      <c r="QTI307" s="35"/>
      <c r="QTJ307" s="202"/>
      <c r="QTK307" s="203"/>
      <c r="QTL307" s="36"/>
      <c r="QTM307" s="36"/>
      <c r="QTN307" s="205"/>
      <c r="QTO307" s="33"/>
      <c r="QTP307" s="37"/>
      <c r="QTQ307" s="37"/>
      <c r="QTR307" s="37"/>
      <c r="QTS307" s="37"/>
      <c r="QTT307" s="37"/>
      <c r="QTU307" s="33"/>
      <c r="QTV307" s="206"/>
      <c r="QTW307" s="207"/>
      <c r="QTX307" s="204"/>
      <c r="QTY307" s="35"/>
      <c r="QTZ307" s="202"/>
      <c r="QUA307" s="203"/>
      <c r="QUB307" s="36"/>
      <c r="QUC307" s="36"/>
      <c r="QUD307" s="205"/>
      <c r="QUE307" s="33"/>
      <c r="QUF307" s="37"/>
      <c r="QUG307" s="37"/>
      <c r="QUH307" s="37"/>
      <c r="QUI307" s="37"/>
      <c r="QUJ307" s="37"/>
      <c r="QUK307" s="33"/>
      <c r="QUL307" s="206"/>
      <c r="QUM307" s="207"/>
      <c r="QUN307" s="204"/>
      <c r="QUO307" s="35"/>
      <c r="QUP307" s="202"/>
      <c r="QUQ307" s="203"/>
      <c r="QUR307" s="36"/>
      <c r="QUS307" s="36"/>
      <c r="QUT307" s="205"/>
      <c r="QUU307" s="33"/>
      <c r="QUV307" s="37"/>
      <c r="QUW307" s="37"/>
      <c r="QUX307" s="37"/>
      <c r="QUY307" s="37"/>
      <c r="QUZ307" s="37"/>
      <c r="QVA307" s="33"/>
      <c r="QVB307" s="206"/>
      <c r="QVC307" s="207"/>
      <c r="QVD307" s="204"/>
      <c r="QVE307" s="35"/>
      <c r="QVF307" s="202"/>
      <c r="QVG307" s="203"/>
      <c r="QVH307" s="36"/>
      <c r="QVI307" s="36"/>
      <c r="QVJ307" s="205"/>
      <c r="QVK307" s="33"/>
      <c r="QVL307" s="37"/>
      <c r="QVM307" s="37"/>
      <c r="QVN307" s="37"/>
      <c r="QVO307" s="37"/>
      <c r="QVP307" s="37"/>
      <c r="QVQ307" s="33"/>
      <c r="QVR307" s="206"/>
      <c r="QVS307" s="207"/>
      <c r="QVT307" s="204"/>
      <c r="QVU307" s="35"/>
      <c r="QVV307" s="202"/>
      <c r="QVW307" s="203"/>
      <c r="QVX307" s="36"/>
      <c r="QVY307" s="36"/>
      <c r="QVZ307" s="205"/>
      <c r="QWA307" s="33"/>
      <c r="QWB307" s="37"/>
      <c r="QWC307" s="37"/>
      <c r="QWD307" s="37"/>
      <c r="QWE307" s="37"/>
      <c r="QWF307" s="37"/>
      <c r="QWG307" s="33"/>
      <c r="QWH307" s="206"/>
      <c r="QWI307" s="207"/>
      <c r="QWJ307" s="204"/>
      <c r="QWK307" s="35"/>
      <c r="QWL307" s="202"/>
      <c r="QWM307" s="203"/>
      <c r="QWN307" s="36"/>
      <c r="QWO307" s="36"/>
      <c r="QWP307" s="205"/>
      <c r="QWQ307" s="33"/>
      <c r="QWR307" s="37"/>
      <c r="QWS307" s="37"/>
      <c r="QWT307" s="37"/>
      <c r="QWU307" s="37"/>
      <c r="QWV307" s="37"/>
      <c r="QWW307" s="33"/>
      <c r="QWX307" s="206"/>
      <c r="QWY307" s="207"/>
      <c r="QWZ307" s="204"/>
      <c r="QXA307" s="35"/>
      <c r="QXB307" s="202"/>
      <c r="QXC307" s="203"/>
      <c r="QXD307" s="36"/>
      <c r="QXE307" s="36"/>
      <c r="QXF307" s="205"/>
      <c r="QXG307" s="33"/>
      <c r="QXH307" s="37"/>
      <c r="QXI307" s="37"/>
      <c r="QXJ307" s="37"/>
      <c r="QXK307" s="37"/>
      <c r="QXL307" s="37"/>
      <c r="QXM307" s="33"/>
      <c r="QXN307" s="206"/>
      <c r="QXO307" s="207"/>
      <c r="QXP307" s="204"/>
      <c r="QXQ307" s="35"/>
      <c r="QXR307" s="202"/>
      <c r="QXS307" s="203"/>
      <c r="QXT307" s="36"/>
      <c r="QXU307" s="36"/>
      <c r="QXV307" s="205"/>
      <c r="QXW307" s="33"/>
      <c r="QXX307" s="37"/>
      <c r="QXY307" s="37"/>
      <c r="QXZ307" s="37"/>
      <c r="QYA307" s="37"/>
      <c r="QYB307" s="37"/>
      <c r="QYC307" s="33"/>
      <c r="QYD307" s="206"/>
      <c r="QYE307" s="207"/>
      <c r="QYF307" s="204"/>
      <c r="QYG307" s="35"/>
      <c r="QYH307" s="202"/>
      <c r="QYI307" s="203"/>
      <c r="QYJ307" s="36"/>
      <c r="QYK307" s="36"/>
      <c r="QYL307" s="205"/>
      <c r="QYM307" s="33"/>
      <c r="QYN307" s="37"/>
      <c r="QYO307" s="37"/>
      <c r="QYP307" s="37"/>
      <c r="QYQ307" s="37"/>
      <c r="QYR307" s="37"/>
      <c r="QYS307" s="33"/>
      <c r="QYT307" s="206"/>
      <c r="QYU307" s="207"/>
      <c r="QYV307" s="204"/>
      <c r="QYW307" s="35"/>
      <c r="QYX307" s="202"/>
      <c r="QYY307" s="203"/>
      <c r="QYZ307" s="36"/>
      <c r="QZA307" s="36"/>
      <c r="QZB307" s="205"/>
      <c r="QZC307" s="33"/>
      <c r="QZD307" s="37"/>
      <c r="QZE307" s="37"/>
      <c r="QZF307" s="37"/>
      <c r="QZG307" s="37"/>
      <c r="QZH307" s="37"/>
      <c r="QZI307" s="33"/>
      <c r="QZJ307" s="206"/>
      <c r="QZK307" s="207"/>
      <c r="QZL307" s="204"/>
      <c r="QZM307" s="35"/>
      <c r="QZN307" s="202"/>
      <c r="QZO307" s="203"/>
      <c r="QZP307" s="36"/>
      <c r="QZQ307" s="36"/>
      <c r="QZR307" s="205"/>
      <c r="QZS307" s="33"/>
      <c r="QZT307" s="37"/>
      <c r="QZU307" s="37"/>
      <c r="QZV307" s="37"/>
      <c r="QZW307" s="37"/>
      <c r="QZX307" s="37"/>
      <c r="QZY307" s="33"/>
      <c r="QZZ307" s="206"/>
      <c r="RAA307" s="207"/>
      <c r="RAB307" s="204"/>
      <c r="RAC307" s="35"/>
      <c r="RAD307" s="202"/>
      <c r="RAE307" s="203"/>
      <c r="RAF307" s="36"/>
      <c r="RAG307" s="36"/>
      <c r="RAH307" s="205"/>
      <c r="RAI307" s="33"/>
      <c r="RAJ307" s="37"/>
      <c r="RAK307" s="37"/>
      <c r="RAL307" s="37"/>
      <c r="RAM307" s="37"/>
      <c r="RAN307" s="37"/>
      <c r="RAO307" s="33"/>
      <c r="RAP307" s="206"/>
      <c r="RAQ307" s="207"/>
      <c r="RAR307" s="204"/>
      <c r="RAS307" s="35"/>
      <c r="RAT307" s="202"/>
      <c r="RAU307" s="203"/>
      <c r="RAV307" s="36"/>
      <c r="RAW307" s="36"/>
      <c r="RAX307" s="205"/>
      <c r="RAY307" s="33"/>
      <c r="RAZ307" s="37"/>
      <c r="RBA307" s="37"/>
      <c r="RBB307" s="37"/>
      <c r="RBC307" s="37"/>
      <c r="RBD307" s="37"/>
      <c r="RBE307" s="33"/>
      <c r="RBF307" s="206"/>
      <c r="RBG307" s="207"/>
      <c r="RBH307" s="204"/>
      <c r="RBI307" s="35"/>
      <c r="RBJ307" s="202"/>
      <c r="RBK307" s="203"/>
      <c r="RBL307" s="36"/>
      <c r="RBM307" s="36"/>
      <c r="RBN307" s="205"/>
      <c r="RBO307" s="33"/>
      <c r="RBP307" s="37"/>
      <c r="RBQ307" s="37"/>
      <c r="RBR307" s="37"/>
      <c r="RBS307" s="37"/>
      <c r="RBT307" s="37"/>
      <c r="RBU307" s="33"/>
      <c r="RBV307" s="206"/>
      <c r="RBW307" s="207"/>
      <c r="RBX307" s="204"/>
      <c r="RBY307" s="35"/>
      <c r="RBZ307" s="202"/>
      <c r="RCA307" s="203"/>
      <c r="RCB307" s="36"/>
      <c r="RCC307" s="36"/>
      <c r="RCD307" s="205"/>
      <c r="RCE307" s="33"/>
      <c r="RCF307" s="37"/>
      <c r="RCG307" s="37"/>
      <c r="RCH307" s="37"/>
      <c r="RCI307" s="37"/>
      <c r="RCJ307" s="37"/>
      <c r="RCK307" s="33"/>
      <c r="RCL307" s="206"/>
      <c r="RCM307" s="207"/>
      <c r="RCN307" s="204"/>
      <c r="RCO307" s="35"/>
      <c r="RCP307" s="202"/>
      <c r="RCQ307" s="203"/>
      <c r="RCR307" s="36"/>
      <c r="RCS307" s="36"/>
      <c r="RCT307" s="205"/>
      <c r="RCU307" s="33"/>
      <c r="RCV307" s="37"/>
      <c r="RCW307" s="37"/>
      <c r="RCX307" s="37"/>
      <c r="RCY307" s="37"/>
      <c r="RCZ307" s="37"/>
      <c r="RDA307" s="33"/>
      <c r="RDB307" s="206"/>
      <c r="RDC307" s="207"/>
      <c r="RDD307" s="204"/>
      <c r="RDE307" s="35"/>
      <c r="RDF307" s="202"/>
      <c r="RDG307" s="203"/>
      <c r="RDH307" s="36"/>
      <c r="RDI307" s="36"/>
      <c r="RDJ307" s="205"/>
      <c r="RDK307" s="33"/>
      <c r="RDL307" s="37"/>
      <c r="RDM307" s="37"/>
      <c r="RDN307" s="37"/>
      <c r="RDO307" s="37"/>
      <c r="RDP307" s="37"/>
      <c r="RDQ307" s="33"/>
      <c r="RDR307" s="206"/>
      <c r="RDS307" s="207"/>
      <c r="RDT307" s="204"/>
      <c r="RDU307" s="35"/>
      <c r="RDV307" s="202"/>
      <c r="RDW307" s="203"/>
      <c r="RDX307" s="36"/>
      <c r="RDY307" s="36"/>
      <c r="RDZ307" s="205"/>
      <c r="REA307" s="33"/>
      <c r="REB307" s="37"/>
      <c r="REC307" s="37"/>
      <c r="RED307" s="37"/>
      <c r="REE307" s="37"/>
      <c r="REF307" s="37"/>
      <c r="REG307" s="33"/>
      <c r="REH307" s="206"/>
      <c r="REI307" s="207"/>
      <c r="REJ307" s="204"/>
      <c r="REK307" s="35"/>
      <c r="REL307" s="202"/>
      <c r="REM307" s="203"/>
      <c r="REN307" s="36"/>
      <c r="REO307" s="36"/>
      <c r="REP307" s="205"/>
      <c r="REQ307" s="33"/>
      <c r="RER307" s="37"/>
      <c r="RES307" s="37"/>
      <c r="RET307" s="37"/>
      <c r="REU307" s="37"/>
      <c r="REV307" s="37"/>
      <c r="REW307" s="33"/>
      <c r="REX307" s="206"/>
      <c r="REY307" s="207"/>
      <c r="REZ307" s="204"/>
      <c r="RFA307" s="35"/>
      <c r="RFB307" s="202"/>
      <c r="RFC307" s="203"/>
      <c r="RFD307" s="36"/>
      <c r="RFE307" s="36"/>
      <c r="RFF307" s="205"/>
      <c r="RFG307" s="33"/>
      <c r="RFH307" s="37"/>
      <c r="RFI307" s="37"/>
      <c r="RFJ307" s="37"/>
      <c r="RFK307" s="37"/>
      <c r="RFL307" s="37"/>
      <c r="RFM307" s="33"/>
      <c r="RFN307" s="206"/>
      <c r="RFO307" s="207"/>
      <c r="RFP307" s="204"/>
      <c r="RFQ307" s="35"/>
      <c r="RFR307" s="202"/>
      <c r="RFS307" s="203"/>
      <c r="RFT307" s="36"/>
      <c r="RFU307" s="36"/>
      <c r="RFV307" s="205"/>
      <c r="RFW307" s="33"/>
      <c r="RFX307" s="37"/>
      <c r="RFY307" s="37"/>
      <c r="RFZ307" s="37"/>
      <c r="RGA307" s="37"/>
      <c r="RGB307" s="37"/>
      <c r="RGC307" s="33"/>
      <c r="RGD307" s="206"/>
      <c r="RGE307" s="207"/>
      <c r="RGF307" s="204"/>
      <c r="RGG307" s="35"/>
      <c r="RGH307" s="202"/>
      <c r="RGI307" s="203"/>
      <c r="RGJ307" s="36"/>
      <c r="RGK307" s="36"/>
      <c r="RGL307" s="205"/>
      <c r="RGM307" s="33"/>
      <c r="RGN307" s="37"/>
      <c r="RGO307" s="37"/>
      <c r="RGP307" s="37"/>
      <c r="RGQ307" s="37"/>
      <c r="RGR307" s="37"/>
      <c r="RGS307" s="33"/>
      <c r="RGT307" s="206"/>
      <c r="RGU307" s="207"/>
      <c r="RGV307" s="204"/>
      <c r="RGW307" s="35"/>
      <c r="RGX307" s="202"/>
      <c r="RGY307" s="203"/>
      <c r="RGZ307" s="36"/>
      <c r="RHA307" s="36"/>
      <c r="RHB307" s="205"/>
      <c r="RHC307" s="33"/>
      <c r="RHD307" s="37"/>
      <c r="RHE307" s="37"/>
      <c r="RHF307" s="37"/>
      <c r="RHG307" s="37"/>
      <c r="RHH307" s="37"/>
      <c r="RHI307" s="33"/>
      <c r="RHJ307" s="206"/>
      <c r="RHK307" s="207"/>
      <c r="RHL307" s="204"/>
      <c r="RHM307" s="35"/>
      <c r="RHN307" s="202"/>
      <c r="RHO307" s="203"/>
      <c r="RHP307" s="36"/>
      <c r="RHQ307" s="36"/>
      <c r="RHR307" s="205"/>
      <c r="RHS307" s="33"/>
      <c r="RHT307" s="37"/>
      <c r="RHU307" s="37"/>
      <c r="RHV307" s="37"/>
      <c r="RHW307" s="37"/>
      <c r="RHX307" s="37"/>
      <c r="RHY307" s="33"/>
      <c r="RHZ307" s="206"/>
      <c r="RIA307" s="207"/>
      <c r="RIB307" s="204"/>
      <c r="RIC307" s="35"/>
      <c r="RID307" s="202"/>
      <c r="RIE307" s="203"/>
      <c r="RIF307" s="36"/>
      <c r="RIG307" s="36"/>
      <c r="RIH307" s="205"/>
      <c r="RII307" s="33"/>
      <c r="RIJ307" s="37"/>
      <c r="RIK307" s="37"/>
      <c r="RIL307" s="37"/>
      <c r="RIM307" s="37"/>
      <c r="RIN307" s="37"/>
      <c r="RIO307" s="33"/>
      <c r="RIP307" s="206"/>
      <c r="RIQ307" s="207"/>
      <c r="RIR307" s="204"/>
      <c r="RIS307" s="35"/>
      <c r="RIT307" s="202"/>
      <c r="RIU307" s="203"/>
      <c r="RIV307" s="36"/>
      <c r="RIW307" s="36"/>
      <c r="RIX307" s="205"/>
      <c r="RIY307" s="33"/>
      <c r="RIZ307" s="37"/>
      <c r="RJA307" s="37"/>
      <c r="RJB307" s="37"/>
      <c r="RJC307" s="37"/>
      <c r="RJD307" s="37"/>
      <c r="RJE307" s="33"/>
      <c r="RJF307" s="206"/>
      <c r="RJG307" s="207"/>
      <c r="RJH307" s="204"/>
      <c r="RJI307" s="35"/>
      <c r="RJJ307" s="202"/>
      <c r="RJK307" s="203"/>
      <c r="RJL307" s="36"/>
      <c r="RJM307" s="36"/>
      <c r="RJN307" s="205"/>
      <c r="RJO307" s="33"/>
      <c r="RJP307" s="37"/>
      <c r="RJQ307" s="37"/>
      <c r="RJR307" s="37"/>
      <c r="RJS307" s="37"/>
      <c r="RJT307" s="37"/>
      <c r="RJU307" s="33"/>
      <c r="RJV307" s="206"/>
      <c r="RJW307" s="207"/>
      <c r="RJX307" s="204"/>
      <c r="RJY307" s="35"/>
      <c r="RJZ307" s="202"/>
      <c r="RKA307" s="203"/>
      <c r="RKB307" s="36"/>
      <c r="RKC307" s="36"/>
      <c r="RKD307" s="205"/>
      <c r="RKE307" s="33"/>
      <c r="RKF307" s="37"/>
      <c r="RKG307" s="37"/>
      <c r="RKH307" s="37"/>
      <c r="RKI307" s="37"/>
      <c r="RKJ307" s="37"/>
      <c r="RKK307" s="33"/>
      <c r="RKL307" s="206"/>
      <c r="RKM307" s="207"/>
      <c r="RKN307" s="204"/>
      <c r="RKO307" s="35"/>
      <c r="RKP307" s="202"/>
      <c r="RKQ307" s="203"/>
      <c r="RKR307" s="36"/>
      <c r="RKS307" s="36"/>
      <c r="RKT307" s="205"/>
      <c r="RKU307" s="33"/>
      <c r="RKV307" s="37"/>
      <c r="RKW307" s="37"/>
      <c r="RKX307" s="37"/>
      <c r="RKY307" s="37"/>
      <c r="RKZ307" s="37"/>
      <c r="RLA307" s="33"/>
      <c r="RLB307" s="206"/>
      <c r="RLC307" s="207"/>
      <c r="RLD307" s="204"/>
      <c r="RLE307" s="35"/>
      <c r="RLF307" s="202"/>
      <c r="RLG307" s="203"/>
      <c r="RLH307" s="36"/>
      <c r="RLI307" s="36"/>
      <c r="RLJ307" s="205"/>
      <c r="RLK307" s="33"/>
      <c r="RLL307" s="37"/>
      <c r="RLM307" s="37"/>
      <c r="RLN307" s="37"/>
      <c r="RLO307" s="37"/>
      <c r="RLP307" s="37"/>
      <c r="RLQ307" s="33"/>
      <c r="RLR307" s="206"/>
      <c r="RLS307" s="207"/>
      <c r="RLT307" s="204"/>
      <c r="RLU307" s="35"/>
      <c r="RLV307" s="202"/>
      <c r="RLW307" s="203"/>
      <c r="RLX307" s="36"/>
      <c r="RLY307" s="36"/>
      <c r="RLZ307" s="205"/>
      <c r="RMA307" s="33"/>
      <c r="RMB307" s="37"/>
      <c r="RMC307" s="37"/>
      <c r="RMD307" s="37"/>
      <c r="RME307" s="37"/>
      <c r="RMF307" s="37"/>
      <c r="RMG307" s="33"/>
      <c r="RMH307" s="206"/>
      <c r="RMI307" s="207"/>
      <c r="RMJ307" s="204"/>
      <c r="RMK307" s="35"/>
      <c r="RML307" s="202"/>
      <c r="RMM307" s="203"/>
      <c r="RMN307" s="36"/>
      <c r="RMO307" s="36"/>
      <c r="RMP307" s="205"/>
      <c r="RMQ307" s="33"/>
      <c r="RMR307" s="37"/>
      <c r="RMS307" s="37"/>
      <c r="RMT307" s="37"/>
      <c r="RMU307" s="37"/>
      <c r="RMV307" s="37"/>
      <c r="RMW307" s="33"/>
      <c r="RMX307" s="206"/>
      <c r="RMY307" s="207"/>
      <c r="RMZ307" s="204"/>
      <c r="RNA307" s="35"/>
      <c r="RNB307" s="202"/>
      <c r="RNC307" s="203"/>
      <c r="RND307" s="36"/>
      <c r="RNE307" s="36"/>
      <c r="RNF307" s="205"/>
      <c r="RNG307" s="33"/>
      <c r="RNH307" s="37"/>
      <c r="RNI307" s="37"/>
      <c r="RNJ307" s="37"/>
      <c r="RNK307" s="37"/>
      <c r="RNL307" s="37"/>
      <c r="RNM307" s="33"/>
      <c r="RNN307" s="206"/>
      <c r="RNO307" s="207"/>
      <c r="RNP307" s="204"/>
      <c r="RNQ307" s="35"/>
      <c r="RNR307" s="202"/>
      <c r="RNS307" s="203"/>
      <c r="RNT307" s="36"/>
      <c r="RNU307" s="36"/>
      <c r="RNV307" s="205"/>
      <c r="RNW307" s="33"/>
      <c r="RNX307" s="37"/>
      <c r="RNY307" s="37"/>
      <c r="RNZ307" s="37"/>
      <c r="ROA307" s="37"/>
      <c r="ROB307" s="37"/>
      <c r="ROC307" s="33"/>
      <c r="ROD307" s="206"/>
      <c r="ROE307" s="207"/>
      <c r="ROF307" s="204"/>
      <c r="ROG307" s="35"/>
      <c r="ROH307" s="202"/>
      <c r="ROI307" s="203"/>
      <c r="ROJ307" s="36"/>
      <c r="ROK307" s="36"/>
      <c r="ROL307" s="205"/>
      <c r="ROM307" s="33"/>
      <c r="RON307" s="37"/>
      <c r="ROO307" s="37"/>
      <c r="ROP307" s="37"/>
      <c r="ROQ307" s="37"/>
      <c r="ROR307" s="37"/>
      <c r="ROS307" s="33"/>
      <c r="ROT307" s="206"/>
      <c r="ROU307" s="207"/>
      <c r="ROV307" s="204"/>
      <c r="ROW307" s="35"/>
      <c r="ROX307" s="202"/>
      <c r="ROY307" s="203"/>
      <c r="ROZ307" s="36"/>
      <c r="RPA307" s="36"/>
      <c r="RPB307" s="205"/>
      <c r="RPC307" s="33"/>
      <c r="RPD307" s="37"/>
      <c r="RPE307" s="37"/>
      <c r="RPF307" s="37"/>
      <c r="RPG307" s="37"/>
      <c r="RPH307" s="37"/>
      <c r="RPI307" s="33"/>
      <c r="RPJ307" s="206"/>
      <c r="RPK307" s="207"/>
      <c r="RPL307" s="204"/>
      <c r="RPM307" s="35"/>
      <c r="RPN307" s="202"/>
      <c r="RPO307" s="203"/>
      <c r="RPP307" s="36"/>
      <c r="RPQ307" s="36"/>
      <c r="RPR307" s="205"/>
      <c r="RPS307" s="33"/>
      <c r="RPT307" s="37"/>
      <c r="RPU307" s="37"/>
      <c r="RPV307" s="37"/>
      <c r="RPW307" s="37"/>
      <c r="RPX307" s="37"/>
      <c r="RPY307" s="33"/>
      <c r="RPZ307" s="206"/>
      <c r="RQA307" s="207"/>
      <c r="RQB307" s="204"/>
      <c r="RQC307" s="35"/>
      <c r="RQD307" s="202"/>
      <c r="RQE307" s="203"/>
      <c r="RQF307" s="36"/>
      <c r="RQG307" s="36"/>
      <c r="RQH307" s="205"/>
      <c r="RQI307" s="33"/>
      <c r="RQJ307" s="37"/>
      <c r="RQK307" s="37"/>
      <c r="RQL307" s="37"/>
      <c r="RQM307" s="37"/>
      <c r="RQN307" s="37"/>
      <c r="RQO307" s="33"/>
      <c r="RQP307" s="206"/>
      <c r="RQQ307" s="207"/>
      <c r="RQR307" s="204"/>
      <c r="RQS307" s="35"/>
      <c r="RQT307" s="202"/>
      <c r="RQU307" s="203"/>
      <c r="RQV307" s="36"/>
      <c r="RQW307" s="36"/>
      <c r="RQX307" s="205"/>
      <c r="RQY307" s="33"/>
      <c r="RQZ307" s="37"/>
      <c r="RRA307" s="37"/>
      <c r="RRB307" s="37"/>
      <c r="RRC307" s="37"/>
      <c r="RRD307" s="37"/>
      <c r="RRE307" s="33"/>
      <c r="RRF307" s="206"/>
      <c r="RRG307" s="207"/>
      <c r="RRH307" s="204"/>
      <c r="RRI307" s="35"/>
      <c r="RRJ307" s="202"/>
      <c r="RRK307" s="203"/>
      <c r="RRL307" s="36"/>
      <c r="RRM307" s="36"/>
      <c r="RRN307" s="205"/>
      <c r="RRO307" s="33"/>
      <c r="RRP307" s="37"/>
      <c r="RRQ307" s="37"/>
      <c r="RRR307" s="37"/>
      <c r="RRS307" s="37"/>
      <c r="RRT307" s="37"/>
      <c r="RRU307" s="33"/>
      <c r="RRV307" s="206"/>
      <c r="RRW307" s="207"/>
      <c r="RRX307" s="204"/>
      <c r="RRY307" s="35"/>
      <c r="RRZ307" s="202"/>
      <c r="RSA307" s="203"/>
      <c r="RSB307" s="36"/>
      <c r="RSC307" s="36"/>
      <c r="RSD307" s="205"/>
      <c r="RSE307" s="33"/>
      <c r="RSF307" s="37"/>
      <c r="RSG307" s="37"/>
      <c r="RSH307" s="37"/>
      <c r="RSI307" s="37"/>
      <c r="RSJ307" s="37"/>
      <c r="RSK307" s="33"/>
      <c r="RSL307" s="206"/>
      <c r="RSM307" s="207"/>
      <c r="RSN307" s="204"/>
      <c r="RSO307" s="35"/>
      <c r="RSP307" s="202"/>
      <c r="RSQ307" s="203"/>
      <c r="RSR307" s="36"/>
      <c r="RSS307" s="36"/>
      <c r="RST307" s="205"/>
      <c r="RSU307" s="33"/>
      <c r="RSV307" s="37"/>
      <c r="RSW307" s="37"/>
      <c r="RSX307" s="37"/>
      <c r="RSY307" s="37"/>
      <c r="RSZ307" s="37"/>
      <c r="RTA307" s="33"/>
      <c r="RTB307" s="206"/>
      <c r="RTC307" s="207"/>
      <c r="RTD307" s="204"/>
      <c r="RTE307" s="35"/>
      <c r="RTF307" s="202"/>
      <c r="RTG307" s="203"/>
      <c r="RTH307" s="36"/>
      <c r="RTI307" s="36"/>
      <c r="RTJ307" s="205"/>
      <c r="RTK307" s="33"/>
      <c r="RTL307" s="37"/>
      <c r="RTM307" s="37"/>
      <c r="RTN307" s="37"/>
      <c r="RTO307" s="37"/>
      <c r="RTP307" s="37"/>
      <c r="RTQ307" s="33"/>
      <c r="RTR307" s="206"/>
      <c r="RTS307" s="207"/>
      <c r="RTT307" s="204"/>
      <c r="RTU307" s="35"/>
      <c r="RTV307" s="202"/>
      <c r="RTW307" s="203"/>
      <c r="RTX307" s="36"/>
      <c r="RTY307" s="36"/>
      <c r="RTZ307" s="205"/>
      <c r="RUA307" s="33"/>
      <c r="RUB307" s="37"/>
      <c r="RUC307" s="37"/>
      <c r="RUD307" s="37"/>
      <c r="RUE307" s="37"/>
      <c r="RUF307" s="37"/>
      <c r="RUG307" s="33"/>
      <c r="RUH307" s="206"/>
      <c r="RUI307" s="207"/>
      <c r="RUJ307" s="204"/>
      <c r="RUK307" s="35"/>
      <c r="RUL307" s="202"/>
      <c r="RUM307" s="203"/>
      <c r="RUN307" s="36"/>
      <c r="RUO307" s="36"/>
      <c r="RUP307" s="205"/>
      <c r="RUQ307" s="33"/>
      <c r="RUR307" s="37"/>
      <c r="RUS307" s="37"/>
      <c r="RUT307" s="37"/>
      <c r="RUU307" s="37"/>
      <c r="RUV307" s="37"/>
      <c r="RUW307" s="33"/>
      <c r="RUX307" s="206"/>
      <c r="RUY307" s="207"/>
      <c r="RUZ307" s="204"/>
      <c r="RVA307" s="35"/>
      <c r="RVB307" s="202"/>
      <c r="RVC307" s="203"/>
      <c r="RVD307" s="36"/>
      <c r="RVE307" s="36"/>
      <c r="RVF307" s="205"/>
      <c r="RVG307" s="33"/>
      <c r="RVH307" s="37"/>
      <c r="RVI307" s="37"/>
      <c r="RVJ307" s="37"/>
      <c r="RVK307" s="37"/>
      <c r="RVL307" s="37"/>
      <c r="RVM307" s="33"/>
      <c r="RVN307" s="206"/>
      <c r="RVO307" s="207"/>
      <c r="RVP307" s="204"/>
      <c r="RVQ307" s="35"/>
      <c r="RVR307" s="202"/>
      <c r="RVS307" s="203"/>
      <c r="RVT307" s="36"/>
      <c r="RVU307" s="36"/>
      <c r="RVV307" s="205"/>
      <c r="RVW307" s="33"/>
      <c r="RVX307" s="37"/>
      <c r="RVY307" s="37"/>
      <c r="RVZ307" s="37"/>
      <c r="RWA307" s="37"/>
      <c r="RWB307" s="37"/>
      <c r="RWC307" s="33"/>
      <c r="RWD307" s="206"/>
      <c r="RWE307" s="207"/>
      <c r="RWF307" s="204"/>
      <c r="RWG307" s="35"/>
      <c r="RWH307" s="202"/>
      <c r="RWI307" s="203"/>
      <c r="RWJ307" s="36"/>
      <c r="RWK307" s="36"/>
      <c r="RWL307" s="205"/>
      <c r="RWM307" s="33"/>
      <c r="RWN307" s="37"/>
      <c r="RWO307" s="37"/>
      <c r="RWP307" s="37"/>
      <c r="RWQ307" s="37"/>
      <c r="RWR307" s="37"/>
      <c r="RWS307" s="33"/>
      <c r="RWT307" s="206"/>
      <c r="RWU307" s="207"/>
      <c r="RWV307" s="204"/>
      <c r="RWW307" s="35"/>
      <c r="RWX307" s="202"/>
      <c r="RWY307" s="203"/>
      <c r="RWZ307" s="36"/>
      <c r="RXA307" s="36"/>
      <c r="RXB307" s="205"/>
      <c r="RXC307" s="33"/>
      <c r="RXD307" s="37"/>
      <c r="RXE307" s="37"/>
      <c r="RXF307" s="37"/>
      <c r="RXG307" s="37"/>
      <c r="RXH307" s="37"/>
      <c r="RXI307" s="33"/>
      <c r="RXJ307" s="206"/>
      <c r="RXK307" s="207"/>
      <c r="RXL307" s="204"/>
      <c r="RXM307" s="35"/>
      <c r="RXN307" s="202"/>
      <c r="RXO307" s="203"/>
      <c r="RXP307" s="36"/>
      <c r="RXQ307" s="36"/>
      <c r="RXR307" s="205"/>
      <c r="RXS307" s="33"/>
      <c r="RXT307" s="37"/>
      <c r="RXU307" s="37"/>
      <c r="RXV307" s="37"/>
      <c r="RXW307" s="37"/>
      <c r="RXX307" s="37"/>
      <c r="RXY307" s="33"/>
      <c r="RXZ307" s="206"/>
      <c r="RYA307" s="207"/>
      <c r="RYB307" s="204"/>
      <c r="RYC307" s="35"/>
      <c r="RYD307" s="202"/>
      <c r="RYE307" s="203"/>
      <c r="RYF307" s="36"/>
      <c r="RYG307" s="36"/>
      <c r="RYH307" s="205"/>
      <c r="RYI307" s="33"/>
      <c r="RYJ307" s="37"/>
      <c r="RYK307" s="37"/>
      <c r="RYL307" s="37"/>
      <c r="RYM307" s="37"/>
      <c r="RYN307" s="37"/>
      <c r="RYO307" s="33"/>
      <c r="RYP307" s="206"/>
      <c r="RYQ307" s="207"/>
      <c r="RYR307" s="204"/>
      <c r="RYS307" s="35"/>
      <c r="RYT307" s="202"/>
      <c r="RYU307" s="203"/>
      <c r="RYV307" s="36"/>
      <c r="RYW307" s="36"/>
      <c r="RYX307" s="205"/>
      <c r="RYY307" s="33"/>
      <c r="RYZ307" s="37"/>
      <c r="RZA307" s="37"/>
      <c r="RZB307" s="37"/>
      <c r="RZC307" s="37"/>
      <c r="RZD307" s="37"/>
      <c r="RZE307" s="33"/>
      <c r="RZF307" s="206"/>
      <c r="RZG307" s="207"/>
      <c r="RZH307" s="204"/>
      <c r="RZI307" s="35"/>
      <c r="RZJ307" s="202"/>
      <c r="RZK307" s="203"/>
      <c r="RZL307" s="36"/>
      <c r="RZM307" s="36"/>
      <c r="RZN307" s="205"/>
      <c r="RZO307" s="33"/>
      <c r="RZP307" s="37"/>
      <c r="RZQ307" s="37"/>
      <c r="RZR307" s="37"/>
      <c r="RZS307" s="37"/>
      <c r="RZT307" s="37"/>
      <c r="RZU307" s="33"/>
      <c r="RZV307" s="206"/>
      <c r="RZW307" s="207"/>
      <c r="RZX307" s="204"/>
      <c r="RZY307" s="35"/>
      <c r="RZZ307" s="202"/>
      <c r="SAA307" s="203"/>
      <c r="SAB307" s="36"/>
      <c r="SAC307" s="36"/>
      <c r="SAD307" s="205"/>
      <c r="SAE307" s="33"/>
      <c r="SAF307" s="37"/>
      <c r="SAG307" s="37"/>
      <c r="SAH307" s="37"/>
      <c r="SAI307" s="37"/>
      <c r="SAJ307" s="37"/>
      <c r="SAK307" s="33"/>
      <c r="SAL307" s="206"/>
      <c r="SAM307" s="207"/>
      <c r="SAN307" s="204"/>
      <c r="SAO307" s="35"/>
      <c r="SAP307" s="202"/>
      <c r="SAQ307" s="203"/>
      <c r="SAR307" s="36"/>
      <c r="SAS307" s="36"/>
      <c r="SAT307" s="205"/>
      <c r="SAU307" s="33"/>
      <c r="SAV307" s="37"/>
      <c r="SAW307" s="37"/>
      <c r="SAX307" s="37"/>
      <c r="SAY307" s="37"/>
      <c r="SAZ307" s="37"/>
      <c r="SBA307" s="33"/>
      <c r="SBB307" s="206"/>
      <c r="SBC307" s="207"/>
      <c r="SBD307" s="204"/>
      <c r="SBE307" s="35"/>
      <c r="SBF307" s="202"/>
      <c r="SBG307" s="203"/>
      <c r="SBH307" s="36"/>
      <c r="SBI307" s="36"/>
      <c r="SBJ307" s="205"/>
      <c r="SBK307" s="33"/>
      <c r="SBL307" s="37"/>
      <c r="SBM307" s="37"/>
      <c r="SBN307" s="37"/>
      <c r="SBO307" s="37"/>
      <c r="SBP307" s="37"/>
      <c r="SBQ307" s="33"/>
      <c r="SBR307" s="206"/>
      <c r="SBS307" s="207"/>
      <c r="SBT307" s="204"/>
      <c r="SBU307" s="35"/>
      <c r="SBV307" s="202"/>
      <c r="SBW307" s="203"/>
      <c r="SBX307" s="36"/>
      <c r="SBY307" s="36"/>
      <c r="SBZ307" s="205"/>
      <c r="SCA307" s="33"/>
      <c r="SCB307" s="37"/>
      <c r="SCC307" s="37"/>
      <c r="SCD307" s="37"/>
      <c r="SCE307" s="37"/>
      <c r="SCF307" s="37"/>
      <c r="SCG307" s="33"/>
      <c r="SCH307" s="206"/>
      <c r="SCI307" s="207"/>
      <c r="SCJ307" s="204"/>
      <c r="SCK307" s="35"/>
      <c r="SCL307" s="202"/>
      <c r="SCM307" s="203"/>
      <c r="SCN307" s="36"/>
      <c r="SCO307" s="36"/>
      <c r="SCP307" s="205"/>
      <c r="SCQ307" s="33"/>
      <c r="SCR307" s="37"/>
      <c r="SCS307" s="37"/>
      <c r="SCT307" s="37"/>
      <c r="SCU307" s="37"/>
      <c r="SCV307" s="37"/>
      <c r="SCW307" s="33"/>
      <c r="SCX307" s="206"/>
      <c r="SCY307" s="207"/>
      <c r="SCZ307" s="204"/>
      <c r="SDA307" s="35"/>
      <c r="SDB307" s="202"/>
      <c r="SDC307" s="203"/>
      <c r="SDD307" s="36"/>
      <c r="SDE307" s="36"/>
      <c r="SDF307" s="205"/>
      <c r="SDG307" s="33"/>
      <c r="SDH307" s="37"/>
      <c r="SDI307" s="37"/>
      <c r="SDJ307" s="37"/>
      <c r="SDK307" s="37"/>
      <c r="SDL307" s="37"/>
      <c r="SDM307" s="33"/>
      <c r="SDN307" s="206"/>
      <c r="SDO307" s="207"/>
      <c r="SDP307" s="204"/>
      <c r="SDQ307" s="35"/>
      <c r="SDR307" s="202"/>
      <c r="SDS307" s="203"/>
      <c r="SDT307" s="36"/>
      <c r="SDU307" s="36"/>
      <c r="SDV307" s="205"/>
      <c r="SDW307" s="33"/>
      <c r="SDX307" s="37"/>
      <c r="SDY307" s="37"/>
      <c r="SDZ307" s="37"/>
      <c r="SEA307" s="37"/>
      <c r="SEB307" s="37"/>
      <c r="SEC307" s="33"/>
      <c r="SED307" s="206"/>
      <c r="SEE307" s="207"/>
      <c r="SEF307" s="204"/>
      <c r="SEG307" s="35"/>
      <c r="SEH307" s="202"/>
      <c r="SEI307" s="203"/>
      <c r="SEJ307" s="36"/>
      <c r="SEK307" s="36"/>
      <c r="SEL307" s="205"/>
      <c r="SEM307" s="33"/>
      <c r="SEN307" s="37"/>
      <c r="SEO307" s="37"/>
      <c r="SEP307" s="37"/>
      <c r="SEQ307" s="37"/>
      <c r="SER307" s="37"/>
      <c r="SES307" s="33"/>
      <c r="SET307" s="206"/>
      <c r="SEU307" s="207"/>
      <c r="SEV307" s="204"/>
      <c r="SEW307" s="35"/>
      <c r="SEX307" s="202"/>
      <c r="SEY307" s="203"/>
      <c r="SEZ307" s="36"/>
      <c r="SFA307" s="36"/>
      <c r="SFB307" s="205"/>
      <c r="SFC307" s="33"/>
      <c r="SFD307" s="37"/>
      <c r="SFE307" s="37"/>
      <c r="SFF307" s="37"/>
      <c r="SFG307" s="37"/>
      <c r="SFH307" s="37"/>
      <c r="SFI307" s="33"/>
      <c r="SFJ307" s="206"/>
      <c r="SFK307" s="207"/>
      <c r="SFL307" s="204"/>
      <c r="SFM307" s="35"/>
      <c r="SFN307" s="202"/>
      <c r="SFO307" s="203"/>
      <c r="SFP307" s="36"/>
      <c r="SFQ307" s="36"/>
      <c r="SFR307" s="205"/>
      <c r="SFS307" s="33"/>
      <c r="SFT307" s="37"/>
      <c r="SFU307" s="37"/>
      <c r="SFV307" s="37"/>
      <c r="SFW307" s="37"/>
      <c r="SFX307" s="37"/>
      <c r="SFY307" s="33"/>
      <c r="SFZ307" s="206"/>
      <c r="SGA307" s="207"/>
      <c r="SGB307" s="204"/>
      <c r="SGC307" s="35"/>
      <c r="SGD307" s="202"/>
      <c r="SGE307" s="203"/>
      <c r="SGF307" s="36"/>
      <c r="SGG307" s="36"/>
      <c r="SGH307" s="205"/>
      <c r="SGI307" s="33"/>
      <c r="SGJ307" s="37"/>
      <c r="SGK307" s="37"/>
      <c r="SGL307" s="37"/>
      <c r="SGM307" s="37"/>
      <c r="SGN307" s="37"/>
      <c r="SGO307" s="33"/>
      <c r="SGP307" s="206"/>
      <c r="SGQ307" s="207"/>
      <c r="SGR307" s="204"/>
      <c r="SGS307" s="35"/>
      <c r="SGT307" s="202"/>
      <c r="SGU307" s="203"/>
      <c r="SGV307" s="36"/>
      <c r="SGW307" s="36"/>
      <c r="SGX307" s="205"/>
      <c r="SGY307" s="33"/>
      <c r="SGZ307" s="37"/>
      <c r="SHA307" s="37"/>
      <c r="SHB307" s="37"/>
      <c r="SHC307" s="37"/>
      <c r="SHD307" s="37"/>
      <c r="SHE307" s="33"/>
      <c r="SHF307" s="206"/>
      <c r="SHG307" s="207"/>
      <c r="SHH307" s="204"/>
      <c r="SHI307" s="35"/>
      <c r="SHJ307" s="202"/>
      <c r="SHK307" s="203"/>
      <c r="SHL307" s="36"/>
      <c r="SHM307" s="36"/>
      <c r="SHN307" s="205"/>
      <c r="SHO307" s="33"/>
      <c r="SHP307" s="37"/>
      <c r="SHQ307" s="37"/>
      <c r="SHR307" s="37"/>
      <c r="SHS307" s="37"/>
      <c r="SHT307" s="37"/>
      <c r="SHU307" s="33"/>
      <c r="SHV307" s="206"/>
      <c r="SHW307" s="207"/>
      <c r="SHX307" s="204"/>
      <c r="SHY307" s="35"/>
      <c r="SHZ307" s="202"/>
      <c r="SIA307" s="203"/>
      <c r="SIB307" s="36"/>
      <c r="SIC307" s="36"/>
      <c r="SID307" s="205"/>
      <c r="SIE307" s="33"/>
      <c r="SIF307" s="37"/>
      <c r="SIG307" s="37"/>
      <c r="SIH307" s="37"/>
      <c r="SII307" s="37"/>
      <c r="SIJ307" s="37"/>
      <c r="SIK307" s="33"/>
      <c r="SIL307" s="206"/>
      <c r="SIM307" s="207"/>
      <c r="SIN307" s="204"/>
      <c r="SIO307" s="35"/>
      <c r="SIP307" s="202"/>
      <c r="SIQ307" s="203"/>
      <c r="SIR307" s="36"/>
      <c r="SIS307" s="36"/>
      <c r="SIT307" s="205"/>
      <c r="SIU307" s="33"/>
      <c r="SIV307" s="37"/>
      <c r="SIW307" s="37"/>
      <c r="SIX307" s="37"/>
      <c r="SIY307" s="37"/>
      <c r="SIZ307" s="37"/>
      <c r="SJA307" s="33"/>
      <c r="SJB307" s="206"/>
      <c r="SJC307" s="207"/>
      <c r="SJD307" s="204"/>
      <c r="SJE307" s="35"/>
      <c r="SJF307" s="202"/>
      <c r="SJG307" s="203"/>
      <c r="SJH307" s="36"/>
      <c r="SJI307" s="36"/>
      <c r="SJJ307" s="205"/>
      <c r="SJK307" s="33"/>
      <c r="SJL307" s="37"/>
      <c r="SJM307" s="37"/>
      <c r="SJN307" s="37"/>
      <c r="SJO307" s="37"/>
      <c r="SJP307" s="37"/>
      <c r="SJQ307" s="33"/>
      <c r="SJR307" s="206"/>
      <c r="SJS307" s="207"/>
      <c r="SJT307" s="204"/>
      <c r="SJU307" s="35"/>
      <c r="SJV307" s="202"/>
      <c r="SJW307" s="203"/>
      <c r="SJX307" s="36"/>
      <c r="SJY307" s="36"/>
      <c r="SJZ307" s="205"/>
      <c r="SKA307" s="33"/>
      <c r="SKB307" s="37"/>
      <c r="SKC307" s="37"/>
      <c r="SKD307" s="37"/>
      <c r="SKE307" s="37"/>
      <c r="SKF307" s="37"/>
      <c r="SKG307" s="33"/>
      <c r="SKH307" s="206"/>
      <c r="SKI307" s="207"/>
      <c r="SKJ307" s="204"/>
      <c r="SKK307" s="35"/>
      <c r="SKL307" s="202"/>
      <c r="SKM307" s="203"/>
      <c r="SKN307" s="36"/>
      <c r="SKO307" s="36"/>
      <c r="SKP307" s="205"/>
      <c r="SKQ307" s="33"/>
      <c r="SKR307" s="37"/>
      <c r="SKS307" s="37"/>
      <c r="SKT307" s="37"/>
      <c r="SKU307" s="37"/>
      <c r="SKV307" s="37"/>
      <c r="SKW307" s="33"/>
      <c r="SKX307" s="206"/>
      <c r="SKY307" s="207"/>
      <c r="SKZ307" s="204"/>
      <c r="SLA307" s="35"/>
      <c r="SLB307" s="202"/>
      <c r="SLC307" s="203"/>
      <c r="SLD307" s="36"/>
      <c r="SLE307" s="36"/>
      <c r="SLF307" s="205"/>
      <c r="SLG307" s="33"/>
      <c r="SLH307" s="37"/>
      <c r="SLI307" s="37"/>
      <c r="SLJ307" s="37"/>
      <c r="SLK307" s="37"/>
      <c r="SLL307" s="37"/>
      <c r="SLM307" s="33"/>
      <c r="SLN307" s="206"/>
      <c r="SLO307" s="207"/>
      <c r="SLP307" s="204"/>
      <c r="SLQ307" s="35"/>
      <c r="SLR307" s="202"/>
      <c r="SLS307" s="203"/>
      <c r="SLT307" s="36"/>
      <c r="SLU307" s="36"/>
      <c r="SLV307" s="205"/>
      <c r="SLW307" s="33"/>
      <c r="SLX307" s="37"/>
      <c r="SLY307" s="37"/>
      <c r="SLZ307" s="37"/>
      <c r="SMA307" s="37"/>
      <c r="SMB307" s="37"/>
      <c r="SMC307" s="33"/>
      <c r="SMD307" s="206"/>
      <c r="SME307" s="207"/>
      <c r="SMF307" s="204"/>
      <c r="SMG307" s="35"/>
      <c r="SMH307" s="202"/>
      <c r="SMI307" s="203"/>
      <c r="SMJ307" s="36"/>
      <c r="SMK307" s="36"/>
      <c r="SML307" s="205"/>
      <c r="SMM307" s="33"/>
      <c r="SMN307" s="37"/>
      <c r="SMO307" s="37"/>
      <c r="SMP307" s="37"/>
      <c r="SMQ307" s="37"/>
      <c r="SMR307" s="37"/>
      <c r="SMS307" s="33"/>
      <c r="SMT307" s="206"/>
      <c r="SMU307" s="207"/>
      <c r="SMV307" s="204"/>
      <c r="SMW307" s="35"/>
      <c r="SMX307" s="202"/>
      <c r="SMY307" s="203"/>
      <c r="SMZ307" s="36"/>
      <c r="SNA307" s="36"/>
      <c r="SNB307" s="205"/>
      <c r="SNC307" s="33"/>
      <c r="SND307" s="37"/>
      <c r="SNE307" s="37"/>
      <c r="SNF307" s="37"/>
      <c r="SNG307" s="37"/>
      <c r="SNH307" s="37"/>
      <c r="SNI307" s="33"/>
      <c r="SNJ307" s="206"/>
      <c r="SNK307" s="207"/>
      <c r="SNL307" s="204"/>
      <c r="SNM307" s="35"/>
      <c r="SNN307" s="202"/>
      <c r="SNO307" s="203"/>
      <c r="SNP307" s="36"/>
      <c r="SNQ307" s="36"/>
      <c r="SNR307" s="205"/>
      <c r="SNS307" s="33"/>
      <c r="SNT307" s="37"/>
      <c r="SNU307" s="37"/>
      <c r="SNV307" s="37"/>
      <c r="SNW307" s="37"/>
      <c r="SNX307" s="37"/>
      <c r="SNY307" s="33"/>
      <c r="SNZ307" s="206"/>
      <c r="SOA307" s="207"/>
      <c r="SOB307" s="204"/>
      <c r="SOC307" s="35"/>
      <c r="SOD307" s="202"/>
      <c r="SOE307" s="203"/>
      <c r="SOF307" s="36"/>
      <c r="SOG307" s="36"/>
      <c r="SOH307" s="205"/>
      <c r="SOI307" s="33"/>
      <c r="SOJ307" s="37"/>
      <c r="SOK307" s="37"/>
      <c r="SOL307" s="37"/>
      <c r="SOM307" s="37"/>
      <c r="SON307" s="37"/>
      <c r="SOO307" s="33"/>
      <c r="SOP307" s="206"/>
      <c r="SOQ307" s="207"/>
      <c r="SOR307" s="204"/>
      <c r="SOS307" s="35"/>
      <c r="SOT307" s="202"/>
      <c r="SOU307" s="203"/>
      <c r="SOV307" s="36"/>
      <c r="SOW307" s="36"/>
      <c r="SOX307" s="205"/>
      <c r="SOY307" s="33"/>
      <c r="SOZ307" s="37"/>
      <c r="SPA307" s="37"/>
      <c r="SPB307" s="37"/>
      <c r="SPC307" s="37"/>
      <c r="SPD307" s="37"/>
      <c r="SPE307" s="33"/>
      <c r="SPF307" s="206"/>
      <c r="SPG307" s="207"/>
      <c r="SPH307" s="204"/>
      <c r="SPI307" s="35"/>
      <c r="SPJ307" s="202"/>
      <c r="SPK307" s="203"/>
      <c r="SPL307" s="36"/>
      <c r="SPM307" s="36"/>
      <c r="SPN307" s="205"/>
      <c r="SPO307" s="33"/>
      <c r="SPP307" s="37"/>
      <c r="SPQ307" s="37"/>
      <c r="SPR307" s="37"/>
      <c r="SPS307" s="37"/>
      <c r="SPT307" s="37"/>
      <c r="SPU307" s="33"/>
      <c r="SPV307" s="206"/>
      <c r="SPW307" s="207"/>
      <c r="SPX307" s="204"/>
      <c r="SPY307" s="35"/>
      <c r="SPZ307" s="202"/>
      <c r="SQA307" s="203"/>
      <c r="SQB307" s="36"/>
      <c r="SQC307" s="36"/>
      <c r="SQD307" s="205"/>
      <c r="SQE307" s="33"/>
      <c r="SQF307" s="37"/>
      <c r="SQG307" s="37"/>
      <c r="SQH307" s="37"/>
      <c r="SQI307" s="37"/>
      <c r="SQJ307" s="37"/>
      <c r="SQK307" s="33"/>
      <c r="SQL307" s="206"/>
      <c r="SQM307" s="207"/>
      <c r="SQN307" s="204"/>
      <c r="SQO307" s="35"/>
      <c r="SQP307" s="202"/>
      <c r="SQQ307" s="203"/>
      <c r="SQR307" s="36"/>
      <c r="SQS307" s="36"/>
      <c r="SQT307" s="205"/>
      <c r="SQU307" s="33"/>
      <c r="SQV307" s="37"/>
      <c r="SQW307" s="37"/>
      <c r="SQX307" s="37"/>
      <c r="SQY307" s="37"/>
      <c r="SQZ307" s="37"/>
      <c r="SRA307" s="33"/>
      <c r="SRB307" s="206"/>
      <c r="SRC307" s="207"/>
      <c r="SRD307" s="204"/>
      <c r="SRE307" s="35"/>
      <c r="SRF307" s="202"/>
      <c r="SRG307" s="203"/>
      <c r="SRH307" s="36"/>
      <c r="SRI307" s="36"/>
      <c r="SRJ307" s="205"/>
      <c r="SRK307" s="33"/>
      <c r="SRL307" s="37"/>
      <c r="SRM307" s="37"/>
      <c r="SRN307" s="37"/>
      <c r="SRO307" s="37"/>
      <c r="SRP307" s="37"/>
      <c r="SRQ307" s="33"/>
      <c r="SRR307" s="206"/>
      <c r="SRS307" s="207"/>
      <c r="SRT307" s="204"/>
      <c r="SRU307" s="35"/>
      <c r="SRV307" s="202"/>
      <c r="SRW307" s="203"/>
      <c r="SRX307" s="36"/>
      <c r="SRY307" s="36"/>
      <c r="SRZ307" s="205"/>
      <c r="SSA307" s="33"/>
      <c r="SSB307" s="37"/>
      <c r="SSC307" s="37"/>
      <c r="SSD307" s="37"/>
      <c r="SSE307" s="37"/>
      <c r="SSF307" s="37"/>
      <c r="SSG307" s="33"/>
      <c r="SSH307" s="206"/>
      <c r="SSI307" s="207"/>
      <c r="SSJ307" s="204"/>
      <c r="SSK307" s="35"/>
      <c r="SSL307" s="202"/>
      <c r="SSM307" s="203"/>
      <c r="SSN307" s="36"/>
      <c r="SSO307" s="36"/>
      <c r="SSP307" s="205"/>
      <c r="SSQ307" s="33"/>
      <c r="SSR307" s="37"/>
      <c r="SSS307" s="37"/>
      <c r="SST307" s="37"/>
      <c r="SSU307" s="37"/>
      <c r="SSV307" s="37"/>
      <c r="SSW307" s="33"/>
      <c r="SSX307" s="206"/>
      <c r="SSY307" s="207"/>
      <c r="SSZ307" s="204"/>
      <c r="STA307" s="35"/>
      <c r="STB307" s="202"/>
      <c r="STC307" s="203"/>
      <c r="STD307" s="36"/>
      <c r="STE307" s="36"/>
      <c r="STF307" s="205"/>
      <c r="STG307" s="33"/>
      <c r="STH307" s="37"/>
      <c r="STI307" s="37"/>
      <c r="STJ307" s="37"/>
      <c r="STK307" s="37"/>
      <c r="STL307" s="37"/>
      <c r="STM307" s="33"/>
      <c r="STN307" s="206"/>
      <c r="STO307" s="207"/>
      <c r="STP307" s="204"/>
      <c r="STQ307" s="35"/>
      <c r="STR307" s="202"/>
      <c r="STS307" s="203"/>
      <c r="STT307" s="36"/>
      <c r="STU307" s="36"/>
      <c r="STV307" s="205"/>
      <c r="STW307" s="33"/>
      <c r="STX307" s="37"/>
      <c r="STY307" s="37"/>
      <c r="STZ307" s="37"/>
      <c r="SUA307" s="37"/>
      <c r="SUB307" s="37"/>
      <c r="SUC307" s="33"/>
      <c r="SUD307" s="206"/>
      <c r="SUE307" s="207"/>
      <c r="SUF307" s="204"/>
      <c r="SUG307" s="35"/>
      <c r="SUH307" s="202"/>
      <c r="SUI307" s="203"/>
      <c r="SUJ307" s="36"/>
      <c r="SUK307" s="36"/>
      <c r="SUL307" s="205"/>
      <c r="SUM307" s="33"/>
      <c r="SUN307" s="37"/>
      <c r="SUO307" s="37"/>
      <c r="SUP307" s="37"/>
      <c r="SUQ307" s="37"/>
      <c r="SUR307" s="37"/>
      <c r="SUS307" s="33"/>
      <c r="SUT307" s="206"/>
      <c r="SUU307" s="207"/>
      <c r="SUV307" s="204"/>
      <c r="SUW307" s="35"/>
      <c r="SUX307" s="202"/>
      <c r="SUY307" s="203"/>
      <c r="SUZ307" s="36"/>
      <c r="SVA307" s="36"/>
      <c r="SVB307" s="205"/>
      <c r="SVC307" s="33"/>
      <c r="SVD307" s="37"/>
      <c r="SVE307" s="37"/>
      <c r="SVF307" s="37"/>
      <c r="SVG307" s="37"/>
      <c r="SVH307" s="37"/>
      <c r="SVI307" s="33"/>
      <c r="SVJ307" s="206"/>
      <c r="SVK307" s="207"/>
      <c r="SVL307" s="204"/>
      <c r="SVM307" s="35"/>
      <c r="SVN307" s="202"/>
      <c r="SVO307" s="203"/>
      <c r="SVP307" s="36"/>
      <c r="SVQ307" s="36"/>
      <c r="SVR307" s="205"/>
      <c r="SVS307" s="33"/>
      <c r="SVT307" s="37"/>
      <c r="SVU307" s="37"/>
      <c r="SVV307" s="37"/>
      <c r="SVW307" s="37"/>
      <c r="SVX307" s="37"/>
      <c r="SVY307" s="33"/>
      <c r="SVZ307" s="206"/>
      <c r="SWA307" s="207"/>
      <c r="SWB307" s="204"/>
      <c r="SWC307" s="35"/>
      <c r="SWD307" s="202"/>
      <c r="SWE307" s="203"/>
      <c r="SWF307" s="36"/>
      <c r="SWG307" s="36"/>
      <c r="SWH307" s="205"/>
      <c r="SWI307" s="33"/>
      <c r="SWJ307" s="37"/>
      <c r="SWK307" s="37"/>
      <c r="SWL307" s="37"/>
      <c r="SWM307" s="37"/>
      <c r="SWN307" s="37"/>
      <c r="SWO307" s="33"/>
      <c r="SWP307" s="206"/>
      <c r="SWQ307" s="207"/>
      <c r="SWR307" s="204"/>
      <c r="SWS307" s="35"/>
      <c r="SWT307" s="202"/>
      <c r="SWU307" s="203"/>
      <c r="SWV307" s="36"/>
      <c r="SWW307" s="36"/>
      <c r="SWX307" s="205"/>
      <c r="SWY307" s="33"/>
      <c r="SWZ307" s="37"/>
      <c r="SXA307" s="37"/>
      <c r="SXB307" s="37"/>
      <c r="SXC307" s="37"/>
      <c r="SXD307" s="37"/>
      <c r="SXE307" s="33"/>
      <c r="SXF307" s="206"/>
      <c r="SXG307" s="207"/>
      <c r="SXH307" s="204"/>
      <c r="SXI307" s="35"/>
      <c r="SXJ307" s="202"/>
      <c r="SXK307" s="203"/>
      <c r="SXL307" s="36"/>
      <c r="SXM307" s="36"/>
      <c r="SXN307" s="205"/>
      <c r="SXO307" s="33"/>
      <c r="SXP307" s="37"/>
      <c r="SXQ307" s="37"/>
      <c r="SXR307" s="37"/>
      <c r="SXS307" s="37"/>
      <c r="SXT307" s="37"/>
      <c r="SXU307" s="33"/>
      <c r="SXV307" s="206"/>
      <c r="SXW307" s="207"/>
      <c r="SXX307" s="204"/>
      <c r="SXY307" s="35"/>
      <c r="SXZ307" s="202"/>
      <c r="SYA307" s="203"/>
      <c r="SYB307" s="36"/>
      <c r="SYC307" s="36"/>
      <c r="SYD307" s="205"/>
      <c r="SYE307" s="33"/>
      <c r="SYF307" s="37"/>
      <c r="SYG307" s="37"/>
      <c r="SYH307" s="37"/>
      <c r="SYI307" s="37"/>
      <c r="SYJ307" s="37"/>
      <c r="SYK307" s="33"/>
      <c r="SYL307" s="206"/>
      <c r="SYM307" s="207"/>
      <c r="SYN307" s="204"/>
      <c r="SYO307" s="35"/>
      <c r="SYP307" s="202"/>
      <c r="SYQ307" s="203"/>
      <c r="SYR307" s="36"/>
      <c r="SYS307" s="36"/>
      <c r="SYT307" s="205"/>
      <c r="SYU307" s="33"/>
      <c r="SYV307" s="37"/>
      <c r="SYW307" s="37"/>
      <c r="SYX307" s="37"/>
      <c r="SYY307" s="37"/>
      <c r="SYZ307" s="37"/>
      <c r="SZA307" s="33"/>
      <c r="SZB307" s="206"/>
      <c r="SZC307" s="207"/>
      <c r="SZD307" s="204"/>
      <c r="SZE307" s="35"/>
      <c r="SZF307" s="202"/>
      <c r="SZG307" s="203"/>
      <c r="SZH307" s="36"/>
      <c r="SZI307" s="36"/>
      <c r="SZJ307" s="205"/>
      <c r="SZK307" s="33"/>
      <c r="SZL307" s="37"/>
      <c r="SZM307" s="37"/>
      <c r="SZN307" s="37"/>
      <c r="SZO307" s="37"/>
      <c r="SZP307" s="37"/>
      <c r="SZQ307" s="33"/>
      <c r="SZR307" s="206"/>
      <c r="SZS307" s="207"/>
      <c r="SZT307" s="204"/>
      <c r="SZU307" s="35"/>
      <c r="SZV307" s="202"/>
      <c r="SZW307" s="203"/>
      <c r="SZX307" s="36"/>
      <c r="SZY307" s="36"/>
      <c r="SZZ307" s="205"/>
      <c r="TAA307" s="33"/>
      <c r="TAB307" s="37"/>
      <c r="TAC307" s="37"/>
      <c r="TAD307" s="37"/>
      <c r="TAE307" s="37"/>
      <c r="TAF307" s="37"/>
      <c r="TAG307" s="33"/>
      <c r="TAH307" s="206"/>
      <c r="TAI307" s="207"/>
      <c r="TAJ307" s="204"/>
      <c r="TAK307" s="35"/>
      <c r="TAL307" s="202"/>
      <c r="TAM307" s="203"/>
      <c r="TAN307" s="36"/>
      <c r="TAO307" s="36"/>
      <c r="TAP307" s="205"/>
      <c r="TAQ307" s="33"/>
      <c r="TAR307" s="37"/>
      <c r="TAS307" s="37"/>
      <c r="TAT307" s="37"/>
      <c r="TAU307" s="37"/>
      <c r="TAV307" s="37"/>
      <c r="TAW307" s="33"/>
      <c r="TAX307" s="206"/>
      <c r="TAY307" s="207"/>
      <c r="TAZ307" s="204"/>
      <c r="TBA307" s="35"/>
      <c r="TBB307" s="202"/>
      <c r="TBC307" s="203"/>
      <c r="TBD307" s="36"/>
      <c r="TBE307" s="36"/>
      <c r="TBF307" s="205"/>
      <c r="TBG307" s="33"/>
      <c r="TBH307" s="37"/>
      <c r="TBI307" s="37"/>
      <c r="TBJ307" s="37"/>
      <c r="TBK307" s="37"/>
      <c r="TBL307" s="37"/>
      <c r="TBM307" s="33"/>
      <c r="TBN307" s="206"/>
      <c r="TBO307" s="207"/>
      <c r="TBP307" s="204"/>
      <c r="TBQ307" s="35"/>
      <c r="TBR307" s="202"/>
      <c r="TBS307" s="203"/>
      <c r="TBT307" s="36"/>
      <c r="TBU307" s="36"/>
      <c r="TBV307" s="205"/>
      <c r="TBW307" s="33"/>
      <c r="TBX307" s="37"/>
      <c r="TBY307" s="37"/>
      <c r="TBZ307" s="37"/>
      <c r="TCA307" s="37"/>
      <c r="TCB307" s="37"/>
      <c r="TCC307" s="33"/>
      <c r="TCD307" s="206"/>
      <c r="TCE307" s="207"/>
      <c r="TCF307" s="204"/>
      <c r="TCG307" s="35"/>
      <c r="TCH307" s="202"/>
      <c r="TCI307" s="203"/>
      <c r="TCJ307" s="36"/>
      <c r="TCK307" s="36"/>
      <c r="TCL307" s="205"/>
      <c r="TCM307" s="33"/>
      <c r="TCN307" s="37"/>
      <c r="TCO307" s="37"/>
      <c r="TCP307" s="37"/>
      <c r="TCQ307" s="37"/>
      <c r="TCR307" s="37"/>
      <c r="TCS307" s="33"/>
      <c r="TCT307" s="206"/>
      <c r="TCU307" s="207"/>
      <c r="TCV307" s="204"/>
      <c r="TCW307" s="35"/>
      <c r="TCX307" s="202"/>
      <c r="TCY307" s="203"/>
      <c r="TCZ307" s="36"/>
      <c r="TDA307" s="36"/>
      <c r="TDB307" s="205"/>
      <c r="TDC307" s="33"/>
      <c r="TDD307" s="37"/>
      <c r="TDE307" s="37"/>
      <c r="TDF307" s="37"/>
      <c r="TDG307" s="37"/>
      <c r="TDH307" s="37"/>
      <c r="TDI307" s="33"/>
      <c r="TDJ307" s="206"/>
      <c r="TDK307" s="207"/>
      <c r="TDL307" s="204"/>
      <c r="TDM307" s="35"/>
      <c r="TDN307" s="202"/>
      <c r="TDO307" s="203"/>
      <c r="TDP307" s="36"/>
      <c r="TDQ307" s="36"/>
      <c r="TDR307" s="205"/>
      <c r="TDS307" s="33"/>
      <c r="TDT307" s="37"/>
      <c r="TDU307" s="37"/>
      <c r="TDV307" s="37"/>
      <c r="TDW307" s="37"/>
      <c r="TDX307" s="37"/>
      <c r="TDY307" s="33"/>
      <c r="TDZ307" s="206"/>
      <c r="TEA307" s="207"/>
      <c r="TEB307" s="204"/>
      <c r="TEC307" s="35"/>
      <c r="TED307" s="202"/>
      <c r="TEE307" s="203"/>
      <c r="TEF307" s="36"/>
      <c r="TEG307" s="36"/>
      <c r="TEH307" s="205"/>
      <c r="TEI307" s="33"/>
      <c r="TEJ307" s="37"/>
      <c r="TEK307" s="37"/>
      <c r="TEL307" s="37"/>
      <c r="TEM307" s="37"/>
      <c r="TEN307" s="37"/>
      <c r="TEO307" s="33"/>
      <c r="TEP307" s="206"/>
      <c r="TEQ307" s="207"/>
      <c r="TER307" s="204"/>
      <c r="TES307" s="35"/>
      <c r="TET307" s="202"/>
      <c r="TEU307" s="203"/>
      <c r="TEV307" s="36"/>
      <c r="TEW307" s="36"/>
      <c r="TEX307" s="205"/>
      <c r="TEY307" s="33"/>
      <c r="TEZ307" s="37"/>
      <c r="TFA307" s="37"/>
      <c r="TFB307" s="37"/>
      <c r="TFC307" s="37"/>
      <c r="TFD307" s="37"/>
      <c r="TFE307" s="33"/>
      <c r="TFF307" s="206"/>
      <c r="TFG307" s="207"/>
      <c r="TFH307" s="204"/>
      <c r="TFI307" s="35"/>
      <c r="TFJ307" s="202"/>
      <c r="TFK307" s="203"/>
      <c r="TFL307" s="36"/>
      <c r="TFM307" s="36"/>
      <c r="TFN307" s="205"/>
      <c r="TFO307" s="33"/>
      <c r="TFP307" s="37"/>
      <c r="TFQ307" s="37"/>
      <c r="TFR307" s="37"/>
      <c r="TFS307" s="37"/>
      <c r="TFT307" s="37"/>
      <c r="TFU307" s="33"/>
      <c r="TFV307" s="206"/>
      <c r="TFW307" s="207"/>
      <c r="TFX307" s="204"/>
      <c r="TFY307" s="35"/>
      <c r="TFZ307" s="202"/>
      <c r="TGA307" s="203"/>
      <c r="TGB307" s="36"/>
      <c r="TGC307" s="36"/>
      <c r="TGD307" s="205"/>
      <c r="TGE307" s="33"/>
      <c r="TGF307" s="37"/>
      <c r="TGG307" s="37"/>
      <c r="TGH307" s="37"/>
      <c r="TGI307" s="37"/>
      <c r="TGJ307" s="37"/>
      <c r="TGK307" s="33"/>
      <c r="TGL307" s="206"/>
      <c r="TGM307" s="207"/>
      <c r="TGN307" s="204"/>
      <c r="TGO307" s="35"/>
      <c r="TGP307" s="202"/>
      <c r="TGQ307" s="203"/>
      <c r="TGR307" s="36"/>
      <c r="TGS307" s="36"/>
      <c r="TGT307" s="205"/>
      <c r="TGU307" s="33"/>
      <c r="TGV307" s="37"/>
      <c r="TGW307" s="37"/>
      <c r="TGX307" s="37"/>
      <c r="TGY307" s="37"/>
      <c r="TGZ307" s="37"/>
      <c r="THA307" s="33"/>
      <c r="THB307" s="206"/>
      <c r="THC307" s="207"/>
      <c r="THD307" s="204"/>
      <c r="THE307" s="35"/>
      <c r="THF307" s="202"/>
      <c r="THG307" s="203"/>
      <c r="THH307" s="36"/>
      <c r="THI307" s="36"/>
      <c r="THJ307" s="205"/>
      <c r="THK307" s="33"/>
      <c r="THL307" s="37"/>
      <c r="THM307" s="37"/>
      <c r="THN307" s="37"/>
      <c r="THO307" s="37"/>
      <c r="THP307" s="37"/>
      <c r="THQ307" s="33"/>
      <c r="THR307" s="206"/>
      <c r="THS307" s="207"/>
      <c r="THT307" s="204"/>
      <c r="THU307" s="35"/>
      <c r="THV307" s="202"/>
      <c r="THW307" s="203"/>
      <c r="THX307" s="36"/>
      <c r="THY307" s="36"/>
      <c r="THZ307" s="205"/>
      <c r="TIA307" s="33"/>
      <c r="TIB307" s="37"/>
      <c r="TIC307" s="37"/>
      <c r="TID307" s="37"/>
      <c r="TIE307" s="37"/>
      <c r="TIF307" s="37"/>
      <c r="TIG307" s="33"/>
      <c r="TIH307" s="206"/>
      <c r="TII307" s="207"/>
      <c r="TIJ307" s="204"/>
      <c r="TIK307" s="35"/>
      <c r="TIL307" s="202"/>
      <c r="TIM307" s="203"/>
      <c r="TIN307" s="36"/>
      <c r="TIO307" s="36"/>
      <c r="TIP307" s="205"/>
      <c r="TIQ307" s="33"/>
      <c r="TIR307" s="37"/>
      <c r="TIS307" s="37"/>
      <c r="TIT307" s="37"/>
      <c r="TIU307" s="37"/>
      <c r="TIV307" s="37"/>
      <c r="TIW307" s="33"/>
      <c r="TIX307" s="206"/>
      <c r="TIY307" s="207"/>
      <c r="TIZ307" s="204"/>
      <c r="TJA307" s="35"/>
      <c r="TJB307" s="202"/>
      <c r="TJC307" s="203"/>
      <c r="TJD307" s="36"/>
      <c r="TJE307" s="36"/>
      <c r="TJF307" s="205"/>
      <c r="TJG307" s="33"/>
      <c r="TJH307" s="37"/>
      <c r="TJI307" s="37"/>
      <c r="TJJ307" s="37"/>
      <c r="TJK307" s="37"/>
      <c r="TJL307" s="37"/>
      <c r="TJM307" s="33"/>
      <c r="TJN307" s="206"/>
      <c r="TJO307" s="207"/>
      <c r="TJP307" s="204"/>
      <c r="TJQ307" s="35"/>
      <c r="TJR307" s="202"/>
      <c r="TJS307" s="203"/>
      <c r="TJT307" s="36"/>
      <c r="TJU307" s="36"/>
      <c r="TJV307" s="205"/>
      <c r="TJW307" s="33"/>
      <c r="TJX307" s="37"/>
      <c r="TJY307" s="37"/>
      <c r="TJZ307" s="37"/>
      <c r="TKA307" s="37"/>
      <c r="TKB307" s="37"/>
      <c r="TKC307" s="33"/>
      <c r="TKD307" s="206"/>
      <c r="TKE307" s="207"/>
      <c r="TKF307" s="204"/>
      <c r="TKG307" s="35"/>
      <c r="TKH307" s="202"/>
      <c r="TKI307" s="203"/>
      <c r="TKJ307" s="36"/>
      <c r="TKK307" s="36"/>
      <c r="TKL307" s="205"/>
      <c r="TKM307" s="33"/>
      <c r="TKN307" s="37"/>
      <c r="TKO307" s="37"/>
      <c r="TKP307" s="37"/>
      <c r="TKQ307" s="37"/>
      <c r="TKR307" s="37"/>
      <c r="TKS307" s="33"/>
      <c r="TKT307" s="206"/>
      <c r="TKU307" s="207"/>
      <c r="TKV307" s="204"/>
      <c r="TKW307" s="35"/>
      <c r="TKX307" s="202"/>
      <c r="TKY307" s="203"/>
      <c r="TKZ307" s="36"/>
      <c r="TLA307" s="36"/>
      <c r="TLB307" s="205"/>
      <c r="TLC307" s="33"/>
      <c r="TLD307" s="37"/>
      <c r="TLE307" s="37"/>
      <c r="TLF307" s="37"/>
      <c r="TLG307" s="37"/>
      <c r="TLH307" s="37"/>
      <c r="TLI307" s="33"/>
      <c r="TLJ307" s="206"/>
      <c r="TLK307" s="207"/>
      <c r="TLL307" s="204"/>
      <c r="TLM307" s="35"/>
      <c r="TLN307" s="202"/>
      <c r="TLO307" s="203"/>
      <c r="TLP307" s="36"/>
      <c r="TLQ307" s="36"/>
      <c r="TLR307" s="205"/>
      <c r="TLS307" s="33"/>
      <c r="TLT307" s="37"/>
      <c r="TLU307" s="37"/>
      <c r="TLV307" s="37"/>
      <c r="TLW307" s="37"/>
      <c r="TLX307" s="37"/>
      <c r="TLY307" s="33"/>
      <c r="TLZ307" s="206"/>
      <c r="TMA307" s="207"/>
      <c r="TMB307" s="204"/>
      <c r="TMC307" s="35"/>
      <c r="TMD307" s="202"/>
      <c r="TME307" s="203"/>
      <c r="TMF307" s="36"/>
      <c r="TMG307" s="36"/>
      <c r="TMH307" s="205"/>
      <c r="TMI307" s="33"/>
      <c r="TMJ307" s="37"/>
      <c r="TMK307" s="37"/>
      <c r="TML307" s="37"/>
      <c r="TMM307" s="37"/>
      <c r="TMN307" s="37"/>
      <c r="TMO307" s="33"/>
      <c r="TMP307" s="206"/>
      <c r="TMQ307" s="207"/>
      <c r="TMR307" s="204"/>
      <c r="TMS307" s="35"/>
      <c r="TMT307" s="202"/>
      <c r="TMU307" s="203"/>
      <c r="TMV307" s="36"/>
      <c r="TMW307" s="36"/>
      <c r="TMX307" s="205"/>
      <c r="TMY307" s="33"/>
      <c r="TMZ307" s="37"/>
      <c r="TNA307" s="37"/>
      <c r="TNB307" s="37"/>
      <c r="TNC307" s="37"/>
      <c r="TND307" s="37"/>
      <c r="TNE307" s="33"/>
      <c r="TNF307" s="206"/>
      <c r="TNG307" s="207"/>
      <c r="TNH307" s="204"/>
      <c r="TNI307" s="35"/>
      <c r="TNJ307" s="202"/>
      <c r="TNK307" s="203"/>
      <c r="TNL307" s="36"/>
      <c r="TNM307" s="36"/>
      <c r="TNN307" s="205"/>
      <c r="TNO307" s="33"/>
      <c r="TNP307" s="37"/>
      <c r="TNQ307" s="37"/>
      <c r="TNR307" s="37"/>
      <c r="TNS307" s="37"/>
      <c r="TNT307" s="37"/>
      <c r="TNU307" s="33"/>
      <c r="TNV307" s="206"/>
      <c r="TNW307" s="207"/>
      <c r="TNX307" s="204"/>
      <c r="TNY307" s="35"/>
      <c r="TNZ307" s="202"/>
      <c r="TOA307" s="203"/>
      <c r="TOB307" s="36"/>
      <c r="TOC307" s="36"/>
      <c r="TOD307" s="205"/>
      <c r="TOE307" s="33"/>
      <c r="TOF307" s="37"/>
      <c r="TOG307" s="37"/>
      <c r="TOH307" s="37"/>
      <c r="TOI307" s="37"/>
      <c r="TOJ307" s="37"/>
      <c r="TOK307" s="33"/>
      <c r="TOL307" s="206"/>
      <c r="TOM307" s="207"/>
      <c r="TON307" s="204"/>
      <c r="TOO307" s="35"/>
      <c r="TOP307" s="202"/>
      <c r="TOQ307" s="203"/>
      <c r="TOR307" s="36"/>
      <c r="TOS307" s="36"/>
      <c r="TOT307" s="205"/>
      <c r="TOU307" s="33"/>
      <c r="TOV307" s="37"/>
      <c r="TOW307" s="37"/>
      <c r="TOX307" s="37"/>
      <c r="TOY307" s="37"/>
      <c r="TOZ307" s="37"/>
      <c r="TPA307" s="33"/>
      <c r="TPB307" s="206"/>
      <c r="TPC307" s="207"/>
      <c r="TPD307" s="204"/>
      <c r="TPE307" s="35"/>
      <c r="TPF307" s="202"/>
      <c r="TPG307" s="203"/>
      <c r="TPH307" s="36"/>
      <c r="TPI307" s="36"/>
      <c r="TPJ307" s="205"/>
      <c r="TPK307" s="33"/>
      <c r="TPL307" s="37"/>
      <c r="TPM307" s="37"/>
      <c r="TPN307" s="37"/>
      <c r="TPO307" s="37"/>
      <c r="TPP307" s="37"/>
      <c r="TPQ307" s="33"/>
      <c r="TPR307" s="206"/>
      <c r="TPS307" s="207"/>
      <c r="TPT307" s="204"/>
      <c r="TPU307" s="35"/>
      <c r="TPV307" s="202"/>
      <c r="TPW307" s="203"/>
      <c r="TPX307" s="36"/>
      <c r="TPY307" s="36"/>
      <c r="TPZ307" s="205"/>
      <c r="TQA307" s="33"/>
      <c r="TQB307" s="37"/>
      <c r="TQC307" s="37"/>
      <c r="TQD307" s="37"/>
      <c r="TQE307" s="37"/>
      <c r="TQF307" s="37"/>
      <c r="TQG307" s="33"/>
      <c r="TQH307" s="206"/>
      <c r="TQI307" s="207"/>
      <c r="TQJ307" s="204"/>
      <c r="TQK307" s="35"/>
      <c r="TQL307" s="202"/>
      <c r="TQM307" s="203"/>
      <c r="TQN307" s="36"/>
      <c r="TQO307" s="36"/>
      <c r="TQP307" s="205"/>
      <c r="TQQ307" s="33"/>
      <c r="TQR307" s="37"/>
      <c r="TQS307" s="37"/>
      <c r="TQT307" s="37"/>
      <c r="TQU307" s="37"/>
      <c r="TQV307" s="37"/>
      <c r="TQW307" s="33"/>
      <c r="TQX307" s="206"/>
      <c r="TQY307" s="207"/>
      <c r="TQZ307" s="204"/>
      <c r="TRA307" s="35"/>
      <c r="TRB307" s="202"/>
      <c r="TRC307" s="203"/>
      <c r="TRD307" s="36"/>
      <c r="TRE307" s="36"/>
      <c r="TRF307" s="205"/>
      <c r="TRG307" s="33"/>
      <c r="TRH307" s="37"/>
      <c r="TRI307" s="37"/>
      <c r="TRJ307" s="37"/>
      <c r="TRK307" s="37"/>
      <c r="TRL307" s="37"/>
      <c r="TRM307" s="33"/>
      <c r="TRN307" s="206"/>
      <c r="TRO307" s="207"/>
      <c r="TRP307" s="204"/>
      <c r="TRQ307" s="35"/>
      <c r="TRR307" s="202"/>
      <c r="TRS307" s="203"/>
      <c r="TRT307" s="36"/>
      <c r="TRU307" s="36"/>
      <c r="TRV307" s="205"/>
      <c r="TRW307" s="33"/>
      <c r="TRX307" s="37"/>
      <c r="TRY307" s="37"/>
      <c r="TRZ307" s="37"/>
      <c r="TSA307" s="37"/>
      <c r="TSB307" s="37"/>
      <c r="TSC307" s="33"/>
      <c r="TSD307" s="206"/>
      <c r="TSE307" s="207"/>
      <c r="TSF307" s="204"/>
      <c r="TSG307" s="35"/>
      <c r="TSH307" s="202"/>
      <c r="TSI307" s="203"/>
      <c r="TSJ307" s="36"/>
      <c r="TSK307" s="36"/>
      <c r="TSL307" s="205"/>
      <c r="TSM307" s="33"/>
      <c r="TSN307" s="37"/>
      <c r="TSO307" s="37"/>
      <c r="TSP307" s="37"/>
      <c r="TSQ307" s="37"/>
      <c r="TSR307" s="37"/>
      <c r="TSS307" s="33"/>
      <c r="TST307" s="206"/>
      <c r="TSU307" s="207"/>
      <c r="TSV307" s="204"/>
      <c r="TSW307" s="35"/>
      <c r="TSX307" s="202"/>
      <c r="TSY307" s="203"/>
      <c r="TSZ307" s="36"/>
      <c r="TTA307" s="36"/>
      <c r="TTB307" s="205"/>
      <c r="TTC307" s="33"/>
      <c r="TTD307" s="37"/>
      <c r="TTE307" s="37"/>
      <c r="TTF307" s="37"/>
      <c r="TTG307" s="37"/>
      <c r="TTH307" s="37"/>
      <c r="TTI307" s="33"/>
      <c r="TTJ307" s="206"/>
      <c r="TTK307" s="207"/>
      <c r="TTL307" s="204"/>
      <c r="TTM307" s="35"/>
      <c r="TTN307" s="202"/>
      <c r="TTO307" s="203"/>
      <c r="TTP307" s="36"/>
      <c r="TTQ307" s="36"/>
      <c r="TTR307" s="205"/>
      <c r="TTS307" s="33"/>
      <c r="TTT307" s="37"/>
      <c r="TTU307" s="37"/>
      <c r="TTV307" s="37"/>
      <c r="TTW307" s="37"/>
      <c r="TTX307" s="37"/>
      <c r="TTY307" s="33"/>
      <c r="TTZ307" s="206"/>
      <c r="TUA307" s="207"/>
      <c r="TUB307" s="204"/>
      <c r="TUC307" s="35"/>
      <c r="TUD307" s="202"/>
      <c r="TUE307" s="203"/>
      <c r="TUF307" s="36"/>
      <c r="TUG307" s="36"/>
      <c r="TUH307" s="205"/>
      <c r="TUI307" s="33"/>
      <c r="TUJ307" s="37"/>
      <c r="TUK307" s="37"/>
      <c r="TUL307" s="37"/>
      <c r="TUM307" s="37"/>
      <c r="TUN307" s="37"/>
      <c r="TUO307" s="33"/>
      <c r="TUP307" s="206"/>
      <c r="TUQ307" s="207"/>
      <c r="TUR307" s="204"/>
      <c r="TUS307" s="35"/>
      <c r="TUT307" s="202"/>
      <c r="TUU307" s="203"/>
      <c r="TUV307" s="36"/>
      <c r="TUW307" s="36"/>
      <c r="TUX307" s="205"/>
      <c r="TUY307" s="33"/>
      <c r="TUZ307" s="37"/>
      <c r="TVA307" s="37"/>
      <c r="TVB307" s="37"/>
      <c r="TVC307" s="37"/>
      <c r="TVD307" s="37"/>
      <c r="TVE307" s="33"/>
      <c r="TVF307" s="206"/>
      <c r="TVG307" s="207"/>
      <c r="TVH307" s="204"/>
      <c r="TVI307" s="35"/>
      <c r="TVJ307" s="202"/>
      <c r="TVK307" s="203"/>
      <c r="TVL307" s="36"/>
      <c r="TVM307" s="36"/>
      <c r="TVN307" s="205"/>
      <c r="TVO307" s="33"/>
      <c r="TVP307" s="37"/>
      <c r="TVQ307" s="37"/>
      <c r="TVR307" s="37"/>
      <c r="TVS307" s="37"/>
      <c r="TVT307" s="37"/>
      <c r="TVU307" s="33"/>
      <c r="TVV307" s="206"/>
      <c r="TVW307" s="207"/>
      <c r="TVX307" s="204"/>
      <c r="TVY307" s="35"/>
      <c r="TVZ307" s="202"/>
      <c r="TWA307" s="203"/>
      <c r="TWB307" s="36"/>
      <c r="TWC307" s="36"/>
      <c r="TWD307" s="205"/>
      <c r="TWE307" s="33"/>
      <c r="TWF307" s="37"/>
      <c r="TWG307" s="37"/>
      <c r="TWH307" s="37"/>
      <c r="TWI307" s="37"/>
      <c r="TWJ307" s="37"/>
      <c r="TWK307" s="33"/>
      <c r="TWL307" s="206"/>
      <c r="TWM307" s="207"/>
      <c r="TWN307" s="204"/>
      <c r="TWO307" s="35"/>
      <c r="TWP307" s="202"/>
      <c r="TWQ307" s="203"/>
      <c r="TWR307" s="36"/>
      <c r="TWS307" s="36"/>
      <c r="TWT307" s="205"/>
      <c r="TWU307" s="33"/>
      <c r="TWV307" s="37"/>
      <c r="TWW307" s="37"/>
      <c r="TWX307" s="37"/>
      <c r="TWY307" s="37"/>
      <c r="TWZ307" s="37"/>
      <c r="TXA307" s="33"/>
      <c r="TXB307" s="206"/>
      <c r="TXC307" s="207"/>
      <c r="TXD307" s="204"/>
      <c r="TXE307" s="35"/>
      <c r="TXF307" s="202"/>
      <c r="TXG307" s="203"/>
      <c r="TXH307" s="36"/>
      <c r="TXI307" s="36"/>
      <c r="TXJ307" s="205"/>
      <c r="TXK307" s="33"/>
      <c r="TXL307" s="37"/>
      <c r="TXM307" s="37"/>
      <c r="TXN307" s="37"/>
      <c r="TXO307" s="37"/>
      <c r="TXP307" s="37"/>
      <c r="TXQ307" s="33"/>
      <c r="TXR307" s="206"/>
      <c r="TXS307" s="207"/>
      <c r="TXT307" s="204"/>
      <c r="TXU307" s="35"/>
      <c r="TXV307" s="202"/>
      <c r="TXW307" s="203"/>
      <c r="TXX307" s="36"/>
      <c r="TXY307" s="36"/>
      <c r="TXZ307" s="205"/>
      <c r="TYA307" s="33"/>
      <c r="TYB307" s="37"/>
      <c r="TYC307" s="37"/>
      <c r="TYD307" s="37"/>
      <c r="TYE307" s="37"/>
      <c r="TYF307" s="37"/>
      <c r="TYG307" s="33"/>
      <c r="TYH307" s="206"/>
      <c r="TYI307" s="207"/>
      <c r="TYJ307" s="204"/>
      <c r="TYK307" s="35"/>
      <c r="TYL307" s="202"/>
      <c r="TYM307" s="203"/>
      <c r="TYN307" s="36"/>
      <c r="TYO307" s="36"/>
      <c r="TYP307" s="205"/>
      <c r="TYQ307" s="33"/>
      <c r="TYR307" s="37"/>
      <c r="TYS307" s="37"/>
      <c r="TYT307" s="37"/>
      <c r="TYU307" s="37"/>
      <c r="TYV307" s="37"/>
      <c r="TYW307" s="33"/>
      <c r="TYX307" s="206"/>
      <c r="TYY307" s="207"/>
      <c r="TYZ307" s="204"/>
      <c r="TZA307" s="35"/>
      <c r="TZB307" s="202"/>
      <c r="TZC307" s="203"/>
      <c r="TZD307" s="36"/>
      <c r="TZE307" s="36"/>
      <c r="TZF307" s="205"/>
      <c r="TZG307" s="33"/>
      <c r="TZH307" s="37"/>
      <c r="TZI307" s="37"/>
      <c r="TZJ307" s="37"/>
      <c r="TZK307" s="37"/>
      <c r="TZL307" s="37"/>
      <c r="TZM307" s="33"/>
      <c r="TZN307" s="206"/>
      <c r="TZO307" s="207"/>
      <c r="TZP307" s="204"/>
      <c r="TZQ307" s="35"/>
      <c r="TZR307" s="202"/>
      <c r="TZS307" s="203"/>
      <c r="TZT307" s="36"/>
      <c r="TZU307" s="36"/>
      <c r="TZV307" s="205"/>
      <c r="TZW307" s="33"/>
      <c r="TZX307" s="37"/>
      <c r="TZY307" s="37"/>
      <c r="TZZ307" s="37"/>
      <c r="UAA307" s="37"/>
      <c r="UAB307" s="37"/>
      <c r="UAC307" s="33"/>
      <c r="UAD307" s="206"/>
      <c r="UAE307" s="207"/>
      <c r="UAF307" s="204"/>
      <c r="UAG307" s="35"/>
      <c r="UAH307" s="202"/>
      <c r="UAI307" s="203"/>
      <c r="UAJ307" s="36"/>
      <c r="UAK307" s="36"/>
      <c r="UAL307" s="205"/>
      <c r="UAM307" s="33"/>
      <c r="UAN307" s="37"/>
      <c r="UAO307" s="37"/>
      <c r="UAP307" s="37"/>
      <c r="UAQ307" s="37"/>
      <c r="UAR307" s="37"/>
      <c r="UAS307" s="33"/>
      <c r="UAT307" s="206"/>
      <c r="UAU307" s="207"/>
      <c r="UAV307" s="204"/>
      <c r="UAW307" s="35"/>
      <c r="UAX307" s="202"/>
      <c r="UAY307" s="203"/>
      <c r="UAZ307" s="36"/>
      <c r="UBA307" s="36"/>
      <c r="UBB307" s="205"/>
      <c r="UBC307" s="33"/>
      <c r="UBD307" s="37"/>
      <c r="UBE307" s="37"/>
      <c r="UBF307" s="37"/>
      <c r="UBG307" s="37"/>
      <c r="UBH307" s="37"/>
      <c r="UBI307" s="33"/>
      <c r="UBJ307" s="206"/>
      <c r="UBK307" s="207"/>
      <c r="UBL307" s="204"/>
      <c r="UBM307" s="35"/>
      <c r="UBN307" s="202"/>
      <c r="UBO307" s="203"/>
      <c r="UBP307" s="36"/>
      <c r="UBQ307" s="36"/>
      <c r="UBR307" s="205"/>
      <c r="UBS307" s="33"/>
      <c r="UBT307" s="37"/>
      <c r="UBU307" s="37"/>
      <c r="UBV307" s="37"/>
      <c r="UBW307" s="37"/>
      <c r="UBX307" s="37"/>
      <c r="UBY307" s="33"/>
      <c r="UBZ307" s="206"/>
      <c r="UCA307" s="207"/>
      <c r="UCB307" s="204"/>
      <c r="UCC307" s="35"/>
      <c r="UCD307" s="202"/>
      <c r="UCE307" s="203"/>
      <c r="UCF307" s="36"/>
      <c r="UCG307" s="36"/>
      <c r="UCH307" s="205"/>
      <c r="UCI307" s="33"/>
      <c r="UCJ307" s="37"/>
      <c r="UCK307" s="37"/>
      <c r="UCL307" s="37"/>
      <c r="UCM307" s="37"/>
      <c r="UCN307" s="37"/>
      <c r="UCO307" s="33"/>
      <c r="UCP307" s="206"/>
      <c r="UCQ307" s="207"/>
      <c r="UCR307" s="204"/>
      <c r="UCS307" s="35"/>
      <c r="UCT307" s="202"/>
      <c r="UCU307" s="203"/>
      <c r="UCV307" s="36"/>
      <c r="UCW307" s="36"/>
      <c r="UCX307" s="205"/>
      <c r="UCY307" s="33"/>
      <c r="UCZ307" s="37"/>
      <c r="UDA307" s="37"/>
      <c r="UDB307" s="37"/>
      <c r="UDC307" s="37"/>
      <c r="UDD307" s="37"/>
      <c r="UDE307" s="33"/>
      <c r="UDF307" s="206"/>
      <c r="UDG307" s="207"/>
      <c r="UDH307" s="204"/>
      <c r="UDI307" s="35"/>
      <c r="UDJ307" s="202"/>
      <c r="UDK307" s="203"/>
      <c r="UDL307" s="36"/>
      <c r="UDM307" s="36"/>
      <c r="UDN307" s="205"/>
      <c r="UDO307" s="33"/>
      <c r="UDP307" s="37"/>
      <c r="UDQ307" s="37"/>
      <c r="UDR307" s="37"/>
      <c r="UDS307" s="37"/>
      <c r="UDT307" s="37"/>
      <c r="UDU307" s="33"/>
      <c r="UDV307" s="206"/>
      <c r="UDW307" s="207"/>
      <c r="UDX307" s="204"/>
      <c r="UDY307" s="35"/>
      <c r="UDZ307" s="202"/>
      <c r="UEA307" s="203"/>
      <c r="UEB307" s="36"/>
      <c r="UEC307" s="36"/>
      <c r="UED307" s="205"/>
      <c r="UEE307" s="33"/>
      <c r="UEF307" s="37"/>
      <c r="UEG307" s="37"/>
      <c r="UEH307" s="37"/>
      <c r="UEI307" s="37"/>
      <c r="UEJ307" s="37"/>
      <c r="UEK307" s="33"/>
      <c r="UEL307" s="206"/>
      <c r="UEM307" s="207"/>
      <c r="UEN307" s="204"/>
      <c r="UEO307" s="35"/>
      <c r="UEP307" s="202"/>
      <c r="UEQ307" s="203"/>
      <c r="UER307" s="36"/>
      <c r="UES307" s="36"/>
      <c r="UET307" s="205"/>
      <c r="UEU307" s="33"/>
      <c r="UEV307" s="37"/>
      <c r="UEW307" s="37"/>
      <c r="UEX307" s="37"/>
      <c r="UEY307" s="37"/>
      <c r="UEZ307" s="37"/>
      <c r="UFA307" s="33"/>
      <c r="UFB307" s="206"/>
      <c r="UFC307" s="207"/>
      <c r="UFD307" s="204"/>
      <c r="UFE307" s="35"/>
      <c r="UFF307" s="202"/>
      <c r="UFG307" s="203"/>
      <c r="UFH307" s="36"/>
      <c r="UFI307" s="36"/>
      <c r="UFJ307" s="205"/>
      <c r="UFK307" s="33"/>
      <c r="UFL307" s="37"/>
      <c r="UFM307" s="37"/>
      <c r="UFN307" s="37"/>
      <c r="UFO307" s="37"/>
      <c r="UFP307" s="37"/>
      <c r="UFQ307" s="33"/>
      <c r="UFR307" s="206"/>
      <c r="UFS307" s="207"/>
      <c r="UFT307" s="204"/>
      <c r="UFU307" s="35"/>
      <c r="UFV307" s="202"/>
      <c r="UFW307" s="203"/>
      <c r="UFX307" s="36"/>
      <c r="UFY307" s="36"/>
      <c r="UFZ307" s="205"/>
      <c r="UGA307" s="33"/>
      <c r="UGB307" s="37"/>
      <c r="UGC307" s="37"/>
      <c r="UGD307" s="37"/>
      <c r="UGE307" s="37"/>
      <c r="UGF307" s="37"/>
      <c r="UGG307" s="33"/>
      <c r="UGH307" s="206"/>
      <c r="UGI307" s="207"/>
      <c r="UGJ307" s="204"/>
      <c r="UGK307" s="35"/>
      <c r="UGL307" s="202"/>
      <c r="UGM307" s="203"/>
      <c r="UGN307" s="36"/>
      <c r="UGO307" s="36"/>
      <c r="UGP307" s="205"/>
      <c r="UGQ307" s="33"/>
      <c r="UGR307" s="37"/>
      <c r="UGS307" s="37"/>
      <c r="UGT307" s="37"/>
      <c r="UGU307" s="37"/>
      <c r="UGV307" s="37"/>
      <c r="UGW307" s="33"/>
      <c r="UGX307" s="206"/>
      <c r="UGY307" s="207"/>
      <c r="UGZ307" s="204"/>
      <c r="UHA307" s="35"/>
      <c r="UHB307" s="202"/>
      <c r="UHC307" s="203"/>
      <c r="UHD307" s="36"/>
      <c r="UHE307" s="36"/>
      <c r="UHF307" s="205"/>
      <c r="UHG307" s="33"/>
      <c r="UHH307" s="37"/>
      <c r="UHI307" s="37"/>
      <c r="UHJ307" s="37"/>
      <c r="UHK307" s="37"/>
      <c r="UHL307" s="37"/>
      <c r="UHM307" s="33"/>
      <c r="UHN307" s="206"/>
      <c r="UHO307" s="207"/>
      <c r="UHP307" s="204"/>
      <c r="UHQ307" s="35"/>
      <c r="UHR307" s="202"/>
      <c r="UHS307" s="203"/>
      <c r="UHT307" s="36"/>
      <c r="UHU307" s="36"/>
      <c r="UHV307" s="205"/>
      <c r="UHW307" s="33"/>
      <c r="UHX307" s="37"/>
      <c r="UHY307" s="37"/>
      <c r="UHZ307" s="37"/>
      <c r="UIA307" s="37"/>
      <c r="UIB307" s="37"/>
      <c r="UIC307" s="33"/>
      <c r="UID307" s="206"/>
      <c r="UIE307" s="207"/>
      <c r="UIF307" s="204"/>
      <c r="UIG307" s="35"/>
      <c r="UIH307" s="202"/>
      <c r="UII307" s="203"/>
      <c r="UIJ307" s="36"/>
      <c r="UIK307" s="36"/>
      <c r="UIL307" s="205"/>
      <c r="UIM307" s="33"/>
      <c r="UIN307" s="37"/>
      <c r="UIO307" s="37"/>
      <c r="UIP307" s="37"/>
      <c r="UIQ307" s="37"/>
      <c r="UIR307" s="37"/>
      <c r="UIS307" s="33"/>
      <c r="UIT307" s="206"/>
      <c r="UIU307" s="207"/>
      <c r="UIV307" s="204"/>
      <c r="UIW307" s="35"/>
      <c r="UIX307" s="202"/>
      <c r="UIY307" s="203"/>
      <c r="UIZ307" s="36"/>
      <c r="UJA307" s="36"/>
      <c r="UJB307" s="205"/>
      <c r="UJC307" s="33"/>
      <c r="UJD307" s="37"/>
      <c r="UJE307" s="37"/>
      <c r="UJF307" s="37"/>
      <c r="UJG307" s="37"/>
      <c r="UJH307" s="37"/>
      <c r="UJI307" s="33"/>
      <c r="UJJ307" s="206"/>
      <c r="UJK307" s="207"/>
      <c r="UJL307" s="204"/>
      <c r="UJM307" s="35"/>
      <c r="UJN307" s="202"/>
      <c r="UJO307" s="203"/>
      <c r="UJP307" s="36"/>
      <c r="UJQ307" s="36"/>
      <c r="UJR307" s="205"/>
      <c r="UJS307" s="33"/>
      <c r="UJT307" s="37"/>
      <c r="UJU307" s="37"/>
      <c r="UJV307" s="37"/>
      <c r="UJW307" s="37"/>
      <c r="UJX307" s="37"/>
      <c r="UJY307" s="33"/>
      <c r="UJZ307" s="206"/>
      <c r="UKA307" s="207"/>
      <c r="UKB307" s="204"/>
      <c r="UKC307" s="35"/>
      <c r="UKD307" s="202"/>
      <c r="UKE307" s="203"/>
      <c r="UKF307" s="36"/>
      <c r="UKG307" s="36"/>
      <c r="UKH307" s="205"/>
      <c r="UKI307" s="33"/>
      <c r="UKJ307" s="37"/>
      <c r="UKK307" s="37"/>
      <c r="UKL307" s="37"/>
      <c r="UKM307" s="37"/>
      <c r="UKN307" s="37"/>
      <c r="UKO307" s="33"/>
      <c r="UKP307" s="206"/>
      <c r="UKQ307" s="207"/>
      <c r="UKR307" s="204"/>
      <c r="UKS307" s="35"/>
      <c r="UKT307" s="202"/>
      <c r="UKU307" s="203"/>
      <c r="UKV307" s="36"/>
      <c r="UKW307" s="36"/>
      <c r="UKX307" s="205"/>
      <c r="UKY307" s="33"/>
      <c r="UKZ307" s="37"/>
      <c r="ULA307" s="37"/>
      <c r="ULB307" s="37"/>
      <c r="ULC307" s="37"/>
      <c r="ULD307" s="37"/>
      <c r="ULE307" s="33"/>
      <c r="ULF307" s="206"/>
      <c r="ULG307" s="207"/>
      <c r="ULH307" s="204"/>
      <c r="ULI307" s="35"/>
      <c r="ULJ307" s="202"/>
      <c r="ULK307" s="203"/>
      <c r="ULL307" s="36"/>
      <c r="ULM307" s="36"/>
      <c r="ULN307" s="205"/>
      <c r="ULO307" s="33"/>
      <c r="ULP307" s="37"/>
      <c r="ULQ307" s="37"/>
      <c r="ULR307" s="37"/>
      <c r="ULS307" s="37"/>
      <c r="ULT307" s="37"/>
      <c r="ULU307" s="33"/>
      <c r="ULV307" s="206"/>
      <c r="ULW307" s="207"/>
      <c r="ULX307" s="204"/>
      <c r="ULY307" s="35"/>
      <c r="ULZ307" s="202"/>
      <c r="UMA307" s="203"/>
      <c r="UMB307" s="36"/>
      <c r="UMC307" s="36"/>
      <c r="UMD307" s="205"/>
      <c r="UME307" s="33"/>
      <c r="UMF307" s="37"/>
      <c r="UMG307" s="37"/>
      <c r="UMH307" s="37"/>
      <c r="UMI307" s="37"/>
      <c r="UMJ307" s="37"/>
      <c r="UMK307" s="33"/>
      <c r="UML307" s="206"/>
      <c r="UMM307" s="207"/>
      <c r="UMN307" s="204"/>
      <c r="UMO307" s="35"/>
      <c r="UMP307" s="202"/>
      <c r="UMQ307" s="203"/>
      <c r="UMR307" s="36"/>
      <c r="UMS307" s="36"/>
      <c r="UMT307" s="205"/>
      <c r="UMU307" s="33"/>
      <c r="UMV307" s="37"/>
      <c r="UMW307" s="37"/>
      <c r="UMX307" s="37"/>
      <c r="UMY307" s="37"/>
      <c r="UMZ307" s="37"/>
      <c r="UNA307" s="33"/>
      <c r="UNB307" s="206"/>
      <c r="UNC307" s="207"/>
      <c r="UND307" s="204"/>
      <c r="UNE307" s="35"/>
      <c r="UNF307" s="202"/>
      <c r="UNG307" s="203"/>
      <c r="UNH307" s="36"/>
      <c r="UNI307" s="36"/>
      <c r="UNJ307" s="205"/>
      <c r="UNK307" s="33"/>
      <c r="UNL307" s="37"/>
      <c r="UNM307" s="37"/>
      <c r="UNN307" s="37"/>
      <c r="UNO307" s="37"/>
      <c r="UNP307" s="37"/>
      <c r="UNQ307" s="33"/>
      <c r="UNR307" s="206"/>
      <c r="UNS307" s="207"/>
      <c r="UNT307" s="204"/>
      <c r="UNU307" s="35"/>
      <c r="UNV307" s="202"/>
      <c r="UNW307" s="203"/>
      <c r="UNX307" s="36"/>
      <c r="UNY307" s="36"/>
      <c r="UNZ307" s="205"/>
      <c r="UOA307" s="33"/>
      <c r="UOB307" s="37"/>
      <c r="UOC307" s="37"/>
      <c r="UOD307" s="37"/>
      <c r="UOE307" s="37"/>
      <c r="UOF307" s="37"/>
      <c r="UOG307" s="33"/>
      <c r="UOH307" s="206"/>
      <c r="UOI307" s="207"/>
      <c r="UOJ307" s="204"/>
      <c r="UOK307" s="35"/>
      <c r="UOL307" s="202"/>
      <c r="UOM307" s="203"/>
      <c r="UON307" s="36"/>
      <c r="UOO307" s="36"/>
      <c r="UOP307" s="205"/>
      <c r="UOQ307" s="33"/>
      <c r="UOR307" s="37"/>
      <c r="UOS307" s="37"/>
      <c r="UOT307" s="37"/>
      <c r="UOU307" s="37"/>
      <c r="UOV307" s="37"/>
      <c r="UOW307" s="33"/>
      <c r="UOX307" s="206"/>
      <c r="UOY307" s="207"/>
      <c r="UOZ307" s="204"/>
      <c r="UPA307" s="35"/>
      <c r="UPB307" s="202"/>
      <c r="UPC307" s="203"/>
      <c r="UPD307" s="36"/>
      <c r="UPE307" s="36"/>
      <c r="UPF307" s="205"/>
      <c r="UPG307" s="33"/>
      <c r="UPH307" s="37"/>
      <c r="UPI307" s="37"/>
      <c r="UPJ307" s="37"/>
      <c r="UPK307" s="37"/>
      <c r="UPL307" s="37"/>
      <c r="UPM307" s="33"/>
      <c r="UPN307" s="206"/>
      <c r="UPO307" s="207"/>
      <c r="UPP307" s="204"/>
      <c r="UPQ307" s="35"/>
      <c r="UPR307" s="202"/>
      <c r="UPS307" s="203"/>
      <c r="UPT307" s="36"/>
      <c r="UPU307" s="36"/>
      <c r="UPV307" s="205"/>
      <c r="UPW307" s="33"/>
      <c r="UPX307" s="37"/>
      <c r="UPY307" s="37"/>
      <c r="UPZ307" s="37"/>
      <c r="UQA307" s="37"/>
      <c r="UQB307" s="37"/>
      <c r="UQC307" s="33"/>
      <c r="UQD307" s="206"/>
      <c r="UQE307" s="207"/>
      <c r="UQF307" s="204"/>
      <c r="UQG307" s="35"/>
      <c r="UQH307" s="202"/>
      <c r="UQI307" s="203"/>
      <c r="UQJ307" s="36"/>
      <c r="UQK307" s="36"/>
      <c r="UQL307" s="205"/>
      <c r="UQM307" s="33"/>
      <c r="UQN307" s="37"/>
      <c r="UQO307" s="37"/>
      <c r="UQP307" s="37"/>
      <c r="UQQ307" s="37"/>
      <c r="UQR307" s="37"/>
      <c r="UQS307" s="33"/>
      <c r="UQT307" s="206"/>
      <c r="UQU307" s="207"/>
      <c r="UQV307" s="204"/>
      <c r="UQW307" s="35"/>
      <c r="UQX307" s="202"/>
      <c r="UQY307" s="203"/>
      <c r="UQZ307" s="36"/>
      <c r="URA307" s="36"/>
      <c r="URB307" s="205"/>
      <c r="URC307" s="33"/>
      <c r="URD307" s="37"/>
      <c r="URE307" s="37"/>
      <c r="URF307" s="37"/>
      <c r="URG307" s="37"/>
      <c r="URH307" s="37"/>
      <c r="URI307" s="33"/>
      <c r="URJ307" s="206"/>
      <c r="URK307" s="207"/>
      <c r="URL307" s="204"/>
      <c r="URM307" s="35"/>
      <c r="URN307" s="202"/>
      <c r="URO307" s="203"/>
      <c r="URP307" s="36"/>
      <c r="URQ307" s="36"/>
      <c r="URR307" s="205"/>
      <c r="URS307" s="33"/>
      <c r="URT307" s="37"/>
      <c r="URU307" s="37"/>
      <c r="URV307" s="37"/>
      <c r="URW307" s="37"/>
      <c r="URX307" s="37"/>
      <c r="URY307" s="33"/>
      <c r="URZ307" s="206"/>
      <c r="USA307" s="207"/>
      <c r="USB307" s="204"/>
      <c r="USC307" s="35"/>
      <c r="USD307" s="202"/>
      <c r="USE307" s="203"/>
      <c r="USF307" s="36"/>
      <c r="USG307" s="36"/>
      <c r="USH307" s="205"/>
      <c r="USI307" s="33"/>
      <c r="USJ307" s="37"/>
      <c r="USK307" s="37"/>
      <c r="USL307" s="37"/>
      <c r="USM307" s="37"/>
      <c r="USN307" s="37"/>
      <c r="USO307" s="33"/>
      <c r="USP307" s="206"/>
      <c r="USQ307" s="207"/>
      <c r="USR307" s="204"/>
      <c r="USS307" s="35"/>
      <c r="UST307" s="202"/>
      <c r="USU307" s="203"/>
      <c r="USV307" s="36"/>
      <c r="USW307" s="36"/>
      <c r="USX307" s="205"/>
      <c r="USY307" s="33"/>
      <c r="USZ307" s="37"/>
      <c r="UTA307" s="37"/>
      <c r="UTB307" s="37"/>
      <c r="UTC307" s="37"/>
      <c r="UTD307" s="37"/>
      <c r="UTE307" s="33"/>
      <c r="UTF307" s="206"/>
      <c r="UTG307" s="207"/>
      <c r="UTH307" s="204"/>
      <c r="UTI307" s="35"/>
      <c r="UTJ307" s="202"/>
      <c r="UTK307" s="203"/>
      <c r="UTL307" s="36"/>
      <c r="UTM307" s="36"/>
      <c r="UTN307" s="205"/>
      <c r="UTO307" s="33"/>
      <c r="UTP307" s="37"/>
      <c r="UTQ307" s="37"/>
      <c r="UTR307" s="37"/>
      <c r="UTS307" s="37"/>
      <c r="UTT307" s="37"/>
      <c r="UTU307" s="33"/>
      <c r="UTV307" s="206"/>
      <c r="UTW307" s="207"/>
      <c r="UTX307" s="204"/>
      <c r="UTY307" s="35"/>
      <c r="UTZ307" s="202"/>
      <c r="UUA307" s="203"/>
      <c r="UUB307" s="36"/>
      <c r="UUC307" s="36"/>
      <c r="UUD307" s="205"/>
      <c r="UUE307" s="33"/>
      <c r="UUF307" s="37"/>
      <c r="UUG307" s="37"/>
      <c r="UUH307" s="37"/>
      <c r="UUI307" s="37"/>
      <c r="UUJ307" s="37"/>
      <c r="UUK307" s="33"/>
      <c r="UUL307" s="206"/>
      <c r="UUM307" s="207"/>
      <c r="UUN307" s="204"/>
      <c r="UUO307" s="35"/>
      <c r="UUP307" s="202"/>
      <c r="UUQ307" s="203"/>
      <c r="UUR307" s="36"/>
      <c r="UUS307" s="36"/>
      <c r="UUT307" s="205"/>
      <c r="UUU307" s="33"/>
      <c r="UUV307" s="37"/>
      <c r="UUW307" s="37"/>
      <c r="UUX307" s="37"/>
      <c r="UUY307" s="37"/>
      <c r="UUZ307" s="37"/>
      <c r="UVA307" s="33"/>
      <c r="UVB307" s="206"/>
      <c r="UVC307" s="207"/>
      <c r="UVD307" s="204"/>
      <c r="UVE307" s="35"/>
      <c r="UVF307" s="202"/>
      <c r="UVG307" s="203"/>
      <c r="UVH307" s="36"/>
      <c r="UVI307" s="36"/>
      <c r="UVJ307" s="205"/>
      <c r="UVK307" s="33"/>
      <c r="UVL307" s="37"/>
      <c r="UVM307" s="37"/>
      <c r="UVN307" s="37"/>
      <c r="UVO307" s="37"/>
      <c r="UVP307" s="37"/>
      <c r="UVQ307" s="33"/>
      <c r="UVR307" s="206"/>
      <c r="UVS307" s="207"/>
      <c r="UVT307" s="204"/>
      <c r="UVU307" s="35"/>
      <c r="UVV307" s="202"/>
      <c r="UVW307" s="203"/>
      <c r="UVX307" s="36"/>
      <c r="UVY307" s="36"/>
      <c r="UVZ307" s="205"/>
      <c r="UWA307" s="33"/>
      <c r="UWB307" s="37"/>
      <c r="UWC307" s="37"/>
      <c r="UWD307" s="37"/>
      <c r="UWE307" s="37"/>
      <c r="UWF307" s="37"/>
      <c r="UWG307" s="33"/>
      <c r="UWH307" s="206"/>
      <c r="UWI307" s="207"/>
      <c r="UWJ307" s="204"/>
      <c r="UWK307" s="35"/>
      <c r="UWL307" s="202"/>
      <c r="UWM307" s="203"/>
      <c r="UWN307" s="36"/>
      <c r="UWO307" s="36"/>
      <c r="UWP307" s="205"/>
      <c r="UWQ307" s="33"/>
      <c r="UWR307" s="37"/>
      <c r="UWS307" s="37"/>
      <c r="UWT307" s="37"/>
      <c r="UWU307" s="37"/>
      <c r="UWV307" s="37"/>
      <c r="UWW307" s="33"/>
      <c r="UWX307" s="206"/>
      <c r="UWY307" s="207"/>
      <c r="UWZ307" s="204"/>
      <c r="UXA307" s="35"/>
      <c r="UXB307" s="202"/>
      <c r="UXC307" s="203"/>
      <c r="UXD307" s="36"/>
      <c r="UXE307" s="36"/>
      <c r="UXF307" s="205"/>
      <c r="UXG307" s="33"/>
      <c r="UXH307" s="37"/>
      <c r="UXI307" s="37"/>
      <c r="UXJ307" s="37"/>
      <c r="UXK307" s="37"/>
      <c r="UXL307" s="37"/>
      <c r="UXM307" s="33"/>
      <c r="UXN307" s="206"/>
      <c r="UXO307" s="207"/>
      <c r="UXP307" s="204"/>
      <c r="UXQ307" s="35"/>
      <c r="UXR307" s="202"/>
      <c r="UXS307" s="203"/>
      <c r="UXT307" s="36"/>
      <c r="UXU307" s="36"/>
      <c r="UXV307" s="205"/>
      <c r="UXW307" s="33"/>
      <c r="UXX307" s="37"/>
      <c r="UXY307" s="37"/>
      <c r="UXZ307" s="37"/>
      <c r="UYA307" s="37"/>
      <c r="UYB307" s="37"/>
      <c r="UYC307" s="33"/>
      <c r="UYD307" s="206"/>
      <c r="UYE307" s="207"/>
      <c r="UYF307" s="204"/>
      <c r="UYG307" s="35"/>
      <c r="UYH307" s="202"/>
      <c r="UYI307" s="203"/>
      <c r="UYJ307" s="36"/>
      <c r="UYK307" s="36"/>
      <c r="UYL307" s="205"/>
      <c r="UYM307" s="33"/>
      <c r="UYN307" s="37"/>
      <c r="UYO307" s="37"/>
      <c r="UYP307" s="37"/>
      <c r="UYQ307" s="37"/>
      <c r="UYR307" s="37"/>
      <c r="UYS307" s="33"/>
      <c r="UYT307" s="206"/>
      <c r="UYU307" s="207"/>
      <c r="UYV307" s="204"/>
      <c r="UYW307" s="35"/>
      <c r="UYX307" s="202"/>
      <c r="UYY307" s="203"/>
      <c r="UYZ307" s="36"/>
      <c r="UZA307" s="36"/>
      <c r="UZB307" s="205"/>
      <c r="UZC307" s="33"/>
      <c r="UZD307" s="37"/>
      <c r="UZE307" s="37"/>
      <c r="UZF307" s="37"/>
      <c r="UZG307" s="37"/>
      <c r="UZH307" s="37"/>
      <c r="UZI307" s="33"/>
      <c r="UZJ307" s="206"/>
      <c r="UZK307" s="207"/>
      <c r="UZL307" s="204"/>
      <c r="UZM307" s="35"/>
      <c r="UZN307" s="202"/>
      <c r="UZO307" s="203"/>
      <c r="UZP307" s="36"/>
      <c r="UZQ307" s="36"/>
      <c r="UZR307" s="205"/>
      <c r="UZS307" s="33"/>
      <c r="UZT307" s="37"/>
      <c r="UZU307" s="37"/>
      <c r="UZV307" s="37"/>
      <c r="UZW307" s="37"/>
      <c r="UZX307" s="37"/>
      <c r="UZY307" s="33"/>
      <c r="UZZ307" s="206"/>
      <c r="VAA307" s="207"/>
      <c r="VAB307" s="204"/>
      <c r="VAC307" s="35"/>
      <c r="VAD307" s="202"/>
      <c r="VAE307" s="203"/>
      <c r="VAF307" s="36"/>
      <c r="VAG307" s="36"/>
      <c r="VAH307" s="205"/>
      <c r="VAI307" s="33"/>
      <c r="VAJ307" s="37"/>
      <c r="VAK307" s="37"/>
      <c r="VAL307" s="37"/>
      <c r="VAM307" s="37"/>
      <c r="VAN307" s="37"/>
      <c r="VAO307" s="33"/>
      <c r="VAP307" s="206"/>
      <c r="VAQ307" s="207"/>
      <c r="VAR307" s="204"/>
      <c r="VAS307" s="35"/>
      <c r="VAT307" s="202"/>
      <c r="VAU307" s="203"/>
      <c r="VAV307" s="36"/>
      <c r="VAW307" s="36"/>
      <c r="VAX307" s="205"/>
      <c r="VAY307" s="33"/>
      <c r="VAZ307" s="37"/>
      <c r="VBA307" s="37"/>
      <c r="VBB307" s="37"/>
      <c r="VBC307" s="37"/>
      <c r="VBD307" s="37"/>
      <c r="VBE307" s="33"/>
      <c r="VBF307" s="206"/>
      <c r="VBG307" s="207"/>
      <c r="VBH307" s="204"/>
      <c r="VBI307" s="35"/>
      <c r="VBJ307" s="202"/>
      <c r="VBK307" s="203"/>
      <c r="VBL307" s="36"/>
      <c r="VBM307" s="36"/>
      <c r="VBN307" s="205"/>
      <c r="VBO307" s="33"/>
      <c r="VBP307" s="37"/>
      <c r="VBQ307" s="37"/>
      <c r="VBR307" s="37"/>
      <c r="VBS307" s="37"/>
      <c r="VBT307" s="37"/>
      <c r="VBU307" s="33"/>
      <c r="VBV307" s="206"/>
      <c r="VBW307" s="207"/>
      <c r="VBX307" s="204"/>
      <c r="VBY307" s="35"/>
      <c r="VBZ307" s="202"/>
      <c r="VCA307" s="203"/>
      <c r="VCB307" s="36"/>
      <c r="VCC307" s="36"/>
      <c r="VCD307" s="205"/>
      <c r="VCE307" s="33"/>
      <c r="VCF307" s="37"/>
      <c r="VCG307" s="37"/>
      <c r="VCH307" s="37"/>
      <c r="VCI307" s="37"/>
      <c r="VCJ307" s="37"/>
      <c r="VCK307" s="33"/>
      <c r="VCL307" s="206"/>
      <c r="VCM307" s="207"/>
      <c r="VCN307" s="204"/>
      <c r="VCO307" s="35"/>
      <c r="VCP307" s="202"/>
      <c r="VCQ307" s="203"/>
      <c r="VCR307" s="36"/>
      <c r="VCS307" s="36"/>
      <c r="VCT307" s="205"/>
      <c r="VCU307" s="33"/>
      <c r="VCV307" s="37"/>
      <c r="VCW307" s="37"/>
      <c r="VCX307" s="37"/>
      <c r="VCY307" s="37"/>
      <c r="VCZ307" s="37"/>
      <c r="VDA307" s="33"/>
      <c r="VDB307" s="206"/>
      <c r="VDC307" s="207"/>
      <c r="VDD307" s="204"/>
      <c r="VDE307" s="35"/>
      <c r="VDF307" s="202"/>
      <c r="VDG307" s="203"/>
      <c r="VDH307" s="36"/>
      <c r="VDI307" s="36"/>
      <c r="VDJ307" s="205"/>
      <c r="VDK307" s="33"/>
      <c r="VDL307" s="37"/>
      <c r="VDM307" s="37"/>
      <c r="VDN307" s="37"/>
      <c r="VDO307" s="37"/>
      <c r="VDP307" s="37"/>
      <c r="VDQ307" s="33"/>
      <c r="VDR307" s="206"/>
      <c r="VDS307" s="207"/>
      <c r="VDT307" s="204"/>
      <c r="VDU307" s="35"/>
      <c r="VDV307" s="202"/>
      <c r="VDW307" s="203"/>
      <c r="VDX307" s="36"/>
      <c r="VDY307" s="36"/>
      <c r="VDZ307" s="205"/>
      <c r="VEA307" s="33"/>
      <c r="VEB307" s="37"/>
      <c r="VEC307" s="37"/>
      <c r="VED307" s="37"/>
      <c r="VEE307" s="37"/>
      <c r="VEF307" s="37"/>
      <c r="VEG307" s="33"/>
      <c r="VEH307" s="206"/>
      <c r="VEI307" s="207"/>
      <c r="VEJ307" s="204"/>
      <c r="VEK307" s="35"/>
      <c r="VEL307" s="202"/>
      <c r="VEM307" s="203"/>
      <c r="VEN307" s="36"/>
      <c r="VEO307" s="36"/>
      <c r="VEP307" s="205"/>
      <c r="VEQ307" s="33"/>
      <c r="VER307" s="37"/>
      <c r="VES307" s="37"/>
      <c r="VET307" s="37"/>
      <c r="VEU307" s="37"/>
      <c r="VEV307" s="37"/>
      <c r="VEW307" s="33"/>
      <c r="VEX307" s="206"/>
      <c r="VEY307" s="207"/>
      <c r="VEZ307" s="204"/>
      <c r="VFA307" s="35"/>
      <c r="VFB307" s="202"/>
      <c r="VFC307" s="203"/>
      <c r="VFD307" s="36"/>
      <c r="VFE307" s="36"/>
      <c r="VFF307" s="205"/>
      <c r="VFG307" s="33"/>
      <c r="VFH307" s="37"/>
      <c r="VFI307" s="37"/>
      <c r="VFJ307" s="37"/>
      <c r="VFK307" s="37"/>
      <c r="VFL307" s="37"/>
      <c r="VFM307" s="33"/>
      <c r="VFN307" s="206"/>
      <c r="VFO307" s="207"/>
      <c r="VFP307" s="204"/>
      <c r="VFQ307" s="35"/>
      <c r="VFR307" s="202"/>
      <c r="VFS307" s="203"/>
      <c r="VFT307" s="36"/>
      <c r="VFU307" s="36"/>
      <c r="VFV307" s="205"/>
      <c r="VFW307" s="33"/>
      <c r="VFX307" s="37"/>
      <c r="VFY307" s="37"/>
      <c r="VFZ307" s="37"/>
      <c r="VGA307" s="37"/>
      <c r="VGB307" s="37"/>
      <c r="VGC307" s="33"/>
      <c r="VGD307" s="206"/>
      <c r="VGE307" s="207"/>
      <c r="VGF307" s="204"/>
      <c r="VGG307" s="35"/>
      <c r="VGH307" s="202"/>
      <c r="VGI307" s="203"/>
      <c r="VGJ307" s="36"/>
      <c r="VGK307" s="36"/>
      <c r="VGL307" s="205"/>
      <c r="VGM307" s="33"/>
      <c r="VGN307" s="37"/>
      <c r="VGO307" s="37"/>
      <c r="VGP307" s="37"/>
      <c r="VGQ307" s="37"/>
      <c r="VGR307" s="37"/>
      <c r="VGS307" s="33"/>
      <c r="VGT307" s="206"/>
      <c r="VGU307" s="207"/>
      <c r="VGV307" s="204"/>
      <c r="VGW307" s="35"/>
      <c r="VGX307" s="202"/>
      <c r="VGY307" s="203"/>
      <c r="VGZ307" s="36"/>
      <c r="VHA307" s="36"/>
      <c r="VHB307" s="205"/>
      <c r="VHC307" s="33"/>
      <c r="VHD307" s="37"/>
      <c r="VHE307" s="37"/>
      <c r="VHF307" s="37"/>
      <c r="VHG307" s="37"/>
      <c r="VHH307" s="37"/>
      <c r="VHI307" s="33"/>
      <c r="VHJ307" s="206"/>
      <c r="VHK307" s="207"/>
      <c r="VHL307" s="204"/>
      <c r="VHM307" s="35"/>
      <c r="VHN307" s="202"/>
      <c r="VHO307" s="203"/>
      <c r="VHP307" s="36"/>
      <c r="VHQ307" s="36"/>
      <c r="VHR307" s="205"/>
      <c r="VHS307" s="33"/>
      <c r="VHT307" s="37"/>
      <c r="VHU307" s="37"/>
      <c r="VHV307" s="37"/>
      <c r="VHW307" s="37"/>
      <c r="VHX307" s="37"/>
      <c r="VHY307" s="33"/>
      <c r="VHZ307" s="206"/>
      <c r="VIA307" s="207"/>
      <c r="VIB307" s="204"/>
      <c r="VIC307" s="35"/>
      <c r="VID307" s="202"/>
      <c r="VIE307" s="203"/>
      <c r="VIF307" s="36"/>
      <c r="VIG307" s="36"/>
      <c r="VIH307" s="205"/>
      <c r="VII307" s="33"/>
      <c r="VIJ307" s="37"/>
      <c r="VIK307" s="37"/>
      <c r="VIL307" s="37"/>
      <c r="VIM307" s="37"/>
      <c r="VIN307" s="37"/>
      <c r="VIO307" s="33"/>
      <c r="VIP307" s="206"/>
      <c r="VIQ307" s="207"/>
      <c r="VIR307" s="204"/>
      <c r="VIS307" s="35"/>
      <c r="VIT307" s="202"/>
      <c r="VIU307" s="203"/>
      <c r="VIV307" s="36"/>
      <c r="VIW307" s="36"/>
      <c r="VIX307" s="205"/>
      <c r="VIY307" s="33"/>
      <c r="VIZ307" s="37"/>
      <c r="VJA307" s="37"/>
      <c r="VJB307" s="37"/>
      <c r="VJC307" s="37"/>
      <c r="VJD307" s="37"/>
      <c r="VJE307" s="33"/>
      <c r="VJF307" s="206"/>
      <c r="VJG307" s="207"/>
      <c r="VJH307" s="204"/>
      <c r="VJI307" s="35"/>
      <c r="VJJ307" s="202"/>
      <c r="VJK307" s="203"/>
      <c r="VJL307" s="36"/>
      <c r="VJM307" s="36"/>
      <c r="VJN307" s="205"/>
      <c r="VJO307" s="33"/>
      <c r="VJP307" s="37"/>
      <c r="VJQ307" s="37"/>
      <c r="VJR307" s="37"/>
      <c r="VJS307" s="37"/>
      <c r="VJT307" s="37"/>
      <c r="VJU307" s="33"/>
      <c r="VJV307" s="206"/>
      <c r="VJW307" s="207"/>
      <c r="VJX307" s="204"/>
      <c r="VJY307" s="35"/>
      <c r="VJZ307" s="202"/>
      <c r="VKA307" s="203"/>
      <c r="VKB307" s="36"/>
      <c r="VKC307" s="36"/>
      <c r="VKD307" s="205"/>
      <c r="VKE307" s="33"/>
      <c r="VKF307" s="37"/>
      <c r="VKG307" s="37"/>
      <c r="VKH307" s="37"/>
      <c r="VKI307" s="37"/>
      <c r="VKJ307" s="37"/>
      <c r="VKK307" s="33"/>
      <c r="VKL307" s="206"/>
      <c r="VKM307" s="207"/>
      <c r="VKN307" s="204"/>
      <c r="VKO307" s="35"/>
      <c r="VKP307" s="202"/>
      <c r="VKQ307" s="203"/>
      <c r="VKR307" s="36"/>
      <c r="VKS307" s="36"/>
      <c r="VKT307" s="205"/>
      <c r="VKU307" s="33"/>
      <c r="VKV307" s="37"/>
      <c r="VKW307" s="37"/>
      <c r="VKX307" s="37"/>
      <c r="VKY307" s="37"/>
      <c r="VKZ307" s="37"/>
      <c r="VLA307" s="33"/>
      <c r="VLB307" s="206"/>
      <c r="VLC307" s="207"/>
      <c r="VLD307" s="204"/>
      <c r="VLE307" s="35"/>
      <c r="VLF307" s="202"/>
      <c r="VLG307" s="203"/>
      <c r="VLH307" s="36"/>
      <c r="VLI307" s="36"/>
      <c r="VLJ307" s="205"/>
      <c r="VLK307" s="33"/>
      <c r="VLL307" s="37"/>
      <c r="VLM307" s="37"/>
      <c r="VLN307" s="37"/>
      <c r="VLO307" s="37"/>
      <c r="VLP307" s="37"/>
      <c r="VLQ307" s="33"/>
      <c r="VLR307" s="206"/>
      <c r="VLS307" s="207"/>
      <c r="VLT307" s="204"/>
      <c r="VLU307" s="35"/>
      <c r="VLV307" s="202"/>
      <c r="VLW307" s="203"/>
      <c r="VLX307" s="36"/>
      <c r="VLY307" s="36"/>
      <c r="VLZ307" s="205"/>
      <c r="VMA307" s="33"/>
      <c r="VMB307" s="37"/>
      <c r="VMC307" s="37"/>
      <c r="VMD307" s="37"/>
      <c r="VME307" s="37"/>
      <c r="VMF307" s="37"/>
      <c r="VMG307" s="33"/>
      <c r="VMH307" s="206"/>
      <c r="VMI307" s="207"/>
      <c r="VMJ307" s="204"/>
      <c r="VMK307" s="35"/>
      <c r="VML307" s="202"/>
      <c r="VMM307" s="203"/>
      <c r="VMN307" s="36"/>
      <c r="VMO307" s="36"/>
      <c r="VMP307" s="205"/>
      <c r="VMQ307" s="33"/>
      <c r="VMR307" s="37"/>
      <c r="VMS307" s="37"/>
      <c r="VMT307" s="37"/>
      <c r="VMU307" s="37"/>
      <c r="VMV307" s="37"/>
      <c r="VMW307" s="33"/>
      <c r="VMX307" s="206"/>
      <c r="VMY307" s="207"/>
      <c r="VMZ307" s="204"/>
      <c r="VNA307" s="35"/>
      <c r="VNB307" s="202"/>
      <c r="VNC307" s="203"/>
      <c r="VND307" s="36"/>
      <c r="VNE307" s="36"/>
      <c r="VNF307" s="205"/>
      <c r="VNG307" s="33"/>
      <c r="VNH307" s="37"/>
      <c r="VNI307" s="37"/>
      <c r="VNJ307" s="37"/>
      <c r="VNK307" s="37"/>
      <c r="VNL307" s="37"/>
      <c r="VNM307" s="33"/>
      <c r="VNN307" s="206"/>
      <c r="VNO307" s="207"/>
      <c r="VNP307" s="204"/>
      <c r="VNQ307" s="35"/>
      <c r="VNR307" s="202"/>
      <c r="VNS307" s="203"/>
      <c r="VNT307" s="36"/>
      <c r="VNU307" s="36"/>
      <c r="VNV307" s="205"/>
      <c r="VNW307" s="33"/>
      <c r="VNX307" s="37"/>
      <c r="VNY307" s="37"/>
      <c r="VNZ307" s="37"/>
      <c r="VOA307" s="37"/>
      <c r="VOB307" s="37"/>
      <c r="VOC307" s="33"/>
      <c r="VOD307" s="206"/>
      <c r="VOE307" s="207"/>
      <c r="VOF307" s="204"/>
      <c r="VOG307" s="35"/>
      <c r="VOH307" s="202"/>
      <c r="VOI307" s="203"/>
      <c r="VOJ307" s="36"/>
      <c r="VOK307" s="36"/>
      <c r="VOL307" s="205"/>
      <c r="VOM307" s="33"/>
      <c r="VON307" s="37"/>
      <c r="VOO307" s="37"/>
      <c r="VOP307" s="37"/>
      <c r="VOQ307" s="37"/>
      <c r="VOR307" s="37"/>
      <c r="VOS307" s="33"/>
      <c r="VOT307" s="206"/>
      <c r="VOU307" s="207"/>
      <c r="VOV307" s="204"/>
      <c r="VOW307" s="35"/>
      <c r="VOX307" s="202"/>
      <c r="VOY307" s="203"/>
      <c r="VOZ307" s="36"/>
      <c r="VPA307" s="36"/>
      <c r="VPB307" s="205"/>
      <c r="VPC307" s="33"/>
      <c r="VPD307" s="37"/>
      <c r="VPE307" s="37"/>
      <c r="VPF307" s="37"/>
      <c r="VPG307" s="37"/>
      <c r="VPH307" s="37"/>
      <c r="VPI307" s="33"/>
      <c r="VPJ307" s="206"/>
      <c r="VPK307" s="207"/>
      <c r="VPL307" s="204"/>
      <c r="VPM307" s="35"/>
      <c r="VPN307" s="202"/>
      <c r="VPO307" s="203"/>
      <c r="VPP307" s="36"/>
      <c r="VPQ307" s="36"/>
      <c r="VPR307" s="205"/>
      <c r="VPS307" s="33"/>
      <c r="VPT307" s="37"/>
      <c r="VPU307" s="37"/>
      <c r="VPV307" s="37"/>
      <c r="VPW307" s="37"/>
      <c r="VPX307" s="37"/>
      <c r="VPY307" s="33"/>
      <c r="VPZ307" s="206"/>
      <c r="VQA307" s="207"/>
      <c r="VQB307" s="204"/>
      <c r="VQC307" s="35"/>
      <c r="VQD307" s="202"/>
      <c r="VQE307" s="203"/>
      <c r="VQF307" s="36"/>
      <c r="VQG307" s="36"/>
      <c r="VQH307" s="205"/>
      <c r="VQI307" s="33"/>
      <c r="VQJ307" s="37"/>
      <c r="VQK307" s="37"/>
      <c r="VQL307" s="37"/>
      <c r="VQM307" s="37"/>
      <c r="VQN307" s="37"/>
      <c r="VQO307" s="33"/>
      <c r="VQP307" s="206"/>
      <c r="VQQ307" s="207"/>
      <c r="VQR307" s="204"/>
      <c r="VQS307" s="35"/>
      <c r="VQT307" s="202"/>
      <c r="VQU307" s="203"/>
      <c r="VQV307" s="36"/>
      <c r="VQW307" s="36"/>
      <c r="VQX307" s="205"/>
      <c r="VQY307" s="33"/>
      <c r="VQZ307" s="37"/>
      <c r="VRA307" s="37"/>
      <c r="VRB307" s="37"/>
      <c r="VRC307" s="37"/>
      <c r="VRD307" s="37"/>
      <c r="VRE307" s="33"/>
      <c r="VRF307" s="206"/>
      <c r="VRG307" s="207"/>
      <c r="VRH307" s="204"/>
      <c r="VRI307" s="35"/>
      <c r="VRJ307" s="202"/>
      <c r="VRK307" s="203"/>
      <c r="VRL307" s="36"/>
      <c r="VRM307" s="36"/>
      <c r="VRN307" s="205"/>
      <c r="VRO307" s="33"/>
      <c r="VRP307" s="37"/>
      <c r="VRQ307" s="37"/>
      <c r="VRR307" s="37"/>
      <c r="VRS307" s="37"/>
      <c r="VRT307" s="37"/>
      <c r="VRU307" s="33"/>
      <c r="VRV307" s="206"/>
      <c r="VRW307" s="207"/>
      <c r="VRX307" s="204"/>
      <c r="VRY307" s="35"/>
      <c r="VRZ307" s="202"/>
      <c r="VSA307" s="203"/>
      <c r="VSB307" s="36"/>
      <c r="VSC307" s="36"/>
      <c r="VSD307" s="205"/>
      <c r="VSE307" s="33"/>
      <c r="VSF307" s="37"/>
      <c r="VSG307" s="37"/>
      <c r="VSH307" s="37"/>
      <c r="VSI307" s="37"/>
      <c r="VSJ307" s="37"/>
      <c r="VSK307" s="33"/>
      <c r="VSL307" s="206"/>
      <c r="VSM307" s="207"/>
      <c r="VSN307" s="204"/>
      <c r="VSO307" s="35"/>
      <c r="VSP307" s="202"/>
      <c r="VSQ307" s="203"/>
      <c r="VSR307" s="36"/>
      <c r="VSS307" s="36"/>
      <c r="VST307" s="205"/>
      <c r="VSU307" s="33"/>
      <c r="VSV307" s="37"/>
      <c r="VSW307" s="37"/>
      <c r="VSX307" s="37"/>
      <c r="VSY307" s="37"/>
      <c r="VSZ307" s="37"/>
      <c r="VTA307" s="33"/>
      <c r="VTB307" s="206"/>
      <c r="VTC307" s="207"/>
      <c r="VTD307" s="204"/>
      <c r="VTE307" s="35"/>
      <c r="VTF307" s="202"/>
      <c r="VTG307" s="203"/>
      <c r="VTH307" s="36"/>
      <c r="VTI307" s="36"/>
      <c r="VTJ307" s="205"/>
      <c r="VTK307" s="33"/>
      <c r="VTL307" s="37"/>
      <c r="VTM307" s="37"/>
      <c r="VTN307" s="37"/>
      <c r="VTO307" s="37"/>
      <c r="VTP307" s="37"/>
      <c r="VTQ307" s="33"/>
      <c r="VTR307" s="206"/>
      <c r="VTS307" s="207"/>
      <c r="VTT307" s="204"/>
      <c r="VTU307" s="35"/>
      <c r="VTV307" s="202"/>
      <c r="VTW307" s="203"/>
      <c r="VTX307" s="36"/>
      <c r="VTY307" s="36"/>
      <c r="VTZ307" s="205"/>
      <c r="VUA307" s="33"/>
      <c r="VUB307" s="37"/>
      <c r="VUC307" s="37"/>
      <c r="VUD307" s="37"/>
      <c r="VUE307" s="37"/>
      <c r="VUF307" s="37"/>
      <c r="VUG307" s="33"/>
      <c r="VUH307" s="206"/>
      <c r="VUI307" s="207"/>
      <c r="VUJ307" s="204"/>
      <c r="VUK307" s="35"/>
      <c r="VUL307" s="202"/>
      <c r="VUM307" s="203"/>
      <c r="VUN307" s="36"/>
      <c r="VUO307" s="36"/>
      <c r="VUP307" s="205"/>
      <c r="VUQ307" s="33"/>
      <c r="VUR307" s="37"/>
      <c r="VUS307" s="37"/>
      <c r="VUT307" s="37"/>
      <c r="VUU307" s="37"/>
      <c r="VUV307" s="37"/>
      <c r="VUW307" s="33"/>
      <c r="VUX307" s="206"/>
      <c r="VUY307" s="207"/>
      <c r="VUZ307" s="204"/>
      <c r="VVA307" s="35"/>
      <c r="VVB307" s="202"/>
      <c r="VVC307" s="203"/>
      <c r="VVD307" s="36"/>
      <c r="VVE307" s="36"/>
      <c r="VVF307" s="205"/>
      <c r="VVG307" s="33"/>
      <c r="VVH307" s="37"/>
      <c r="VVI307" s="37"/>
      <c r="VVJ307" s="37"/>
      <c r="VVK307" s="37"/>
      <c r="VVL307" s="37"/>
      <c r="VVM307" s="33"/>
      <c r="VVN307" s="206"/>
      <c r="VVO307" s="207"/>
      <c r="VVP307" s="204"/>
      <c r="VVQ307" s="35"/>
      <c r="VVR307" s="202"/>
      <c r="VVS307" s="203"/>
      <c r="VVT307" s="36"/>
      <c r="VVU307" s="36"/>
      <c r="VVV307" s="205"/>
      <c r="VVW307" s="33"/>
      <c r="VVX307" s="37"/>
      <c r="VVY307" s="37"/>
      <c r="VVZ307" s="37"/>
      <c r="VWA307" s="37"/>
      <c r="VWB307" s="37"/>
      <c r="VWC307" s="33"/>
      <c r="VWD307" s="206"/>
      <c r="VWE307" s="207"/>
      <c r="VWF307" s="204"/>
      <c r="VWG307" s="35"/>
      <c r="VWH307" s="202"/>
      <c r="VWI307" s="203"/>
      <c r="VWJ307" s="36"/>
      <c r="VWK307" s="36"/>
      <c r="VWL307" s="205"/>
      <c r="VWM307" s="33"/>
      <c r="VWN307" s="37"/>
      <c r="VWO307" s="37"/>
      <c r="VWP307" s="37"/>
      <c r="VWQ307" s="37"/>
      <c r="VWR307" s="37"/>
      <c r="VWS307" s="33"/>
      <c r="VWT307" s="206"/>
      <c r="VWU307" s="207"/>
      <c r="VWV307" s="204"/>
      <c r="VWW307" s="35"/>
      <c r="VWX307" s="202"/>
      <c r="VWY307" s="203"/>
      <c r="VWZ307" s="36"/>
      <c r="VXA307" s="36"/>
      <c r="VXB307" s="205"/>
      <c r="VXC307" s="33"/>
      <c r="VXD307" s="37"/>
      <c r="VXE307" s="37"/>
      <c r="VXF307" s="37"/>
      <c r="VXG307" s="37"/>
      <c r="VXH307" s="37"/>
      <c r="VXI307" s="33"/>
      <c r="VXJ307" s="206"/>
      <c r="VXK307" s="207"/>
      <c r="VXL307" s="204"/>
      <c r="VXM307" s="35"/>
      <c r="VXN307" s="202"/>
      <c r="VXO307" s="203"/>
      <c r="VXP307" s="36"/>
      <c r="VXQ307" s="36"/>
      <c r="VXR307" s="205"/>
      <c r="VXS307" s="33"/>
      <c r="VXT307" s="37"/>
      <c r="VXU307" s="37"/>
      <c r="VXV307" s="37"/>
      <c r="VXW307" s="37"/>
      <c r="VXX307" s="37"/>
      <c r="VXY307" s="33"/>
      <c r="VXZ307" s="206"/>
      <c r="VYA307" s="207"/>
      <c r="VYB307" s="204"/>
      <c r="VYC307" s="35"/>
      <c r="VYD307" s="202"/>
      <c r="VYE307" s="203"/>
      <c r="VYF307" s="36"/>
      <c r="VYG307" s="36"/>
      <c r="VYH307" s="205"/>
      <c r="VYI307" s="33"/>
      <c r="VYJ307" s="37"/>
      <c r="VYK307" s="37"/>
      <c r="VYL307" s="37"/>
      <c r="VYM307" s="37"/>
      <c r="VYN307" s="37"/>
      <c r="VYO307" s="33"/>
      <c r="VYP307" s="206"/>
      <c r="VYQ307" s="207"/>
      <c r="VYR307" s="204"/>
      <c r="VYS307" s="35"/>
      <c r="VYT307" s="202"/>
      <c r="VYU307" s="203"/>
      <c r="VYV307" s="36"/>
      <c r="VYW307" s="36"/>
      <c r="VYX307" s="205"/>
      <c r="VYY307" s="33"/>
      <c r="VYZ307" s="37"/>
      <c r="VZA307" s="37"/>
      <c r="VZB307" s="37"/>
      <c r="VZC307" s="37"/>
      <c r="VZD307" s="37"/>
      <c r="VZE307" s="33"/>
      <c r="VZF307" s="206"/>
      <c r="VZG307" s="207"/>
      <c r="VZH307" s="204"/>
      <c r="VZI307" s="35"/>
      <c r="VZJ307" s="202"/>
      <c r="VZK307" s="203"/>
      <c r="VZL307" s="36"/>
      <c r="VZM307" s="36"/>
      <c r="VZN307" s="205"/>
      <c r="VZO307" s="33"/>
      <c r="VZP307" s="37"/>
      <c r="VZQ307" s="37"/>
      <c r="VZR307" s="37"/>
      <c r="VZS307" s="37"/>
      <c r="VZT307" s="37"/>
      <c r="VZU307" s="33"/>
      <c r="VZV307" s="206"/>
      <c r="VZW307" s="207"/>
      <c r="VZX307" s="204"/>
      <c r="VZY307" s="35"/>
      <c r="VZZ307" s="202"/>
      <c r="WAA307" s="203"/>
      <c r="WAB307" s="36"/>
      <c r="WAC307" s="36"/>
      <c r="WAD307" s="205"/>
      <c r="WAE307" s="33"/>
      <c r="WAF307" s="37"/>
      <c r="WAG307" s="37"/>
      <c r="WAH307" s="37"/>
      <c r="WAI307" s="37"/>
      <c r="WAJ307" s="37"/>
      <c r="WAK307" s="33"/>
      <c r="WAL307" s="206"/>
      <c r="WAM307" s="207"/>
      <c r="WAN307" s="204"/>
      <c r="WAO307" s="35"/>
      <c r="WAP307" s="202"/>
      <c r="WAQ307" s="203"/>
      <c r="WAR307" s="36"/>
      <c r="WAS307" s="36"/>
      <c r="WAT307" s="205"/>
      <c r="WAU307" s="33"/>
      <c r="WAV307" s="37"/>
      <c r="WAW307" s="37"/>
      <c r="WAX307" s="37"/>
      <c r="WAY307" s="37"/>
      <c r="WAZ307" s="37"/>
      <c r="WBA307" s="33"/>
      <c r="WBB307" s="206"/>
      <c r="WBC307" s="207"/>
      <c r="WBD307" s="204"/>
      <c r="WBE307" s="35"/>
      <c r="WBF307" s="202"/>
      <c r="WBG307" s="203"/>
      <c r="WBH307" s="36"/>
      <c r="WBI307" s="36"/>
      <c r="WBJ307" s="205"/>
      <c r="WBK307" s="33"/>
      <c r="WBL307" s="37"/>
      <c r="WBM307" s="37"/>
      <c r="WBN307" s="37"/>
      <c r="WBO307" s="37"/>
      <c r="WBP307" s="37"/>
      <c r="WBQ307" s="33"/>
      <c r="WBR307" s="206"/>
      <c r="WBS307" s="207"/>
      <c r="WBT307" s="204"/>
      <c r="WBU307" s="35"/>
      <c r="WBV307" s="202"/>
      <c r="WBW307" s="203"/>
      <c r="WBX307" s="36"/>
      <c r="WBY307" s="36"/>
      <c r="WBZ307" s="205"/>
      <c r="WCA307" s="33"/>
      <c r="WCB307" s="37"/>
      <c r="WCC307" s="37"/>
      <c r="WCD307" s="37"/>
      <c r="WCE307" s="37"/>
      <c r="WCF307" s="37"/>
      <c r="WCG307" s="33"/>
      <c r="WCH307" s="206"/>
      <c r="WCI307" s="207"/>
      <c r="WCJ307" s="204"/>
      <c r="WCK307" s="35"/>
      <c r="WCL307" s="202"/>
      <c r="WCM307" s="203"/>
      <c r="WCN307" s="36"/>
      <c r="WCO307" s="36"/>
      <c r="WCP307" s="205"/>
      <c r="WCQ307" s="33"/>
      <c r="WCR307" s="37"/>
      <c r="WCS307" s="37"/>
      <c r="WCT307" s="37"/>
      <c r="WCU307" s="37"/>
      <c r="WCV307" s="37"/>
      <c r="WCW307" s="33"/>
      <c r="WCX307" s="206"/>
      <c r="WCY307" s="207"/>
      <c r="WCZ307" s="204"/>
      <c r="WDA307" s="35"/>
      <c r="WDB307" s="202"/>
      <c r="WDC307" s="203"/>
      <c r="WDD307" s="36"/>
      <c r="WDE307" s="36"/>
      <c r="WDF307" s="205"/>
      <c r="WDG307" s="33"/>
      <c r="WDH307" s="37"/>
      <c r="WDI307" s="37"/>
      <c r="WDJ307" s="37"/>
      <c r="WDK307" s="37"/>
      <c r="WDL307" s="37"/>
      <c r="WDM307" s="33"/>
      <c r="WDN307" s="206"/>
      <c r="WDO307" s="207"/>
      <c r="WDP307" s="204"/>
      <c r="WDQ307" s="35"/>
      <c r="WDR307" s="202"/>
      <c r="WDS307" s="203"/>
      <c r="WDT307" s="36"/>
      <c r="WDU307" s="36"/>
      <c r="WDV307" s="205"/>
      <c r="WDW307" s="33"/>
      <c r="WDX307" s="37"/>
      <c r="WDY307" s="37"/>
      <c r="WDZ307" s="37"/>
      <c r="WEA307" s="37"/>
      <c r="WEB307" s="37"/>
      <c r="WEC307" s="33"/>
      <c r="WED307" s="206"/>
      <c r="WEE307" s="207"/>
      <c r="WEF307" s="204"/>
      <c r="WEG307" s="35"/>
      <c r="WEH307" s="202"/>
      <c r="WEI307" s="203"/>
      <c r="WEJ307" s="36"/>
      <c r="WEK307" s="36"/>
      <c r="WEL307" s="205"/>
      <c r="WEM307" s="33"/>
      <c r="WEN307" s="37"/>
      <c r="WEO307" s="37"/>
      <c r="WEP307" s="37"/>
      <c r="WEQ307" s="37"/>
      <c r="WER307" s="37"/>
      <c r="WES307" s="33"/>
      <c r="WET307" s="206"/>
      <c r="WEU307" s="207"/>
      <c r="WEV307" s="204"/>
      <c r="WEW307" s="35"/>
      <c r="WEX307" s="202"/>
      <c r="WEY307" s="203"/>
      <c r="WEZ307" s="36"/>
      <c r="WFA307" s="36"/>
      <c r="WFB307" s="205"/>
      <c r="WFC307" s="33"/>
      <c r="WFD307" s="37"/>
      <c r="WFE307" s="37"/>
      <c r="WFF307" s="37"/>
      <c r="WFG307" s="37"/>
      <c r="WFH307" s="37"/>
      <c r="WFI307" s="33"/>
      <c r="WFJ307" s="206"/>
      <c r="WFK307" s="207"/>
      <c r="WFL307" s="204"/>
      <c r="WFM307" s="35"/>
      <c r="WFN307" s="202"/>
      <c r="WFO307" s="203"/>
      <c r="WFP307" s="36"/>
      <c r="WFQ307" s="36"/>
      <c r="WFR307" s="205"/>
      <c r="WFS307" s="33"/>
      <c r="WFT307" s="37"/>
      <c r="WFU307" s="37"/>
      <c r="WFV307" s="37"/>
      <c r="WFW307" s="37"/>
      <c r="WFX307" s="37"/>
      <c r="WFY307" s="33"/>
      <c r="WFZ307" s="206"/>
      <c r="WGA307" s="207"/>
      <c r="WGB307" s="204"/>
      <c r="WGC307" s="35"/>
      <c r="WGD307" s="202"/>
      <c r="WGE307" s="203"/>
      <c r="WGF307" s="36"/>
      <c r="WGG307" s="36"/>
      <c r="WGH307" s="205"/>
      <c r="WGI307" s="33"/>
      <c r="WGJ307" s="37"/>
      <c r="WGK307" s="37"/>
      <c r="WGL307" s="37"/>
      <c r="WGM307" s="37"/>
      <c r="WGN307" s="37"/>
      <c r="WGO307" s="33"/>
      <c r="WGP307" s="206"/>
      <c r="WGQ307" s="207"/>
      <c r="WGR307" s="204"/>
      <c r="WGS307" s="35"/>
      <c r="WGT307" s="202"/>
      <c r="WGU307" s="203"/>
      <c r="WGV307" s="36"/>
      <c r="WGW307" s="36"/>
      <c r="WGX307" s="205"/>
      <c r="WGY307" s="33"/>
      <c r="WGZ307" s="37"/>
      <c r="WHA307" s="37"/>
      <c r="WHB307" s="37"/>
      <c r="WHC307" s="37"/>
      <c r="WHD307" s="37"/>
      <c r="WHE307" s="33"/>
      <c r="WHF307" s="206"/>
      <c r="WHG307" s="207"/>
      <c r="WHH307" s="204"/>
      <c r="WHI307" s="35"/>
      <c r="WHJ307" s="202"/>
      <c r="WHK307" s="203"/>
      <c r="WHL307" s="36"/>
      <c r="WHM307" s="36"/>
      <c r="WHN307" s="205"/>
      <c r="WHO307" s="33"/>
      <c r="WHP307" s="37"/>
      <c r="WHQ307" s="37"/>
      <c r="WHR307" s="37"/>
      <c r="WHS307" s="37"/>
      <c r="WHT307" s="37"/>
      <c r="WHU307" s="33"/>
      <c r="WHV307" s="206"/>
      <c r="WHW307" s="207"/>
      <c r="WHX307" s="204"/>
      <c r="WHY307" s="35"/>
      <c r="WHZ307" s="202"/>
      <c r="WIA307" s="203"/>
      <c r="WIB307" s="36"/>
      <c r="WIC307" s="36"/>
      <c r="WID307" s="205"/>
      <c r="WIE307" s="33"/>
      <c r="WIF307" s="37"/>
      <c r="WIG307" s="37"/>
      <c r="WIH307" s="37"/>
      <c r="WII307" s="37"/>
      <c r="WIJ307" s="37"/>
      <c r="WIK307" s="33"/>
      <c r="WIL307" s="206"/>
      <c r="WIM307" s="207"/>
      <c r="WIN307" s="204"/>
      <c r="WIO307" s="35"/>
      <c r="WIP307" s="202"/>
      <c r="WIQ307" s="203"/>
      <c r="WIR307" s="36"/>
      <c r="WIS307" s="36"/>
      <c r="WIT307" s="205"/>
      <c r="WIU307" s="33"/>
      <c r="WIV307" s="37"/>
      <c r="WIW307" s="37"/>
      <c r="WIX307" s="37"/>
      <c r="WIY307" s="37"/>
      <c r="WIZ307" s="37"/>
      <c r="WJA307" s="33"/>
      <c r="WJB307" s="206"/>
      <c r="WJC307" s="207"/>
      <c r="WJD307" s="204"/>
      <c r="WJE307" s="35"/>
      <c r="WJF307" s="202"/>
      <c r="WJG307" s="203"/>
      <c r="WJH307" s="36"/>
      <c r="WJI307" s="36"/>
      <c r="WJJ307" s="205"/>
      <c r="WJK307" s="33"/>
      <c r="WJL307" s="37"/>
      <c r="WJM307" s="37"/>
      <c r="WJN307" s="37"/>
      <c r="WJO307" s="37"/>
      <c r="WJP307" s="37"/>
      <c r="WJQ307" s="33"/>
      <c r="WJR307" s="206"/>
      <c r="WJS307" s="207"/>
      <c r="WJT307" s="204"/>
      <c r="WJU307" s="35"/>
      <c r="WJV307" s="202"/>
      <c r="WJW307" s="203"/>
      <c r="WJX307" s="36"/>
      <c r="WJY307" s="36"/>
      <c r="WJZ307" s="205"/>
      <c r="WKA307" s="33"/>
      <c r="WKB307" s="37"/>
      <c r="WKC307" s="37"/>
      <c r="WKD307" s="37"/>
      <c r="WKE307" s="37"/>
      <c r="WKF307" s="37"/>
      <c r="WKG307" s="33"/>
      <c r="WKH307" s="206"/>
      <c r="WKI307" s="207"/>
      <c r="WKJ307" s="204"/>
      <c r="WKK307" s="35"/>
      <c r="WKL307" s="202"/>
      <c r="WKM307" s="203"/>
      <c r="WKN307" s="36"/>
      <c r="WKO307" s="36"/>
      <c r="WKP307" s="205"/>
      <c r="WKQ307" s="33"/>
      <c r="WKR307" s="37"/>
      <c r="WKS307" s="37"/>
      <c r="WKT307" s="37"/>
      <c r="WKU307" s="37"/>
      <c r="WKV307" s="37"/>
      <c r="WKW307" s="33"/>
      <c r="WKX307" s="206"/>
      <c r="WKY307" s="207"/>
      <c r="WKZ307" s="204"/>
      <c r="WLA307" s="35"/>
      <c r="WLB307" s="202"/>
      <c r="WLC307" s="203"/>
      <c r="WLD307" s="36"/>
      <c r="WLE307" s="36"/>
      <c r="WLF307" s="205"/>
      <c r="WLG307" s="33"/>
      <c r="WLH307" s="37"/>
      <c r="WLI307" s="37"/>
      <c r="WLJ307" s="37"/>
      <c r="WLK307" s="37"/>
      <c r="WLL307" s="37"/>
      <c r="WLM307" s="33"/>
      <c r="WLN307" s="206"/>
      <c r="WLO307" s="207"/>
      <c r="WLP307" s="204"/>
      <c r="WLQ307" s="35"/>
      <c r="WLR307" s="202"/>
      <c r="WLS307" s="203"/>
      <c r="WLT307" s="36"/>
      <c r="WLU307" s="36"/>
      <c r="WLV307" s="205"/>
      <c r="WLW307" s="33"/>
      <c r="WLX307" s="37"/>
      <c r="WLY307" s="37"/>
      <c r="WLZ307" s="37"/>
      <c r="WMA307" s="37"/>
      <c r="WMB307" s="37"/>
      <c r="WMC307" s="33"/>
      <c r="WMD307" s="206"/>
      <c r="WME307" s="207"/>
      <c r="WMF307" s="204"/>
      <c r="WMG307" s="35"/>
      <c r="WMH307" s="202"/>
      <c r="WMI307" s="203"/>
      <c r="WMJ307" s="36"/>
      <c r="WMK307" s="36"/>
      <c r="WML307" s="205"/>
      <c r="WMM307" s="33"/>
      <c r="WMN307" s="37"/>
      <c r="WMO307" s="37"/>
      <c r="WMP307" s="37"/>
      <c r="WMQ307" s="37"/>
      <c r="WMR307" s="37"/>
      <c r="WMS307" s="33"/>
      <c r="WMT307" s="206"/>
      <c r="WMU307" s="207"/>
      <c r="WMV307" s="204"/>
      <c r="WMW307" s="35"/>
      <c r="WMX307" s="202"/>
      <c r="WMY307" s="203"/>
      <c r="WMZ307" s="36"/>
      <c r="WNA307" s="36"/>
      <c r="WNB307" s="205"/>
      <c r="WNC307" s="33"/>
      <c r="WND307" s="37"/>
      <c r="WNE307" s="37"/>
      <c r="WNF307" s="37"/>
      <c r="WNG307" s="37"/>
      <c r="WNH307" s="37"/>
      <c r="WNI307" s="33"/>
      <c r="WNJ307" s="206"/>
      <c r="WNK307" s="207"/>
      <c r="WNL307" s="204"/>
      <c r="WNM307" s="35"/>
      <c r="WNN307" s="202"/>
      <c r="WNO307" s="203"/>
      <c r="WNP307" s="36"/>
      <c r="WNQ307" s="36"/>
      <c r="WNR307" s="205"/>
      <c r="WNS307" s="33"/>
      <c r="WNT307" s="37"/>
      <c r="WNU307" s="37"/>
      <c r="WNV307" s="37"/>
      <c r="WNW307" s="37"/>
      <c r="WNX307" s="37"/>
      <c r="WNY307" s="33"/>
      <c r="WNZ307" s="206"/>
      <c r="WOA307" s="207"/>
      <c r="WOB307" s="204"/>
      <c r="WOC307" s="35"/>
      <c r="WOD307" s="202"/>
      <c r="WOE307" s="203"/>
      <c r="WOF307" s="36"/>
      <c r="WOG307" s="36"/>
      <c r="WOH307" s="205"/>
      <c r="WOI307" s="33"/>
      <c r="WOJ307" s="37"/>
      <c r="WOK307" s="37"/>
      <c r="WOL307" s="37"/>
      <c r="WOM307" s="37"/>
      <c r="WON307" s="37"/>
      <c r="WOO307" s="33"/>
      <c r="WOP307" s="206"/>
      <c r="WOQ307" s="207"/>
      <c r="WOR307" s="204"/>
      <c r="WOS307" s="35"/>
      <c r="WOT307" s="202"/>
      <c r="WOU307" s="203"/>
      <c r="WOV307" s="36"/>
      <c r="WOW307" s="36"/>
      <c r="WOX307" s="205"/>
      <c r="WOY307" s="33"/>
      <c r="WOZ307" s="37"/>
      <c r="WPA307" s="37"/>
      <c r="WPB307" s="37"/>
      <c r="WPC307" s="37"/>
      <c r="WPD307" s="37"/>
      <c r="WPE307" s="33"/>
      <c r="WPF307" s="206"/>
      <c r="WPG307" s="207"/>
      <c r="WPH307" s="204"/>
      <c r="WPI307" s="35"/>
      <c r="WPJ307" s="202"/>
      <c r="WPK307" s="203"/>
      <c r="WPL307" s="36"/>
      <c r="WPM307" s="36"/>
      <c r="WPN307" s="205"/>
      <c r="WPO307" s="33"/>
      <c r="WPP307" s="37"/>
      <c r="WPQ307" s="37"/>
      <c r="WPR307" s="37"/>
      <c r="WPS307" s="37"/>
      <c r="WPT307" s="37"/>
      <c r="WPU307" s="33"/>
      <c r="WPV307" s="206"/>
      <c r="WPW307" s="207"/>
      <c r="WPX307" s="204"/>
      <c r="WPY307" s="35"/>
      <c r="WPZ307" s="202"/>
      <c r="WQA307" s="203"/>
      <c r="WQB307" s="36"/>
      <c r="WQC307" s="36"/>
      <c r="WQD307" s="205"/>
      <c r="WQE307" s="33"/>
      <c r="WQF307" s="37"/>
      <c r="WQG307" s="37"/>
      <c r="WQH307" s="37"/>
      <c r="WQI307" s="37"/>
      <c r="WQJ307" s="37"/>
      <c r="WQK307" s="33"/>
      <c r="WQL307" s="206"/>
      <c r="WQM307" s="207"/>
      <c r="WQN307" s="204"/>
      <c r="WQO307" s="35"/>
      <c r="WQP307" s="202"/>
      <c r="WQQ307" s="203"/>
      <c r="WQR307" s="36"/>
      <c r="WQS307" s="36"/>
      <c r="WQT307" s="205"/>
      <c r="WQU307" s="33"/>
      <c r="WQV307" s="37"/>
      <c r="WQW307" s="37"/>
      <c r="WQX307" s="37"/>
      <c r="WQY307" s="37"/>
      <c r="WQZ307" s="37"/>
      <c r="WRA307" s="33"/>
      <c r="WRB307" s="206"/>
      <c r="WRC307" s="207"/>
      <c r="WRD307" s="204"/>
      <c r="WRE307" s="35"/>
      <c r="WRF307" s="202"/>
      <c r="WRG307" s="203"/>
      <c r="WRH307" s="36"/>
      <c r="WRI307" s="36"/>
      <c r="WRJ307" s="205"/>
      <c r="WRK307" s="33"/>
      <c r="WRL307" s="37"/>
      <c r="WRM307" s="37"/>
      <c r="WRN307" s="37"/>
      <c r="WRO307" s="37"/>
      <c r="WRP307" s="37"/>
      <c r="WRQ307" s="33"/>
      <c r="WRR307" s="206"/>
      <c r="WRS307" s="207"/>
      <c r="WRT307" s="204"/>
      <c r="WRU307" s="35"/>
      <c r="WRV307" s="202"/>
      <c r="WRW307" s="203"/>
      <c r="WRX307" s="36"/>
      <c r="WRY307" s="36"/>
      <c r="WRZ307" s="205"/>
      <c r="WSA307" s="33"/>
      <c r="WSB307" s="37"/>
      <c r="WSC307" s="37"/>
      <c r="WSD307" s="37"/>
      <c r="WSE307" s="37"/>
      <c r="WSF307" s="37"/>
      <c r="WSG307" s="33"/>
      <c r="WSH307" s="206"/>
      <c r="WSI307" s="207"/>
      <c r="WSJ307" s="204"/>
      <c r="WSK307" s="35"/>
      <c r="WSL307" s="202"/>
      <c r="WSM307" s="203"/>
      <c r="WSN307" s="36"/>
      <c r="WSO307" s="36"/>
      <c r="WSP307" s="205"/>
      <c r="WSQ307" s="33"/>
      <c r="WSR307" s="37"/>
      <c r="WSS307" s="37"/>
      <c r="WST307" s="37"/>
      <c r="WSU307" s="37"/>
      <c r="WSV307" s="37"/>
      <c r="WSW307" s="33"/>
      <c r="WSX307" s="206"/>
      <c r="WSY307" s="207"/>
      <c r="WSZ307" s="204"/>
      <c r="WTA307" s="35"/>
      <c r="WTB307" s="202"/>
      <c r="WTC307" s="203"/>
      <c r="WTD307" s="36"/>
      <c r="WTE307" s="36"/>
      <c r="WTF307" s="205"/>
      <c r="WTG307" s="33"/>
      <c r="WTH307" s="37"/>
      <c r="WTI307" s="37"/>
      <c r="WTJ307" s="37"/>
      <c r="WTK307" s="37"/>
      <c r="WTL307" s="37"/>
      <c r="WTM307" s="33"/>
      <c r="WTN307" s="206"/>
      <c r="WTO307" s="207"/>
      <c r="WTP307" s="204"/>
      <c r="WTQ307" s="35"/>
      <c r="WTR307" s="202"/>
      <c r="WTS307" s="203"/>
      <c r="WTT307" s="36"/>
      <c r="WTU307" s="36"/>
      <c r="WTV307" s="205"/>
      <c r="WTW307" s="33"/>
      <c r="WTX307" s="37"/>
      <c r="WTY307" s="37"/>
      <c r="WTZ307" s="37"/>
      <c r="WUA307" s="37"/>
      <c r="WUB307" s="37"/>
      <c r="WUC307" s="33"/>
      <c r="WUD307" s="206"/>
      <c r="WUE307" s="207"/>
      <c r="WUF307" s="204"/>
      <c r="WUG307" s="35"/>
      <c r="WUH307" s="202"/>
      <c r="WUI307" s="203"/>
      <c r="WUJ307" s="36"/>
      <c r="WUK307" s="36"/>
      <c r="WUL307" s="205"/>
      <c r="WUM307" s="33"/>
      <c r="WUN307" s="37"/>
      <c r="WUO307" s="37"/>
      <c r="WUP307" s="37"/>
      <c r="WUQ307" s="37"/>
      <c r="WUR307" s="37"/>
      <c r="WUS307" s="33"/>
      <c r="WUT307" s="206"/>
      <c r="WUU307" s="207"/>
      <c r="WUV307" s="204"/>
      <c r="WUW307" s="35"/>
      <c r="WUX307" s="202"/>
      <c r="WUY307" s="203"/>
      <c r="WUZ307" s="36"/>
      <c r="WVA307" s="36"/>
      <c r="WVB307" s="205"/>
      <c r="WVC307" s="33"/>
      <c r="WVD307" s="37"/>
      <c r="WVE307" s="37"/>
      <c r="WVF307" s="37"/>
      <c r="WVG307" s="37"/>
      <c r="WVH307" s="37"/>
      <c r="WVI307" s="33"/>
      <c r="WVJ307" s="206"/>
      <c r="WVK307" s="207"/>
      <c r="WVL307" s="204"/>
      <c r="WVM307" s="35"/>
      <c r="WVN307" s="202"/>
      <c r="WVO307" s="203"/>
      <c r="WVP307" s="36"/>
      <c r="WVQ307" s="36"/>
      <c r="WVR307" s="205"/>
      <c r="WVS307" s="33"/>
      <c r="WVT307" s="37"/>
      <c r="WVU307" s="37"/>
      <c r="WVV307" s="37"/>
      <c r="WVW307" s="37"/>
      <c r="WVX307" s="37"/>
      <c r="WVY307" s="33"/>
      <c r="WVZ307" s="206"/>
      <c r="WWA307" s="207"/>
      <c r="WWB307" s="204"/>
      <c r="WWC307" s="35"/>
      <c r="WWD307" s="202"/>
      <c r="WWE307" s="203"/>
      <c r="WWF307" s="36"/>
      <c r="WWG307" s="36"/>
      <c r="WWH307" s="205"/>
      <c r="WWI307" s="33"/>
      <c r="WWJ307" s="37"/>
      <c r="WWK307" s="37"/>
      <c r="WWL307" s="37"/>
      <c r="WWM307" s="37"/>
      <c r="WWN307" s="37"/>
      <c r="WWO307" s="33"/>
      <c r="WWP307" s="206"/>
      <c r="WWQ307" s="207"/>
      <c r="WWR307" s="204"/>
      <c r="WWS307" s="35"/>
      <c r="WWT307" s="202"/>
      <c r="WWU307" s="203"/>
      <c r="WWV307" s="36"/>
      <c r="WWW307" s="36"/>
      <c r="WWX307" s="205"/>
      <c r="WWY307" s="33"/>
      <c r="WWZ307" s="37"/>
      <c r="WXA307" s="37"/>
      <c r="WXB307" s="37"/>
      <c r="WXC307" s="37"/>
      <c r="WXD307" s="37"/>
      <c r="WXE307" s="33"/>
      <c r="WXF307" s="206"/>
      <c r="WXG307" s="207"/>
      <c r="WXH307" s="204"/>
      <c r="WXI307" s="35"/>
      <c r="WXJ307" s="202"/>
      <c r="WXK307" s="203"/>
      <c r="WXL307" s="36"/>
      <c r="WXM307" s="36"/>
      <c r="WXN307" s="205"/>
      <c r="WXO307" s="33"/>
      <c r="WXP307" s="37"/>
      <c r="WXQ307" s="37"/>
      <c r="WXR307" s="37"/>
      <c r="WXS307" s="37"/>
      <c r="WXT307" s="37"/>
      <c r="WXU307" s="33"/>
      <c r="WXV307" s="206"/>
      <c r="WXW307" s="207"/>
      <c r="WXX307" s="204"/>
      <c r="WXY307" s="35"/>
      <c r="WXZ307" s="202"/>
      <c r="WYA307" s="203"/>
      <c r="WYB307" s="36"/>
      <c r="WYC307" s="36"/>
      <c r="WYD307" s="205"/>
      <c r="WYE307" s="33"/>
      <c r="WYF307" s="37"/>
      <c r="WYG307" s="37"/>
      <c r="WYH307" s="37"/>
      <c r="WYI307" s="37"/>
      <c r="WYJ307" s="37"/>
      <c r="WYK307" s="33"/>
      <c r="WYL307" s="206"/>
      <c r="WYM307" s="207"/>
      <c r="WYN307" s="204"/>
      <c r="WYO307" s="35"/>
      <c r="WYP307" s="202"/>
      <c r="WYQ307" s="203"/>
      <c r="WYR307" s="36"/>
      <c r="WYS307" s="36"/>
      <c r="WYT307" s="205"/>
      <c r="WYU307" s="33"/>
      <c r="WYV307" s="37"/>
      <c r="WYW307" s="37"/>
      <c r="WYX307" s="37"/>
      <c r="WYY307" s="37"/>
      <c r="WYZ307" s="37"/>
      <c r="WZA307" s="33"/>
      <c r="WZB307" s="206"/>
      <c r="WZC307" s="207"/>
      <c r="WZD307" s="204"/>
      <c r="WZE307" s="35"/>
      <c r="WZF307" s="202"/>
      <c r="WZG307" s="203"/>
      <c r="WZH307" s="36"/>
      <c r="WZI307" s="36"/>
      <c r="WZJ307" s="205"/>
      <c r="WZK307" s="33"/>
      <c r="WZL307" s="37"/>
      <c r="WZM307" s="37"/>
      <c r="WZN307" s="37"/>
      <c r="WZO307" s="37"/>
      <c r="WZP307" s="37"/>
      <c r="WZQ307" s="33"/>
      <c r="WZR307" s="206"/>
      <c r="WZS307" s="207"/>
      <c r="WZT307" s="204"/>
      <c r="WZU307" s="35"/>
      <c r="WZV307" s="202"/>
      <c r="WZW307" s="203"/>
      <c r="WZX307" s="36"/>
      <c r="WZY307" s="36"/>
      <c r="WZZ307" s="205"/>
      <c r="XAA307" s="33"/>
      <c r="XAB307" s="37"/>
      <c r="XAC307" s="37"/>
      <c r="XAD307" s="37"/>
      <c r="XAE307" s="37"/>
      <c r="XAF307" s="37"/>
      <c r="XAG307" s="33"/>
      <c r="XAH307" s="206"/>
      <c r="XAI307" s="207"/>
      <c r="XAJ307" s="204"/>
      <c r="XAK307" s="35"/>
      <c r="XAL307" s="202"/>
      <c r="XAM307" s="203"/>
      <c r="XAN307" s="36"/>
      <c r="XAO307" s="36"/>
      <c r="XAP307" s="205"/>
      <c r="XAQ307" s="33"/>
      <c r="XAR307" s="37"/>
      <c r="XAS307" s="37"/>
      <c r="XAT307" s="37"/>
      <c r="XAU307" s="37"/>
      <c r="XAV307" s="37"/>
      <c r="XAW307" s="33"/>
      <c r="XAX307" s="206"/>
      <c r="XAY307" s="207"/>
      <c r="XAZ307" s="204"/>
      <c r="XBA307" s="35"/>
      <c r="XBB307" s="202"/>
      <c r="XBC307" s="203"/>
      <c r="XBD307" s="36"/>
      <c r="XBE307" s="36"/>
      <c r="XBF307" s="205"/>
      <c r="XBG307" s="33"/>
      <c r="XBH307" s="37"/>
      <c r="XBI307" s="37"/>
      <c r="XBJ307" s="37"/>
      <c r="XBK307" s="37"/>
      <c r="XBL307" s="37"/>
      <c r="XBM307" s="33"/>
      <c r="XBN307" s="206"/>
      <c r="XBO307" s="207"/>
      <c r="XBP307" s="204"/>
      <c r="XBQ307" s="35"/>
      <c r="XBR307" s="202"/>
      <c r="XBS307" s="203"/>
      <c r="XBT307" s="36"/>
      <c r="XBU307" s="36"/>
      <c r="XBV307" s="205"/>
      <c r="XBW307" s="33"/>
      <c r="XBX307" s="37"/>
      <c r="XBY307" s="37"/>
      <c r="XBZ307" s="37"/>
      <c r="XCA307" s="37"/>
      <c r="XCB307" s="37"/>
      <c r="XCC307" s="33"/>
      <c r="XCD307" s="206"/>
      <c r="XCE307" s="207"/>
      <c r="XCF307" s="204"/>
      <c r="XCG307" s="35"/>
      <c r="XCH307" s="202"/>
      <c r="XCI307" s="203"/>
      <c r="XCJ307" s="36"/>
      <c r="XCK307" s="36"/>
      <c r="XCL307" s="205"/>
      <c r="XCM307" s="33"/>
      <c r="XCN307" s="37"/>
      <c r="XCO307" s="37"/>
      <c r="XCP307" s="37"/>
      <c r="XCQ307" s="37"/>
      <c r="XCR307" s="37"/>
      <c r="XCS307" s="33"/>
      <c r="XCT307" s="206"/>
      <c r="XCU307" s="207"/>
      <c r="XCV307" s="204"/>
      <c r="XCW307" s="35"/>
      <c r="XCX307" s="202"/>
      <c r="XCY307" s="203"/>
      <c r="XCZ307" s="36"/>
      <c r="XDA307" s="36"/>
      <c r="XDB307" s="205"/>
      <c r="XDC307" s="33"/>
      <c r="XDD307" s="37"/>
      <c r="XDE307" s="37"/>
      <c r="XDF307" s="37"/>
      <c r="XDG307" s="37"/>
      <c r="XDH307" s="37"/>
      <c r="XDI307" s="33"/>
      <c r="XDJ307" s="206"/>
      <c r="XDK307" s="207"/>
      <c r="XDL307" s="204"/>
      <c r="XDM307" s="35"/>
      <c r="XDN307" s="202"/>
      <c r="XDO307" s="203"/>
      <c r="XDP307" s="36"/>
      <c r="XDQ307" s="36"/>
      <c r="XDR307" s="205"/>
      <c r="XDS307" s="33"/>
      <c r="XDT307" s="37"/>
      <c r="XDU307" s="37"/>
      <c r="XDV307" s="37"/>
      <c r="XDW307" s="37"/>
      <c r="XDX307" s="37"/>
      <c r="XDY307" s="33"/>
      <c r="XDZ307" s="206"/>
    </row>
    <row r="308" spans="1:16354" s="39" customFormat="1" ht="18.95" customHeight="1" outlineLevel="1" x14ac:dyDescent="0.25">
      <c r="A308" s="148"/>
      <c r="B308" s="166"/>
      <c r="C308" s="148"/>
      <c r="D308" s="141"/>
      <c r="E308" s="141"/>
      <c r="F308" s="12">
        <v>43647</v>
      </c>
      <c r="G308" s="12">
        <v>43830</v>
      </c>
      <c r="H308" s="150"/>
      <c r="I308" s="91" t="s">
        <v>23</v>
      </c>
      <c r="J308" s="89" t="s">
        <v>23</v>
      </c>
      <c r="K308" s="89" t="s">
        <v>23</v>
      </c>
      <c r="L308" s="92" t="s">
        <v>23</v>
      </c>
      <c r="M308" s="92" t="s">
        <v>23</v>
      </c>
      <c r="N308" s="92" t="s">
        <v>23</v>
      </c>
      <c r="O308" s="13">
        <v>2358.38</v>
      </c>
      <c r="P308" s="140"/>
      <c r="Q308" s="17">
        <f t="shared" si="4"/>
        <v>1965.3166666666668</v>
      </c>
      <c r="R308" s="206"/>
      <c r="S308" s="209"/>
      <c r="T308" s="204"/>
      <c r="U308" s="35"/>
      <c r="V308" s="202"/>
      <c r="W308" s="203"/>
      <c r="X308" s="36"/>
      <c r="Y308" s="36"/>
      <c r="Z308" s="205"/>
      <c r="AA308" s="33"/>
      <c r="AB308" s="37"/>
      <c r="AC308" s="37"/>
      <c r="AD308" s="37"/>
      <c r="AE308" s="37"/>
      <c r="AF308" s="37"/>
      <c r="AG308" s="33"/>
      <c r="AH308" s="206"/>
      <c r="AI308" s="207"/>
      <c r="AJ308" s="204"/>
      <c r="AK308" s="35"/>
      <c r="AL308" s="202"/>
      <c r="AM308" s="203"/>
      <c r="AN308" s="36"/>
      <c r="AO308" s="36"/>
      <c r="AP308" s="205"/>
      <c r="AQ308" s="33"/>
      <c r="AR308" s="37"/>
      <c r="AS308" s="37"/>
      <c r="AT308" s="37"/>
      <c r="AU308" s="37"/>
      <c r="AV308" s="37"/>
      <c r="AW308" s="33"/>
      <c r="AX308" s="206"/>
      <c r="AY308" s="207"/>
      <c r="AZ308" s="204"/>
      <c r="BA308" s="35"/>
      <c r="BB308" s="202"/>
      <c r="BC308" s="203"/>
      <c r="BD308" s="36"/>
      <c r="BE308" s="36"/>
      <c r="BF308" s="205"/>
      <c r="BG308" s="33"/>
      <c r="BH308" s="37"/>
      <c r="BI308" s="37"/>
      <c r="BJ308" s="37"/>
      <c r="BK308" s="37"/>
      <c r="BL308" s="37"/>
      <c r="BM308" s="33"/>
      <c r="BN308" s="206"/>
      <c r="BO308" s="207"/>
      <c r="BP308" s="204"/>
      <c r="BQ308" s="35"/>
      <c r="BR308" s="202"/>
      <c r="BS308" s="203"/>
      <c r="BT308" s="36"/>
      <c r="BU308" s="36"/>
      <c r="BV308" s="205"/>
      <c r="BW308" s="33"/>
      <c r="BX308" s="37"/>
      <c r="BY308" s="37"/>
      <c r="BZ308" s="37"/>
      <c r="CA308" s="37"/>
      <c r="CB308" s="37"/>
      <c r="CC308" s="33"/>
      <c r="CD308" s="206"/>
      <c r="CE308" s="207"/>
      <c r="CF308" s="204"/>
      <c r="CG308" s="35"/>
      <c r="CH308" s="202"/>
      <c r="CI308" s="203"/>
      <c r="CJ308" s="36"/>
      <c r="CK308" s="36"/>
      <c r="CL308" s="205"/>
      <c r="CM308" s="33"/>
      <c r="CN308" s="37"/>
      <c r="CO308" s="37"/>
      <c r="CP308" s="37"/>
      <c r="CQ308" s="37"/>
      <c r="CR308" s="37"/>
      <c r="CS308" s="33"/>
      <c r="CT308" s="206"/>
      <c r="CU308" s="207"/>
      <c r="CV308" s="204"/>
      <c r="CW308" s="35"/>
      <c r="CX308" s="202"/>
      <c r="CY308" s="203"/>
      <c r="CZ308" s="36"/>
      <c r="DA308" s="36"/>
      <c r="DB308" s="205"/>
      <c r="DC308" s="33"/>
      <c r="DD308" s="37"/>
      <c r="DE308" s="37"/>
      <c r="DF308" s="37"/>
      <c r="DG308" s="37"/>
      <c r="DH308" s="37"/>
      <c r="DI308" s="33"/>
      <c r="DJ308" s="206"/>
      <c r="DK308" s="207"/>
      <c r="DL308" s="204"/>
      <c r="DM308" s="35"/>
      <c r="DN308" s="202"/>
      <c r="DO308" s="203"/>
      <c r="DP308" s="36"/>
      <c r="DQ308" s="36"/>
      <c r="DR308" s="205"/>
      <c r="DS308" s="33"/>
      <c r="DT308" s="37"/>
      <c r="DU308" s="37"/>
      <c r="DV308" s="37"/>
      <c r="DW308" s="37"/>
      <c r="DX308" s="37"/>
      <c r="DY308" s="33"/>
      <c r="DZ308" s="206"/>
      <c r="EA308" s="207"/>
      <c r="EB308" s="204"/>
      <c r="EC308" s="35"/>
      <c r="ED308" s="202"/>
      <c r="EE308" s="203"/>
      <c r="EF308" s="36"/>
      <c r="EG308" s="36"/>
      <c r="EH308" s="205"/>
      <c r="EI308" s="33"/>
      <c r="EJ308" s="37"/>
      <c r="EK308" s="37"/>
      <c r="EL308" s="37"/>
      <c r="EM308" s="37"/>
      <c r="EN308" s="37"/>
      <c r="EO308" s="33"/>
      <c r="EP308" s="206"/>
      <c r="EQ308" s="207"/>
      <c r="ER308" s="204"/>
      <c r="ES308" s="35"/>
      <c r="ET308" s="202"/>
      <c r="EU308" s="203"/>
      <c r="EV308" s="36"/>
      <c r="EW308" s="36"/>
      <c r="EX308" s="205"/>
      <c r="EY308" s="33"/>
      <c r="EZ308" s="37"/>
      <c r="FA308" s="37"/>
      <c r="FB308" s="37"/>
      <c r="FC308" s="37"/>
      <c r="FD308" s="37"/>
      <c r="FE308" s="33"/>
      <c r="FF308" s="206"/>
      <c r="FG308" s="207"/>
      <c r="FH308" s="204"/>
      <c r="FI308" s="35"/>
      <c r="FJ308" s="202"/>
      <c r="FK308" s="203"/>
      <c r="FL308" s="36"/>
      <c r="FM308" s="36"/>
      <c r="FN308" s="205"/>
      <c r="FO308" s="33"/>
      <c r="FP308" s="37"/>
      <c r="FQ308" s="37"/>
      <c r="FR308" s="37"/>
      <c r="FS308" s="37"/>
      <c r="FT308" s="37"/>
      <c r="FU308" s="33"/>
      <c r="FV308" s="206"/>
      <c r="FW308" s="207"/>
      <c r="FX308" s="204"/>
      <c r="FY308" s="35"/>
      <c r="FZ308" s="202"/>
      <c r="GA308" s="203"/>
      <c r="GB308" s="36"/>
      <c r="GC308" s="36"/>
      <c r="GD308" s="205"/>
      <c r="GE308" s="33"/>
      <c r="GF308" s="37"/>
      <c r="GG308" s="37"/>
      <c r="GH308" s="37"/>
      <c r="GI308" s="37"/>
      <c r="GJ308" s="37"/>
      <c r="GK308" s="33"/>
      <c r="GL308" s="206"/>
      <c r="GM308" s="207"/>
      <c r="GN308" s="204"/>
      <c r="GO308" s="35"/>
      <c r="GP308" s="202"/>
      <c r="GQ308" s="203"/>
      <c r="GR308" s="36"/>
      <c r="GS308" s="36"/>
      <c r="GT308" s="205"/>
      <c r="GU308" s="33"/>
      <c r="GV308" s="37"/>
      <c r="GW308" s="37"/>
      <c r="GX308" s="37"/>
      <c r="GY308" s="37"/>
      <c r="GZ308" s="37"/>
      <c r="HA308" s="33"/>
      <c r="HB308" s="206"/>
      <c r="HC308" s="207"/>
      <c r="HD308" s="204"/>
      <c r="HE308" s="35"/>
      <c r="HF308" s="202"/>
      <c r="HG308" s="203"/>
      <c r="HH308" s="36"/>
      <c r="HI308" s="36"/>
      <c r="HJ308" s="205"/>
      <c r="HK308" s="33"/>
      <c r="HL308" s="37"/>
      <c r="HM308" s="37"/>
      <c r="HN308" s="37"/>
      <c r="HO308" s="37"/>
      <c r="HP308" s="37"/>
      <c r="HQ308" s="33"/>
      <c r="HR308" s="206"/>
      <c r="HS308" s="207"/>
      <c r="HT308" s="204"/>
      <c r="HU308" s="35"/>
      <c r="HV308" s="202"/>
      <c r="HW308" s="203"/>
      <c r="HX308" s="36"/>
      <c r="HY308" s="36"/>
      <c r="HZ308" s="205"/>
      <c r="IA308" s="33"/>
      <c r="IB308" s="37"/>
      <c r="IC308" s="37"/>
      <c r="ID308" s="37"/>
      <c r="IE308" s="37"/>
      <c r="IF308" s="37"/>
      <c r="IG308" s="33"/>
      <c r="IH308" s="206"/>
      <c r="II308" s="207"/>
      <c r="IJ308" s="204"/>
      <c r="IK308" s="35"/>
      <c r="IL308" s="202"/>
      <c r="IM308" s="203"/>
      <c r="IN308" s="36"/>
      <c r="IO308" s="36"/>
      <c r="IP308" s="205"/>
      <c r="IQ308" s="33"/>
      <c r="IR308" s="37"/>
      <c r="IS308" s="37"/>
      <c r="IT308" s="37"/>
      <c r="IU308" s="37"/>
      <c r="IV308" s="37"/>
      <c r="IW308" s="33"/>
      <c r="IX308" s="206"/>
      <c r="IY308" s="207"/>
      <c r="IZ308" s="204"/>
      <c r="JA308" s="35"/>
      <c r="JB308" s="202"/>
      <c r="JC308" s="203"/>
      <c r="JD308" s="36"/>
      <c r="JE308" s="36"/>
      <c r="JF308" s="205"/>
      <c r="JG308" s="33"/>
      <c r="JH308" s="37"/>
      <c r="JI308" s="37"/>
      <c r="JJ308" s="37"/>
      <c r="JK308" s="37"/>
      <c r="JL308" s="37"/>
      <c r="JM308" s="33"/>
      <c r="JN308" s="206"/>
      <c r="JO308" s="207"/>
      <c r="JP308" s="204"/>
      <c r="JQ308" s="35"/>
      <c r="JR308" s="202"/>
      <c r="JS308" s="203"/>
      <c r="JT308" s="36"/>
      <c r="JU308" s="36"/>
      <c r="JV308" s="205"/>
      <c r="JW308" s="33"/>
      <c r="JX308" s="37"/>
      <c r="JY308" s="37"/>
      <c r="JZ308" s="37"/>
      <c r="KA308" s="37"/>
      <c r="KB308" s="37"/>
      <c r="KC308" s="33"/>
      <c r="KD308" s="206"/>
      <c r="KE308" s="207"/>
      <c r="KF308" s="204"/>
      <c r="KG308" s="35"/>
      <c r="KH308" s="202"/>
      <c r="KI308" s="203"/>
      <c r="KJ308" s="36"/>
      <c r="KK308" s="36"/>
      <c r="KL308" s="205"/>
      <c r="KM308" s="33"/>
      <c r="KN308" s="37"/>
      <c r="KO308" s="37"/>
      <c r="KP308" s="37"/>
      <c r="KQ308" s="37"/>
      <c r="KR308" s="37"/>
      <c r="KS308" s="33"/>
      <c r="KT308" s="206"/>
      <c r="KU308" s="207"/>
      <c r="KV308" s="204"/>
      <c r="KW308" s="35"/>
      <c r="KX308" s="202"/>
      <c r="KY308" s="203"/>
      <c r="KZ308" s="36"/>
      <c r="LA308" s="36"/>
      <c r="LB308" s="205"/>
      <c r="LC308" s="33"/>
      <c r="LD308" s="37"/>
      <c r="LE308" s="37"/>
      <c r="LF308" s="37"/>
      <c r="LG308" s="37"/>
      <c r="LH308" s="37"/>
      <c r="LI308" s="33"/>
      <c r="LJ308" s="206"/>
      <c r="LK308" s="207"/>
      <c r="LL308" s="204"/>
      <c r="LM308" s="35"/>
      <c r="LN308" s="202"/>
      <c r="LO308" s="203"/>
      <c r="LP308" s="36"/>
      <c r="LQ308" s="36"/>
      <c r="LR308" s="205"/>
      <c r="LS308" s="33"/>
      <c r="LT308" s="37"/>
      <c r="LU308" s="37"/>
      <c r="LV308" s="37"/>
      <c r="LW308" s="37"/>
      <c r="LX308" s="37"/>
      <c r="LY308" s="33"/>
      <c r="LZ308" s="206"/>
      <c r="MA308" s="207"/>
      <c r="MB308" s="204"/>
      <c r="MC308" s="35"/>
      <c r="MD308" s="202"/>
      <c r="ME308" s="203"/>
      <c r="MF308" s="36"/>
      <c r="MG308" s="36"/>
      <c r="MH308" s="205"/>
      <c r="MI308" s="33"/>
      <c r="MJ308" s="37"/>
      <c r="MK308" s="37"/>
      <c r="ML308" s="37"/>
      <c r="MM308" s="37"/>
      <c r="MN308" s="37"/>
      <c r="MO308" s="33"/>
      <c r="MP308" s="206"/>
      <c r="MQ308" s="207"/>
      <c r="MR308" s="204"/>
      <c r="MS308" s="35"/>
      <c r="MT308" s="202"/>
      <c r="MU308" s="203"/>
      <c r="MV308" s="36"/>
      <c r="MW308" s="36"/>
      <c r="MX308" s="205"/>
      <c r="MY308" s="33"/>
      <c r="MZ308" s="37"/>
      <c r="NA308" s="37"/>
      <c r="NB308" s="37"/>
      <c r="NC308" s="37"/>
      <c r="ND308" s="37"/>
      <c r="NE308" s="33"/>
      <c r="NF308" s="206"/>
      <c r="NG308" s="207"/>
      <c r="NH308" s="204"/>
      <c r="NI308" s="35"/>
      <c r="NJ308" s="202"/>
      <c r="NK308" s="203"/>
      <c r="NL308" s="36"/>
      <c r="NM308" s="36"/>
      <c r="NN308" s="205"/>
      <c r="NO308" s="33"/>
      <c r="NP308" s="37"/>
      <c r="NQ308" s="37"/>
      <c r="NR308" s="37"/>
      <c r="NS308" s="37"/>
      <c r="NT308" s="37"/>
      <c r="NU308" s="33"/>
      <c r="NV308" s="206"/>
      <c r="NW308" s="207"/>
      <c r="NX308" s="204"/>
      <c r="NY308" s="35"/>
      <c r="NZ308" s="202"/>
      <c r="OA308" s="203"/>
      <c r="OB308" s="36"/>
      <c r="OC308" s="36"/>
      <c r="OD308" s="205"/>
      <c r="OE308" s="33"/>
      <c r="OF308" s="37"/>
      <c r="OG308" s="37"/>
      <c r="OH308" s="37"/>
      <c r="OI308" s="37"/>
      <c r="OJ308" s="37"/>
      <c r="OK308" s="33"/>
      <c r="OL308" s="206"/>
      <c r="OM308" s="207"/>
      <c r="ON308" s="204"/>
      <c r="OO308" s="35"/>
      <c r="OP308" s="202"/>
      <c r="OQ308" s="203"/>
      <c r="OR308" s="36"/>
      <c r="OS308" s="36"/>
      <c r="OT308" s="205"/>
      <c r="OU308" s="33"/>
      <c r="OV308" s="37"/>
      <c r="OW308" s="37"/>
      <c r="OX308" s="37"/>
      <c r="OY308" s="37"/>
      <c r="OZ308" s="37"/>
      <c r="PA308" s="33"/>
      <c r="PB308" s="206"/>
      <c r="PC308" s="207"/>
      <c r="PD308" s="204"/>
      <c r="PE308" s="35"/>
      <c r="PF308" s="202"/>
      <c r="PG308" s="203"/>
      <c r="PH308" s="36"/>
      <c r="PI308" s="36"/>
      <c r="PJ308" s="205"/>
      <c r="PK308" s="33"/>
      <c r="PL308" s="37"/>
      <c r="PM308" s="37"/>
      <c r="PN308" s="37"/>
      <c r="PO308" s="37"/>
      <c r="PP308" s="37"/>
      <c r="PQ308" s="33"/>
      <c r="PR308" s="206"/>
      <c r="PS308" s="207"/>
      <c r="PT308" s="204"/>
      <c r="PU308" s="35"/>
      <c r="PV308" s="202"/>
      <c r="PW308" s="203"/>
      <c r="PX308" s="36"/>
      <c r="PY308" s="36"/>
      <c r="PZ308" s="205"/>
      <c r="QA308" s="33"/>
      <c r="QB308" s="37"/>
      <c r="QC308" s="37"/>
      <c r="QD308" s="37"/>
      <c r="QE308" s="37"/>
      <c r="QF308" s="37"/>
      <c r="QG308" s="33"/>
      <c r="QH308" s="206"/>
      <c r="QI308" s="207"/>
      <c r="QJ308" s="204"/>
      <c r="QK308" s="35"/>
      <c r="QL308" s="202"/>
      <c r="QM308" s="203"/>
      <c r="QN308" s="36"/>
      <c r="QO308" s="36"/>
      <c r="QP308" s="205"/>
      <c r="QQ308" s="33"/>
      <c r="QR308" s="37"/>
      <c r="QS308" s="37"/>
      <c r="QT308" s="37"/>
      <c r="QU308" s="37"/>
      <c r="QV308" s="37"/>
      <c r="QW308" s="33"/>
      <c r="QX308" s="206"/>
      <c r="QY308" s="207"/>
      <c r="QZ308" s="204"/>
      <c r="RA308" s="35"/>
      <c r="RB308" s="202"/>
      <c r="RC308" s="203"/>
      <c r="RD308" s="36"/>
      <c r="RE308" s="36"/>
      <c r="RF308" s="205"/>
      <c r="RG308" s="33"/>
      <c r="RH308" s="37"/>
      <c r="RI308" s="37"/>
      <c r="RJ308" s="37"/>
      <c r="RK308" s="37"/>
      <c r="RL308" s="37"/>
      <c r="RM308" s="33"/>
      <c r="RN308" s="206"/>
      <c r="RO308" s="207"/>
      <c r="RP308" s="204"/>
      <c r="RQ308" s="35"/>
      <c r="RR308" s="202"/>
      <c r="RS308" s="203"/>
      <c r="RT308" s="36"/>
      <c r="RU308" s="36"/>
      <c r="RV308" s="205"/>
      <c r="RW308" s="33"/>
      <c r="RX308" s="37"/>
      <c r="RY308" s="37"/>
      <c r="RZ308" s="37"/>
      <c r="SA308" s="37"/>
      <c r="SB308" s="37"/>
      <c r="SC308" s="33"/>
      <c r="SD308" s="206"/>
      <c r="SE308" s="207"/>
      <c r="SF308" s="204"/>
      <c r="SG308" s="35"/>
      <c r="SH308" s="202"/>
      <c r="SI308" s="203"/>
      <c r="SJ308" s="36"/>
      <c r="SK308" s="36"/>
      <c r="SL308" s="205"/>
      <c r="SM308" s="33"/>
      <c r="SN308" s="37"/>
      <c r="SO308" s="37"/>
      <c r="SP308" s="37"/>
      <c r="SQ308" s="37"/>
      <c r="SR308" s="37"/>
      <c r="SS308" s="33"/>
      <c r="ST308" s="206"/>
      <c r="SU308" s="207"/>
      <c r="SV308" s="204"/>
      <c r="SW308" s="35"/>
      <c r="SX308" s="202"/>
      <c r="SY308" s="203"/>
      <c r="SZ308" s="36"/>
      <c r="TA308" s="36"/>
      <c r="TB308" s="205"/>
      <c r="TC308" s="33"/>
      <c r="TD308" s="37"/>
      <c r="TE308" s="37"/>
      <c r="TF308" s="37"/>
      <c r="TG308" s="37"/>
      <c r="TH308" s="37"/>
      <c r="TI308" s="33"/>
      <c r="TJ308" s="206"/>
      <c r="TK308" s="207"/>
      <c r="TL308" s="204"/>
      <c r="TM308" s="35"/>
      <c r="TN308" s="202"/>
      <c r="TO308" s="203"/>
      <c r="TP308" s="36"/>
      <c r="TQ308" s="36"/>
      <c r="TR308" s="205"/>
      <c r="TS308" s="33"/>
      <c r="TT308" s="37"/>
      <c r="TU308" s="37"/>
      <c r="TV308" s="37"/>
      <c r="TW308" s="37"/>
      <c r="TX308" s="37"/>
      <c r="TY308" s="33"/>
      <c r="TZ308" s="206"/>
      <c r="UA308" s="207"/>
      <c r="UB308" s="204"/>
      <c r="UC308" s="35"/>
      <c r="UD308" s="202"/>
      <c r="UE308" s="203"/>
      <c r="UF308" s="36"/>
      <c r="UG308" s="36"/>
      <c r="UH308" s="205"/>
      <c r="UI308" s="33"/>
      <c r="UJ308" s="37"/>
      <c r="UK308" s="37"/>
      <c r="UL308" s="37"/>
      <c r="UM308" s="37"/>
      <c r="UN308" s="37"/>
      <c r="UO308" s="33"/>
      <c r="UP308" s="206"/>
      <c r="UQ308" s="207"/>
      <c r="UR308" s="204"/>
      <c r="US308" s="35"/>
      <c r="UT308" s="202"/>
      <c r="UU308" s="203"/>
      <c r="UV308" s="36"/>
      <c r="UW308" s="36"/>
      <c r="UX308" s="205"/>
      <c r="UY308" s="33"/>
      <c r="UZ308" s="37"/>
      <c r="VA308" s="37"/>
      <c r="VB308" s="37"/>
      <c r="VC308" s="37"/>
      <c r="VD308" s="37"/>
      <c r="VE308" s="33"/>
      <c r="VF308" s="206"/>
      <c r="VG308" s="207"/>
      <c r="VH308" s="204"/>
      <c r="VI308" s="35"/>
      <c r="VJ308" s="202"/>
      <c r="VK308" s="203"/>
      <c r="VL308" s="36"/>
      <c r="VM308" s="36"/>
      <c r="VN308" s="205"/>
      <c r="VO308" s="33"/>
      <c r="VP308" s="37"/>
      <c r="VQ308" s="37"/>
      <c r="VR308" s="37"/>
      <c r="VS308" s="37"/>
      <c r="VT308" s="37"/>
      <c r="VU308" s="33"/>
      <c r="VV308" s="206"/>
      <c r="VW308" s="207"/>
      <c r="VX308" s="204"/>
      <c r="VY308" s="35"/>
      <c r="VZ308" s="202"/>
      <c r="WA308" s="203"/>
      <c r="WB308" s="36"/>
      <c r="WC308" s="36"/>
      <c r="WD308" s="205"/>
      <c r="WE308" s="33"/>
      <c r="WF308" s="37"/>
      <c r="WG308" s="37"/>
      <c r="WH308" s="37"/>
      <c r="WI308" s="37"/>
      <c r="WJ308" s="37"/>
      <c r="WK308" s="33"/>
      <c r="WL308" s="206"/>
      <c r="WM308" s="207"/>
      <c r="WN308" s="204"/>
      <c r="WO308" s="35"/>
      <c r="WP308" s="202"/>
      <c r="WQ308" s="203"/>
      <c r="WR308" s="36"/>
      <c r="WS308" s="36"/>
      <c r="WT308" s="205"/>
      <c r="WU308" s="33"/>
      <c r="WV308" s="37"/>
      <c r="WW308" s="37"/>
      <c r="WX308" s="37"/>
      <c r="WY308" s="37"/>
      <c r="WZ308" s="37"/>
      <c r="XA308" s="33"/>
      <c r="XB308" s="206"/>
      <c r="XC308" s="207"/>
      <c r="XD308" s="204"/>
      <c r="XE308" s="35"/>
      <c r="XF308" s="202"/>
      <c r="XG308" s="203"/>
      <c r="XH308" s="36"/>
      <c r="XI308" s="36"/>
      <c r="XJ308" s="205"/>
      <c r="XK308" s="33"/>
      <c r="XL308" s="37"/>
      <c r="XM308" s="37"/>
      <c r="XN308" s="37"/>
      <c r="XO308" s="37"/>
      <c r="XP308" s="37"/>
      <c r="XQ308" s="33"/>
      <c r="XR308" s="206"/>
      <c r="XS308" s="207"/>
      <c r="XT308" s="204"/>
      <c r="XU308" s="35"/>
      <c r="XV308" s="202"/>
      <c r="XW308" s="203"/>
      <c r="XX308" s="36"/>
      <c r="XY308" s="36"/>
      <c r="XZ308" s="205"/>
      <c r="YA308" s="33"/>
      <c r="YB308" s="37"/>
      <c r="YC308" s="37"/>
      <c r="YD308" s="37"/>
      <c r="YE308" s="37"/>
      <c r="YF308" s="37"/>
      <c r="YG308" s="33"/>
      <c r="YH308" s="206"/>
      <c r="YI308" s="207"/>
      <c r="YJ308" s="204"/>
      <c r="YK308" s="35"/>
      <c r="YL308" s="202"/>
      <c r="YM308" s="203"/>
      <c r="YN308" s="36"/>
      <c r="YO308" s="36"/>
      <c r="YP308" s="205"/>
      <c r="YQ308" s="33"/>
      <c r="YR308" s="37"/>
      <c r="YS308" s="37"/>
      <c r="YT308" s="37"/>
      <c r="YU308" s="37"/>
      <c r="YV308" s="37"/>
      <c r="YW308" s="33"/>
      <c r="YX308" s="206"/>
      <c r="YY308" s="207"/>
      <c r="YZ308" s="204"/>
      <c r="ZA308" s="35"/>
      <c r="ZB308" s="202"/>
      <c r="ZC308" s="203"/>
      <c r="ZD308" s="36"/>
      <c r="ZE308" s="36"/>
      <c r="ZF308" s="205"/>
      <c r="ZG308" s="33"/>
      <c r="ZH308" s="37"/>
      <c r="ZI308" s="37"/>
      <c r="ZJ308" s="37"/>
      <c r="ZK308" s="37"/>
      <c r="ZL308" s="37"/>
      <c r="ZM308" s="33"/>
      <c r="ZN308" s="206"/>
      <c r="ZO308" s="207"/>
      <c r="ZP308" s="204"/>
      <c r="ZQ308" s="35"/>
      <c r="ZR308" s="202"/>
      <c r="ZS308" s="203"/>
      <c r="ZT308" s="36"/>
      <c r="ZU308" s="36"/>
      <c r="ZV308" s="205"/>
      <c r="ZW308" s="33"/>
      <c r="ZX308" s="37"/>
      <c r="ZY308" s="37"/>
      <c r="ZZ308" s="37"/>
      <c r="AAA308" s="37"/>
      <c r="AAB308" s="37"/>
      <c r="AAC308" s="33"/>
      <c r="AAD308" s="206"/>
      <c r="AAE308" s="207"/>
      <c r="AAF308" s="204"/>
      <c r="AAG308" s="35"/>
      <c r="AAH308" s="202"/>
      <c r="AAI308" s="203"/>
      <c r="AAJ308" s="36"/>
      <c r="AAK308" s="36"/>
      <c r="AAL308" s="205"/>
      <c r="AAM308" s="33"/>
      <c r="AAN308" s="37"/>
      <c r="AAO308" s="37"/>
      <c r="AAP308" s="37"/>
      <c r="AAQ308" s="37"/>
      <c r="AAR308" s="37"/>
      <c r="AAS308" s="33"/>
      <c r="AAT308" s="206"/>
      <c r="AAU308" s="207"/>
      <c r="AAV308" s="204"/>
      <c r="AAW308" s="35"/>
      <c r="AAX308" s="202"/>
      <c r="AAY308" s="203"/>
      <c r="AAZ308" s="36"/>
      <c r="ABA308" s="36"/>
      <c r="ABB308" s="205"/>
      <c r="ABC308" s="33"/>
      <c r="ABD308" s="37"/>
      <c r="ABE308" s="37"/>
      <c r="ABF308" s="37"/>
      <c r="ABG308" s="37"/>
      <c r="ABH308" s="37"/>
      <c r="ABI308" s="33"/>
      <c r="ABJ308" s="206"/>
      <c r="ABK308" s="207"/>
      <c r="ABL308" s="204"/>
      <c r="ABM308" s="35"/>
      <c r="ABN308" s="202"/>
      <c r="ABO308" s="203"/>
      <c r="ABP308" s="36"/>
      <c r="ABQ308" s="36"/>
      <c r="ABR308" s="205"/>
      <c r="ABS308" s="33"/>
      <c r="ABT308" s="37"/>
      <c r="ABU308" s="37"/>
      <c r="ABV308" s="37"/>
      <c r="ABW308" s="37"/>
      <c r="ABX308" s="37"/>
      <c r="ABY308" s="33"/>
      <c r="ABZ308" s="206"/>
      <c r="ACA308" s="207"/>
      <c r="ACB308" s="204"/>
      <c r="ACC308" s="35"/>
      <c r="ACD308" s="202"/>
      <c r="ACE308" s="203"/>
      <c r="ACF308" s="36"/>
      <c r="ACG308" s="36"/>
      <c r="ACH308" s="205"/>
      <c r="ACI308" s="33"/>
      <c r="ACJ308" s="37"/>
      <c r="ACK308" s="37"/>
      <c r="ACL308" s="37"/>
      <c r="ACM308" s="37"/>
      <c r="ACN308" s="37"/>
      <c r="ACO308" s="33"/>
      <c r="ACP308" s="206"/>
      <c r="ACQ308" s="207"/>
      <c r="ACR308" s="204"/>
      <c r="ACS308" s="35"/>
      <c r="ACT308" s="202"/>
      <c r="ACU308" s="203"/>
      <c r="ACV308" s="36"/>
      <c r="ACW308" s="36"/>
      <c r="ACX308" s="205"/>
      <c r="ACY308" s="33"/>
      <c r="ACZ308" s="37"/>
      <c r="ADA308" s="37"/>
      <c r="ADB308" s="37"/>
      <c r="ADC308" s="37"/>
      <c r="ADD308" s="37"/>
      <c r="ADE308" s="33"/>
      <c r="ADF308" s="206"/>
      <c r="ADG308" s="207"/>
      <c r="ADH308" s="204"/>
      <c r="ADI308" s="35"/>
      <c r="ADJ308" s="202"/>
      <c r="ADK308" s="203"/>
      <c r="ADL308" s="36"/>
      <c r="ADM308" s="36"/>
      <c r="ADN308" s="205"/>
      <c r="ADO308" s="33"/>
      <c r="ADP308" s="37"/>
      <c r="ADQ308" s="37"/>
      <c r="ADR308" s="37"/>
      <c r="ADS308" s="37"/>
      <c r="ADT308" s="37"/>
      <c r="ADU308" s="33"/>
      <c r="ADV308" s="206"/>
      <c r="ADW308" s="207"/>
      <c r="ADX308" s="204"/>
      <c r="ADY308" s="35"/>
      <c r="ADZ308" s="202"/>
      <c r="AEA308" s="203"/>
      <c r="AEB308" s="36"/>
      <c r="AEC308" s="36"/>
      <c r="AED308" s="205"/>
      <c r="AEE308" s="33"/>
      <c r="AEF308" s="37"/>
      <c r="AEG308" s="37"/>
      <c r="AEH308" s="37"/>
      <c r="AEI308" s="37"/>
      <c r="AEJ308" s="37"/>
      <c r="AEK308" s="33"/>
      <c r="AEL308" s="206"/>
      <c r="AEM308" s="207"/>
      <c r="AEN308" s="204"/>
      <c r="AEO308" s="35"/>
      <c r="AEP308" s="202"/>
      <c r="AEQ308" s="203"/>
      <c r="AER308" s="36"/>
      <c r="AES308" s="36"/>
      <c r="AET308" s="205"/>
      <c r="AEU308" s="33"/>
      <c r="AEV308" s="37"/>
      <c r="AEW308" s="37"/>
      <c r="AEX308" s="37"/>
      <c r="AEY308" s="37"/>
      <c r="AEZ308" s="37"/>
      <c r="AFA308" s="33"/>
      <c r="AFB308" s="206"/>
      <c r="AFC308" s="207"/>
      <c r="AFD308" s="204"/>
      <c r="AFE308" s="35"/>
      <c r="AFF308" s="202"/>
      <c r="AFG308" s="203"/>
      <c r="AFH308" s="36"/>
      <c r="AFI308" s="36"/>
      <c r="AFJ308" s="205"/>
      <c r="AFK308" s="33"/>
      <c r="AFL308" s="37"/>
      <c r="AFM308" s="37"/>
      <c r="AFN308" s="37"/>
      <c r="AFO308" s="37"/>
      <c r="AFP308" s="37"/>
      <c r="AFQ308" s="33"/>
      <c r="AFR308" s="206"/>
      <c r="AFS308" s="207"/>
      <c r="AFT308" s="204"/>
      <c r="AFU308" s="35"/>
      <c r="AFV308" s="202"/>
      <c r="AFW308" s="203"/>
      <c r="AFX308" s="36"/>
      <c r="AFY308" s="36"/>
      <c r="AFZ308" s="205"/>
      <c r="AGA308" s="33"/>
      <c r="AGB308" s="37"/>
      <c r="AGC308" s="37"/>
      <c r="AGD308" s="37"/>
      <c r="AGE308" s="37"/>
      <c r="AGF308" s="37"/>
      <c r="AGG308" s="33"/>
      <c r="AGH308" s="206"/>
      <c r="AGI308" s="207"/>
      <c r="AGJ308" s="204"/>
      <c r="AGK308" s="35"/>
      <c r="AGL308" s="202"/>
      <c r="AGM308" s="203"/>
      <c r="AGN308" s="36"/>
      <c r="AGO308" s="36"/>
      <c r="AGP308" s="205"/>
      <c r="AGQ308" s="33"/>
      <c r="AGR308" s="37"/>
      <c r="AGS308" s="37"/>
      <c r="AGT308" s="37"/>
      <c r="AGU308" s="37"/>
      <c r="AGV308" s="37"/>
      <c r="AGW308" s="33"/>
      <c r="AGX308" s="206"/>
      <c r="AGY308" s="207"/>
      <c r="AGZ308" s="204"/>
      <c r="AHA308" s="35"/>
      <c r="AHB308" s="202"/>
      <c r="AHC308" s="203"/>
      <c r="AHD308" s="36"/>
      <c r="AHE308" s="36"/>
      <c r="AHF308" s="205"/>
      <c r="AHG308" s="33"/>
      <c r="AHH308" s="37"/>
      <c r="AHI308" s="37"/>
      <c r="AHJ308" s="37"/>
      <c r="AHK308" s="37"/>
      <c r="AHL308" s="37"/>
      <c r="AHM308" s="33"/>
      <c r="AHN308" s="206"/>
      <c r="AHO308" s="207"/>
      <c r="AHP308" s="204"/>
      <c r="AHQ308" s="35"/>
      <c r="AHR308" s="202"/>
      <c r="AHS308" s="203"/>
      <c r="AHT308" s="36"/>
      <c r="AHU308" s="36"/>
      <c r="AHV308" s="205"/>
      <c r="AHW308" s="33"/>
      <c r="AHX308" s="37"/>
      <c r="AHY308" s="37"/>
      <c r="AHZ308" s="37"/>
      <c r="AIA308" s="37"/>
      <c r="AIB308" s="37"/>
      <c r="AIC308" s="33"/>
      <c r="AID308" s="206"/>
      <c r="AIE308" s="207"/>
      <c r="AIF308" s="204"/>
      <c r="AIG308" s="35"/>
      <c r="AIH308" s="202"/>
      <c r="AII308" s="203"/>
      <c r="AIJ308" s="36"/>
      <c r="AIK308" s="36"/>
      <c r="AIL308" s="205"/>
      <c r="AIM308" s="33"/>
      <c r="AIN308" s="37"/>
      <c r="AIO308" s="37"/>
      <c r="AIP308" s="37"/>
      <c r="AIQ308" s="37"/>
      <c r="AIR308" s="37"/>
      <c r="AIS308" s="33"/>
      <c r="AIT308" s="206"/>
      <c r="AIU308" s="207"/>
      <c r="AIV308" s="204"/>
      <c r="AIW308" s="35"/>
      <c r="AIX308" s="202"/>
      <c r="AIY308" s="203"/>
      <c r="AIZ308" s="36"/>
      <c r="AJA308" s="36"/>
      <c r="AJB308" s="205"/>
      <c r="AJC308" s="33"/>
      <c r="AJD308" s="37"/>
      <c r="AJE308" s="37"/>
      <c r="AJF308" s="37"/>
      <c r="AJG308" s="37"/>
      <c r="AJH308" s="37"/>
      <c r="AJI308" s="33"/>
      <c r="AJJ308" s="206"/>
      <c r="AJK308" s="207"/>
      <c r="AJL308" s="204"/>
      <c r="AJM308" s="35"/>
      <c r="AJN308" s="202"/>
      <c r="AJO308" s="203"/>
      <c r="AJP308" s="36"/>
      <c r="AJQ308" s="36"/>
      <c r="AJR308" s="205"/>
      <c r="AJS308" s="33"/>
      <c r="AJT308" s="37"/>
      <c r="AJU308" s="37"/>
      <c r="AJV308" s="37"/>
      <c r="AJW308" s="37"/>
      <c r="AJX308" s="37"/>
      <c r="AJY308" s="33"/>
      <c r="AJZ308" s="206"/>
      <c r="AKA308" s="207"/>
      <c r="AKB308" s="204"/>
      <c r="AKC308" s="35"/>
      <c r="AKD308" s="202"/>
      <c r="AKE308" s="203"/>
      <c r="AKF308" s="36"/>
      <c r="AKG308" s="36"/>
      <c r="AKH308" s="205"/>
      <c r="AKI308" s="33"/>
      <c r="AKJ308" s="37"/>
      <c r="AKK308" s="37"/>
      <c r="AKL308" s="37"/>
      <c r="AKM308" s="37"/>
      <c r="AKN308" s="37"/>
      <c r="AKO308" s="33"/>
      <c r="AKP308" s="206"/>
      <c r="AKQ308" s="207"/>
      <c r="AKR308" s="204"/>
      <c r="AKS308" s="35"/>
      <c r="AKT308" s="202"/>
      <c r="AKU308" s="203"/>
      <c r="AKV308" s="36"/>
      <c r="AKW308" s="36"/>
      <c r="AKX308" s="205"/>
      <c r="AKY308" s="33"/>
      <c r="AKZ308" s="37"/>
      <c r="ALA308" s="37"/>
      <c r="ALB308" s="37"/>
      <c r="ALC308" s="37"/>
      <c r="ALD308" s="37"/>
      <c r="ALE308" s="33"/>
      <c r="ALF308" s="206"/>
      <c r="ALG308" s="207"/>
      <c r="ALH308" s="204"/>
      <c r="ALI308" s="35"/>
      <c r="ALJ308" s="202"/>
      <c r="ALK308" s="203"/>
      <c r="ALL308" s="36"/>
      <c r="ALM308" s="36"/>
      <c r="ALN308" s="205"/>
      <c r="ALO308" s="33"/>
      <c r="ALP308" s="37"/>
      <c r="ALQ308" s="37"/>
      <c r="ALR308" s="37"/>
      <c r="ALS308" s="37"/>
      <c r="ALT308" s="37"/>
      <c r="ALU308" s="33"/>
      <c r="ALV308" s="206"/>
      <c r="ALW308" s="207"/>
      <c r="ALX308" s="204"/>
      <c r="ALY308" s="35"/>
      <c r="ALZ308" s="202"/>
      <c r="AMA308" s="203"/>
      <c r="AMB308" s="36"/>
      <c r="AMC308" s="36"/>
      <c r="AMD308" s="205"/>
      <c r="AME308" s="33"/>
      <c r="AMF308" s="37"/>
      <c r="AMG308" s="37"/>
      <c r="AMH308" s="37"/>
      <c r="AMI308" s="37"/>
      <c r="AMJ308" s="37"/>
      <c r="AMK308" s="33"/>
      <c r="AML308" s="206"/>
      <c r="AMM308" s="207"/>
      <c r="AMN308" s="204"/>
      <c r="AMO308" s="35"/>
      <c r="AMP308" s="202"/>
      <c r="AMQ308" s="203"/>
      <c r="AMR308" s="36"/>
      <c r="AMS308" s="36"/>
      <c r="AMT308" s="205"/>
      <c r="AMU308" s="33"/>
      <c r="AMV308" s="37"/>
      <c r="AMW308" s="37"/>
      <c r="AMX308" s="37"/>
      <c r="AMY308" s="37"/>
      <c r="AMZ308" s="37"/>
      <c r="ANA308" s="33"/>
      <c r="ANB308" s="206"/>
      <c r="ANC308" s="207"/>
      <c r="AND308" s="204"/>
      <c r="ANE308" s="35"/>
      <c r="ANF308" s="202"/>
      <c r="ANG308" s="203"/>
      <c r="ANH308" s="36"/>
      <c r="ANI308" s="36"/>
      <c r="ANJ308" s="205"/>
      <c r="ANK308" s="33"/>
      <c r="ANL308" s="37"/>
      <c r="ANM308" s="37"/>
      <c r="ANN308" s="37"/>
      <c r="ANO308" s="37"/>
      <c r="ANP308" s="37"/>
      <c r="ANQ308" s="33"/>
      <c r="ANR308" s="206"/>
      <c r="ANS308" s="207"/>
      <c r="ANT308" s="204"/>
      <c r="ANU308" s="35"/>
      <c r="ANV308" s="202"/>
      <c r="ANW308" s="203"/>
      <c r="ANX308" s="36"/>
      <c r="ANY308" s="36"/>
      <c r="ANZ308" s="205"/>
      <c r="AOA308" s="33"/>
      <c r="AOB308" s="37"/>
      <c r="AOC308" s="37"/>
      <c r="AOD308" s="37"/>
      <c r="AOE308" s="37"/>
      <c r="AOF308" s="37"/>
      <c r="AOG308" s="33"/>
      <c r="AOH308" s="206"/>
      <c r="AOI308" s="207"/>
      <c r="AOJ308" s="204"/>
      <c r="AOK308" s="35"/>
      <c r="AOL308" s="202"/>
      <c r="AOM308" s="203"/>
      <c r="AON308" s="36"/>
      <c r="AOO308" s="36"/>
      <c r="AOP308" s="205"/>
      <c r="AOQ308" s="33"/>
      <c r="AOR308" s="37"/>
      <c r="AOS308" s="37"/>
      <c r="AOT308" s="37"/>
      <c r="AOU308" s="37"/>
      <c r="AOV308" s="37"/>
      <c r="AOW308" s="33"/>
      <c r="AOX308" s="206"/>
      <c r="AOY308" s="207"/>
      <c r="AOZ308" s="204"/>
      <c r="APA308" s="35"/>
      <c r="APB308" s="202"/>
      <c r="APC308" s="203"/>
      <c r="APD308" s="36"/>
      <c r="APE308" s="36"/>
      <c r="APF308" s="205"/>
      <c r="APG308" s="33"/>
      <c r="APH308" s="37"/>
      <c r="API308" s="37"/>
      <c r="APJ308" s="37"/>
      <c r="APK308" s="37"/>
      <c r="APL308" s="37"/>
      <c r="APM308" s="33"/>
      <c r="APN308" s="206"/>
      <c r="APO308" s="207"/>
      <c r="APP308" s="204"/>
      <c r="APQ308" s="35"/>
      <c r="APR308" s="202"/>
      <c r="APS308" s="203"/>
      <c r="APT308" s="36"/>
      <c r="APU308" s="36"/>
      <c r="APV308" s="205"/>
      <c r="APW308" s="33"/>
      <c r="APX308" s="37"/>
      <c r="APY308" s="37"/>
      <c r="APZ308" s="37"/>
      <c r="AQA308" s="37"/>
      <c r="AQB308" s="37"/>
      <c r="AQC308" s="33"/>
      <c r="AQD308" s="206"/>
      <c r="AQE308" s="207"/>
      <c r="AQF308" s="204"/>
      <c r="AQG308" s="35"/>
      <c r="AQH308" s="202"/>
      <c r="AQI308" s="203"/>
      <c r="AQJ308" s="36"/>
      <c r="AQK308" s="36"/>
      <c r="AQL308" s="205"/>
      <c r="AQM308" s="33"/>
      <c r="AQN308" s="37"/>
      <c r="AQO308" s="37"/>
      <c r="AQP308" s="37"/>
      <c r="AQQ308" s="37"/>
      <c r="AQR308" s="37"/>
      <c r="AQS308" s="33"/>
      <c r="AQT308" s="206"/>
      <c r="AQU308" s="207"/>
      <c r="AQV308" s="204"/>
      <c r="AQW308" s="35"/>
      <c r="AQX308" s="202"/>
      <c r="AQY308" s="203"/>
      <c r="AQZ308" s="36"/>
      <c r="ARA308" s="36"/>
      <c r="ARB308" s="205"/>
      <c r="ARC308" s="33"/>
      <c r="ARD308" s="37"/>
      <c r="ARE308" s="37"/>
      <c r="ARF308" s="37"/>
      <c r="ARG308" s="37"/>
      <c r="ARH308" s="37"/>
      <c r="ARI308" s="33"/>
      <c r="ARJ308" s="206"/>
      <c r="ARK308" s="207"/>
      <c r="ARL308" s="204"/>
      <c r="ARM308" s="35"/>
      <c r="ARN308" s="202"/>
      <c r="ARO308" s="203"/>
      <c r="ARP308" s="36"/>
      <c r="ARQ308" s="36"/>
      <c r="ARR308" s="205"/>
      <c r="ARS308" s="33"/>
      <c r="ART308" s="37"/>
      <c r="ARU308" s="37"/>
      <c r="ARV308" s="37"/>
      <c r="ARW308" s="37"/>
      <c r="ARX308" s="37"/>
      <c r="ARY308" s="33"/>
      <c r="ARZ308" s="206"/>
      <c r="ASA308" s="207"/>
      <c r="ASB308" s="204"/>
      <c r="ASC308" s="35"/>
      <c r="ASD308" s="202"/>
      <c r="ASE308" s="203"/>
      <c r="ASF308" s="36"/>
      <c r="ASG308" s="36"/>
      <c r="ASH308" s="205"/>
      <c r="ASI308" s="33"/>
      <c r="ASJ308" s="37"/>
      <c r="ASK308" s="37"/>
      <c r="ASL308" s="37"/>
      <c r="ASM308" s="37"/>
      <c r="ASN308" s="37"/>
      <c r="ASO308" s="33"/>
      <c r="ASP308" s="206"/>
      <c r="ASQ308" s="207"/>
      <c r="ASR308" s="204"/>
      <c r="ASS308" s="35"/>
      <c r="AST308" s="202"/>
      <c r="ASU308" s="203"/>
      <c r="ASV308" s="36"/>
      <c r="ASW308" s="36"/>
      <c r="ASX308" s="205"/>
      <c r="ASY308" s="33"/>
      <c r="ASZ308" s="37"/>
      <c r="ATA308" s="37"/>
      <c r="ATB308" s="37"/>
      <c r="ATC308" s="37"/>
      <c r="ATD308" s="37"/>
      <c r="ATE308" s="33"/>
      <c r="ATF308" s="206"/>
      <c r="ATG308" s="207"/>
      <c r="ATH308" s="204"/>
      <c r="ATI308" s="35"/>
      <c r="ATJ308" s="202"/>
      <c r="ATK308" s="203"/>
      <c r="ATL308" s="36"/>
      <c r="ATM308" s="36"/>
      <c r="ATN308" s="205"/>
      <c r="ATO308" s="33"/>
      <c r="ATP308" s="37"/>
      <c r="ATQ308" s="37"/>
      <c r="ATR308" s="37"/>
      <c r="ATS308" s="37"/>
      <c r="ATT308" s="37"/>
      <c r="ATU308" s="33"/>
      <c r="ATV308" s="206"/>
      <c r="ATW308" s="207"/>
      <c r="ATX308" s="204"/>
      <c r="ATY308" s="35"/>
      <c r="ATZ308" s="202"/>
      <c r="AUA308" s="203"/>
      <c r="AUB308" s="36"/>
      <c r="AUC308" s="36"/>
      <c r="AUD308" s="205"/>
      <c r="AUE308" s="33"/>
      <c r="AUF308" s="37"/>
      <c r="AUG308" s="37"/>
      <c r="AUH308" s="37"/>
      <c r="AUI308" s="37"/>
      <c r="AUJ308" s="37"/>
      <c r="AUK308" s="33"/>
      <c r="AUL308" s="206"/>
      <c r="AUM308" s="207"/>
      <c r="AUN308" s="204"/>
      <c r="AUO308" s="35"/>
      <c r="AUP308" s="202"/>
      <c r="AUQ308" s="203"/>
      <c r="AUR308" s="36"/>
      <c r="AUS308" s="36"/>
      <c r="AUT308" s="205"/>
      <c r="AUU308" s="33"/>
      <c r="AUV308" s="37"/>
      <c r="AUW308" s="37"/>
      <c r="AUX308" s="37"/>
      <c r="AUY308" s="37"/>
      <c r="AUZ308" s="37"/>
      <c r="AVA308" s="33"/>
      <c r="AVB308" s="206"/>
      <c r="AVC308" s="207"/>
      <c r="AVD308" s="204"/>
      <c r="AVE308" s="35"/>
      <c r="AVF308" s="202"/>
      <c r="AVG308" s="203"/>
      <c r="AVH308" s="36"/>
      <c r="AVI308" s="36"/>
      <c r="AVJ308" s="205"/>
      <c r="AVK308" s="33"/>
      <c r="AVL308" s="37"/>
      <c r="AVM308" s="37"/>
      <c r="AVN308" s="37"/>
      <c r="AVO308" s="37"/>
      <c r="AVP308" s="37"/>
      <c r="AVQ308" s="33"/>
      <c r="AVR308" s="206"/>
      <c r="AVS308" s="207"/>
      <c r="AVT308" s="204"/>
      <c r="AVU308" s="35"/>
      <c r="AVV308" s="202"/>
      <c r="AVW308" s="203"/>
      <c r="AVX308" s="36"/>
      <c r="AVY308" s="36"/>
      <c r="AVZ308" s="205"/>
      <c r="AWA308" s="33"/>
      <c r="AWB308" s="37"/>
      <c r="AWC308" s="37"/>
      <c r="AWD308" s="37"/>
      <c r="AWE308" s="37"/>
      <c r="AWF308" s="37"/>
      <c r="AWG308" s="33"/>
      <c r="AWH308" s="206"/>
      <c r="AWI308" s="207"/>
      <c r="AWJ308" s="204"/>
      <c r="AWK308" s="35"/>
      <c r="AWL308" s="202"/>
      <c r="AWM308" s="203"/>
      <c r="AWN308" s="36"/>
      <c r="AWO308" s="36"/>
      <c r="AWP308" s="205"/>
      <c r="AWQ308" s="33"/>
      <c r="AWR308" s="37"/>
      <c r="AWS308" s="37"/>
      <c r="AWT308" s="37"/>
      <c r="AWU308" s="37"/>
      <c r="AWV308" s="37"/>
      <c r="AWW308" s="33"/>
      <c r="AWX308" s="206"/>
      <c r="AWY308" s="207"/>
      <c r="AWZ308" s="204"/>
      <c r="AXA308" s="35"/>
      <c r="AXB308" s="202"/>
      <c r="AXC308" s="203"/>
      <c r="AXD308" s="36"/>
      <c r="AXE308" s="36"/>
      <c r="AXF308" s="205"/>
      <c r="AXG308" s="33"/>
      <c r="AXH308" s="37"/>
      <c r="AXI308" s="37"/>
      <c r="AXJ308" s="37"/>
      <c r="AXK308" s="37"/>
      <c r="AXL308" s="37"/>
      <c r="AXM308" s="33"/>
      <c r="AXN308" s="206"/>
      <c r="AXO308" s="207"/>
      <c r="AXP308" s="204"/>
      <c r="AXQ308" s="35"/>
      <c r="AXR308" s="202"/>
      <c r="AXS308" s="203"/>
      <c r="AXT308" s="36"/>
      <c r="AXU308" s="36"/>
      <c r="AXV308" s="205"/>
      <c r="AXW308" s="33"/>
      <c r="AXX308" s="37"/>
      <c r="AXY308" s="37"/>
      <c r="AXZ308" s="37"/>
      <c r="AYA308" s="37"/>
      <c r="AYB308" s="37"/>
      <c r="AYC308" s="33"/>
      <c r="AYD308" s="206"/>
      <c r="AYE308" s="207"/>
      <c r="AYF308" s="204"/>
      <c r="AYG308" s="35"/>
      <c r="AYH308" s="202"/>
      <c r="AYI308" s="203"/>
      <c r="AYJ308" s="36"/>
      <c r="AYK308" s="36"/>
      <c r="AYL308" s="205"/>
      <c r="AYM308" s="33"/>
      <c r="AYN308" s="37"/>
      <c r="AYO308" s="37"/>
      <c r="AYP308" s="37"/>
      <c r="AYQ308" s="37"/>
      <c r="AYR308" s="37"/>
      <c r="AYS308" s="33"/>
      <c r="AYT308" s="206"/>
      <c r="AYU308" s="207"/>
      <c r="AYV308" s="204"/>
      <c r="AYW308" s="35"/>
      <c r="AYX308" s="202"/>
      <c r="AYY308" s="203"/>
      <c r="AYZ308" s="36"/>
      <c r="AZA308" s="36"/>
      <c r="AZB308" s="205"/>
      <c r="AZC308" s="33"/>
      <c r="AZD308" s="37"/>
      <c r="AZE308" s="37"/>
      <c r="AZF308" s="37"/>
      <c r="AZG308" s="37"/>
      <c r="AZH308" s="37"/>
      <c r="AZI308" s="33"/>
      <c r="AZJ308" s="206"/>
      <c r="AZK308" s="207"/>
      <c r="AZL308" s="204"/>
      <c r="AZM308" s="35"/>
      <c r="AZN308" s="202"/>
      <c r="AZO308" s="203"/>
      <c r="AZP308" s="36"/>
      <c r="AZQ308" s="36"/>
      <c r="AZR308" s="205"/>
      <c r="AZS308" s="33"/>
      <c r="AZT308" s="37"/>
      <c r="AZU308" s="37"/>
      <c r="AZV308" s="37"/>
      <c r="AZW308" s="37"/>
      <c r="AZX308" s="37"/>
      <c r="AZY308" s="33"/>
      <c r="AZZ308" s="206"/>
      <c r="BAA308" s="207"/>
      <c r="BAB308" s="204"/>
      <c r="BAC308" s="35"/>
      <c r="BAD308" s="202"/>
      <c r="BAE308" s="203"/>
      <c r="BAF308" s="36"/>
      <c r="BAG308" s="36"/>
      <c r="BAH308" s="205"/>
      <c r="BAI308" s="33"/>
      <c r="BAJ308" s="37"/>
      <c r="BAK308" s="37"/>
      <c r="BAL308" s="37"/>
      <c r="BAM308" s="37"/>
      <c r="BAN308" s="37"/>
      <c r="BAO308" s="33"/>
      <c r="BAP308" s="206"/>
      <c r="BAQ308" s="207"/>
      <c r="BAR308" s="204"/>
      <c r="BAS308" s="35"/>
      <c r="BAT308" s="202"/>
      <c r="BAU308" s="203"/>
      <c r="BAV308" s="36"/>
      <c r="BAW308" s="36"/>
      <c r="BAX308" s="205"/>
      <c r="BAY308" s="33"/>
      <c r="BAZ308" s="37"/>
      <c r="BBA308" s="37"/>
      <c r="BBB308" s="37"/>
      <c r="BBC308" s="37"/>
      <c r="BBD308" s="37"/>
      <c r="BBE308" s="33"/>
      <c r="BBF308" s="206"/>
      <c r="BBG308" s="207"/>
      <c r="BBH308" s="204"/>
      <c r="BBI308" s="35"/>
      <c r="BBJ308" s="202"/>
      <c r="BBK308" s="203"/>
      <c r="BBL308" s="36"/>
      <c r="BBM308" s="36"/>
      <c r="BBN308" s="205"/>
      <c r="BBO308" s="33"/>
      <c r="BBP308" s="37"/>
      <c r="BBQ308" s="37"/>
      <c r="BBR308" s="37"/>
      <c r="BBS308" s="37"/>
      <c r="BBT308" s="37"/>
      <c r="BBU308" s="33"/>
      <c r="BBV308" s="206"/>
      <c r="BBW308" s="207"/>
      <c r="BBX308" s="204"/>
      <c r="BBY308" s="35"/>
      <c r="BBZ308" s="202"/>
      <c r="BCA308" s="203"/>
      <c r="BCB308" s="36"/>
      <c r="BCC308" s="36"/>
      <c r="BCD308" s="205"/>
      <c r="BCE308" s="33"/>
      <c r="BCF308" s="37"/>
      <c r="BCG308" s="37"/>
      <c r="BCH308" s="37"/>
      <c r="BCI308" s="37"/>
      <c r="BCJ308" s="37"/>
      <c r="BCK308" s="33"/>
      <c r="BCL308" s="206"/>
      <c r="BCM308" s="207"/>
      <c r="BCN308" s="204"/>
      <c r="BCO308" s="35"/>
      <c r="BCP308" s="202"/>
      <c r="BCQ308" s="203"/>
      <c r="BCR308" s="36"/>
      <c r="BCS308" s="36"/>
      <c r="BCT308" s="205"/>
      <c r="BCU308" s="33"/>
      <c r="BCV308" s="37"/>
      <c r="BCW308" s="37"/>
      <c r="BCX308" s="37"/>
      <c r="BCY308" s="37"/>
      <c r="BCZ308" s="37"/>
      <c r="BDA308" s="33"/>
      <c r="BDB308" s="206"/>
      <c r="BDC308" s="207"/>
      <c r="BDD308" s="204"/>
      <c r="BDE308" s="35"/>
      <c r="BDF308" s="202"/>
      <c r="BDG308" s="203"/>
      <c r="BDH308" s="36"/>
      <c r="BDI308" s="36"/>
      <c r="BDJ308" s="205"/>
      <c r="BDK308" s="33"/>
      <c r="BDL308" s="37"/>
      <c r="BDM308" s="37"/>
      <c r="BDN308" s="37"/>
      <c r="BDO308" s="37"/>
      <c r="BDP308" s="37"/>
      <c r="BDQ308" s="33"/>
      <c r="BDR308" s="206"/>
      <c r="BDS308" s="207"/>
      <c r="BDT308" s="204"/>
      <c r="BDU308" s="35"/>
      <c r="BDV308" s="202"/>
      <c r="BDW308" s="203"/>
      <c r="BDX308" s="36"/>
      <c r="BDY308" s="36"/>
      <c r="BDZ308" s="205"/>
      <c r="BEA308" s="33"/>
      <c r="BEB308" s="37"/>
      <c r="BEC308" s="37"/>
      <c r="BED308" s="37"/>
      <c r="BEE308" s="37"/>
      <c r="BEF308" s="37"/>
      <c r="BEG308" s="33"/>
      <c r="BEH308" s="206"/>
      <c r="BEI308" s="207"/>
      <c r="BEJ308" s="204"/>
      <c r="BEK308" s="35"/>
      <c r="BEL308" s="202"/>
      <c r="BEM308" s="203"/>
      <c r="BEN308" s="36"/>
      <c r="BEO308" s="36"/>
      <c r="BEP308" s="205"/>
      <c r="BEQ308" s="33"/>
      <c r="BER308" s="37"/>
      <c r="BES308" s="37"/>
      <c r="BET308" s="37"/>
      <c r="BEU308" s="37"/>
      <c r="BEV308" s="37"/>
      <c r="BEW308" s="33"/>
      <c r="BEX308" s="206"/>
      <c r="BEY308" s="207"/>
      <c r="BEZ308" s="204"/>
      <c r="BFA308" s="35"/>
      <c r="BFB308" s="202"/>
      <c r="BFC308" s="203"/>
      <c r="BFD308" s="36"/>
      <c r="BFE308" s="36"/>
      <c r="BFF308" s="205"/>
      <c r="BFG308" s="33"/>
      <c r="BFH308" s="37"/>
      <c r="BFI308" s="37"/>
      <c r="BFJ308" s="37"/>
      <c r="BFK308" s="37"/>
      <c r="BFL308" s="37"/>
      <c r="BFM308" s="33"/>
      <c r="BFN308" s="206"/>
      <c r="BFO308" s="207"/>
      <c r="BFP308" s="204"/>
      <c r="BFQ308" s="35"/>
      <c r="BFR308" s="202"/>
      <c r="BFS308" s="203"/>
      <c r="BFT308" s="36"/>
      <c r="BFU308" s="36"/>
      <c r="BFV308" s="205"/>
      <c r="BFW308" s="33"/>
      <c r="BFX308" s="37"/>
      <c r="BFY308" s="37"/>
      <c r="BFZ308" s="37"/>
      <c r="BGA308" s="37"/>
      <c r="BGB308" s="37"/>
      <c r="BGC308" s="33"/>
      <c r="BGD308" s="206"/>
      <c r="BGE308" s="207"/>
      <c r="BGF308" s="204"/>
      <c r="BGG308" s="35"/>
      <c r="BGH308" s="202"/>
      <c r="BGI308" s="203"/>
      <c r="BGJ308" s="36"/>
      <c r="BGK308" s="36"/>
      <c r="BGL308" s="205"/>
      <c r="BGM308" s="33"/>
      <c r="BGN308" s="37"/>
      <c r="BGO308" s="37"/>
      <c r="BGP308" s="37"/>
      <c r="BGQ308" s="37"/>
      <c r="BGR308" s="37"/>
      <c r="BGS308" s="33"/>
      <c r="BGT308" s="206"/>
      <c r="BGU308" s="207"/>
      <c r="BGV308" s="204"/>
      <c r="BGW308" s="35"/>
      <c r="BGX308" s="202"/>
      <c r="BGY308" s="203"/>
      <c r="BGZ308" s="36"/>
      <c r="BHA308" s="36"/>
      <c r="BHB308" s="205"/>
      <c r="BHC308" s="33"/>
      <c r="BHD308" s="37"/>
      <c r="BHE308" s="37"/>
      <c r="BHF308" s="37"/>
      <c r="BHG308" s="37"/>
      <c r="BHH308" s="37"/>
      <c r="BHI308" s="33"/>
      <c r="BHJ308" s="206"/>
      <c r="BHK308" s="207"/>
      <c r="BHL308" s="204"/>
      <c r="BHM308" s="35"/>
      <c r="BHN308" s="202"/>
      <c r="BHO308" s="203"/>
      <c r="BHP308" s="36"/>
      <c r="BHQ308" s="36"/>
      <c r="BHR308" s="205"/>
      <c r="BHS308" s="33"/>
      <c r="BHT308" s="37"/>
      <c r="BHU308" s="37"/>
      <c r="BHV308" s="37"/>
      <c r="BHW308" s="37"/>
      <c r="BHX308" s="37"/>
      <c r="BHY308" s="33"/>
      <c r="BHZ308" s="206"/>
      <c r="BIA308" s="207"/>
      <c r="BIB308" s="204"/>
      <c r="BIC308" s="35"/>
      <c r="BID308" s="202"/>
      <c r="BIE308" s="203"/>
      <c r="BIF308" s="36"/>
      <c r="BIG308" s="36"/>
      <c r="BIH308" s="205"/>
      <c r="BII308" s="33"/>
      <c r="BIJ308" s="37"/>
      <c r="BIK308" s="37"/>
      <c r="BIL308" s="37"/>
      <c r="BIM308" s="37"/>
      <c r="BIN308" s="37"/>
      <c r="BIO308" s="33"/>
      <c r="BIP308" s="206"/>
      <c r="BIQ308" s="207"/>
      <c r="BIR308" s="204"/>
      <c r="BIS308" s="35"/>
      <c r="BIT308" s="202"/>
      <c r="BIU308" s="203"/>
      <c r="BIV308" s="36"/>
      <c r="BIW308" s="36"/>
      <c r="BIX308" s="205"/>
      <c r="BIY308" s="33"/>
      <c r="BIZ308" s="37"/>
      <c r="BJA308" s="37"/>
      <c r="BJB308" s="37"/>
      <c r="BJC308" s="37"/>
      <c r="BJD308" s="37"/>
      <c r="BJE308" s="33"/>
      <c r="BJF308" s="206"/>
      <c r="BJG308" s="207"/>
      <c r="BJH308" s="204"/>
      <c r="BJI308" s="35"/>
      <c r="BJJ308" s="202"/>
      <c r="BJK308" s="203"/>
      <c r="BJL308" s="36"/>
      <c r="BJM308" s="36"/>
      <c r="BJN308" s="205"/>
      <c r="BJO308" s="33"/>
      <c r="BJP308" s="37"/>
      <c r="BJQ308" s="37"/>
      <c r="BJR308" s="37"/>
      <c r="BJS308" s="37"/>
      <c r="BJT308" s="37"/>
      <c r="BJU308" s="33"/>
      <c r="BJV308" s="206"/>
      <c r="BJW308" s="207"/>
      <c r="BJX308" s="204"/>
      <c r="BJY308" s="35"/>
      <c r="BJZ308" s="202"/>
      <c r="BKA308" s="203"/>
      <c r="BKB308" s="36"/>
      <c r="BKC308" s="36"/>
      <c r="BKD308" s="205"/>
      <c r="BKE308" s="33"/>
      <c r="BKF308" s="37"/>
      <c r="BKG308" s="37"/>
      <c r="BKH308" s="37"/>
      <c r="BKI308" s="37"/>
      <c r="BKJ308" s="37"/>
      <c r="BKK308" s="33"/>
      <c r="BKL308" s="206"/>
      <c r="BKM308" s="207"/>
      <c r="BKN308" s="204"/>
      <c r="BKO308" s="35"/>
      <c r="BKP308" s="202"/>
      <c r="BKQ308" s="203"/>
      <c r="BKR308" s="36"/>
      <c r="BKS308" s="36"/>
      <c r="BKT308" s="205"/>
      <c r="BKU308" s="33"/>
      <c r="BKV308" s="37"/>
      <c r="BKW308" s="37"/>
      <c r="BKX308" s="37"/>
      <c r="BKY308" s="37"/>
      <c r="BKZ308" s="37"/>
      <c r="BLA308" s="33"/>
      <c r="BLB308" s="206"/>
      <c r="BLC308" s="207"/>
      <c r="BLD308" s="204"/>
      <c r="BLE308" s="35"/>
      <c r="BLF308" s="202"/>
      <c r="BLG308" s="203"/>
      <c r="BLH308" s="36"/>
      <c r="BLI308" s="36"/>
      <c r="BLJ308" s="205"/>
      <c r="BLK308" s="33"/>
      <c r="BLL308" s="37"/>
      <c r="BLM308" s="37"/>
      <c r="BLN308" s="37"/>
      <c r="BLO308" s="37"/>
      <c r="BLP308" s="37"/>
      <c r="BLQ308" s="33"/>
      <c r="BLR308" s="206"/>
      <c r="BLS308" s="207"/>
      <c r="BLT308" s="204"/>
      <c r="BLU308" s="35"/>
      <c r="BLV308" s="202"/>
      <c r="BLW308" s="203"/>
      <c r="BLX308" s="36"/>
      <c r="BLY308" s="36"/>
      <c r="BLZ308" s="205"/>
      <c r="BMA308" s="33"/>
      <c r="BMB308" s="37"/>
      <c r="BMC308" s="37"/>
      <c r="BMD308" s="37"/>
      <c r="BME308" s="37"/>
      <c r="BMF308" s="37"/>
      <c r="BMG308" s="33"/>
      <c r="BMH308" s="206"/>
      <c r="BMI308" s="207"/>
      <c r="BMJ308" s="204"/>
      <c r="BMK308" s="35"/>
      <c r="BML308" s="202"/>
      <c r="BMM308" s="203"/>
      <c r="BMN308" s="36"/>
      <c r="BMO308" s="36"/>
      <c r="BMP308" s="205"/>
      <c r="BMQ308" s="33"/>
      <c r="BMR308" s="37"/>
      <c r="BMS308" s="37"/>
      <c r="BMT308" s="37"/>
      <c r="BMU308" s="37"/>
      <c r="BMV308" s="37"/>
      <c r="BMW308" s="33"/>
      <c r="BMX308" s="206"/>
      <c r="BMY308" s="207"/>
      <c r="BMZ308" s="204"/>
      <c r="BNA308" s="35"/>
      <c r="BNB308" s="202"/>
      <c r="BNC308" s="203"/>
      <c r="BND308" s="36"/>
      <c r="BNE308" s="36"/>
      <c r="BNF308" s="205"/>
      <c r="BNG308" s="33"/>
      <c r="BNH308" s="37"/>
      <c r="BNI308" s="37"/>
      <c r="BNJ308" s="37"/>
      <c r="BNK308" s="37"/>
      <c r="BNL308" s="37"/>
      <c r="BNM308" s="33"/>
      <c r="BNN308" s="206"/>
      <c r="BNO308" s="207"/>
      <c r="BNP308" s="204"/>
      <c r="BNQ308" s="35"/>
      <c r="BNR308" s="202"/>
      <c r="BNS308" s="203"/>
      <c r="BNT308" s="36"/>
      <c r="BNU308" s="36"/>
      <c r="BNV308" s="205"/>
      <c r="BNW308" s="33"/>
      <c r="BNX308" s="37"/>
      <c r="BNY308" s="37"/>
      <c r="BNZ308" s="37"/>
      <c r="BOA308" s="37"/>
      <c r="BOB308" s="37"/>
      <c r="BOC308" s="33"/>
      <c r="BOD308" s="206"/>
      <c r="BOE308" s="207"/>
      <c r="BOF308" s="204"/>
      <c r="BOG308" s="35"/>
      <c r="BOH308" s="202"/>
      <c r="BOI308" s="203"/>
      <c r="BOJ308" s="36"/>
      <c r="BOK308" s="36"/>
      <c r="BOL308" s="205"/>
      <c r="BOM308" s="33"/>
      <c r="BON308" s="37"/>
      <c r="BOO308" s="37"/>
      <c r="BOP308" s="37"/>
      <c r="BOQ308" s="37"/>
      <c r="BOR308" s="37"/>
      <c r="BOS308" s="33"/>
      <c r="BOT308" s="206"/>
      <c r="BOU308" s="207"/>
      <c r="BOV308" s="204"/>
      <c r="BOW308" s="35"/>
      <c r="BOX308" s="202"/>
      <c r="BOY308" s="203"/>
      <c r="BOZ308" s="36"/>
      <c r="BPA308" s="36"/>
      <c r="BPB308" s="205"/>
      <c r="BPC308" s="33"/>
      <c r="BPD308" s="37"/>
      <c r="BPE308" s="37"/>
      <c r="BPF308" s="37"/>
      <c r="BPG308" s="37"/>
      <c r="BPH308" s="37"/>
      <c r="BPI308" s="33"/>
      <c r="BPJ308" s="206"/>
      <c r="BPK308" s="207"/>
      <c r="BPL308" s="204"/>
      <c r="BPM308" s="35"/>
      <c r="BPN308" s="202"/>
      <c r="BPO308" s="203"/>
      <c r="BPP308" s="36"/>
      <c r="BPQ308" s="36"/>
      <c r="BPR308" s="205"/>
      <c r="BPS308" s="33"/>
      <c r="BPT308" s="37"/>
      <c r="BPU308" s="37"/>
      <c r="BPV308" s="37"/>
      <c r="BPW308" s="37"/>
      <c r="BPX308" s="37"/>
      <c r="BPY308" s="33"/>
      <c r="BPZ308" s="206"/>
      <c r="BQA308" s="207"/>
      <c r="BQB308" s="204"/>
      <c r="BQC308" s="35"/>
      <c r="BQD308" s="202"/>
      <c r="BQE308" s="203"/>
      <c r="BQF308" s="36"/>
      <c r="BQG308" s="36"/>
      <c r="BQH308" s="205"/>
      <c r="BQI308" s="33"/>
      <c r="BQJ308" s="37"/>
      <c r="BQK308" s="37"/>
      <c r="BQL308" s="37"/>
      <c r="BQM308" s="37"/>
      <c r="BQN308" s="37"/>
      <c r="BQO308" s="33"/>
      <c r="BQP308" s="206"/>
      <c r="BQQ308" s="207"/>
      <c r="BQR308" s="204"/>
      <c r="BQS308" s="35"/>
      <c r="BQT308" s="202"/>
      <c r="BQU308" s="203"/>
      <c r="BQV308" s="36"/>
      <c r="BQW308" s="36"/>
      <c r="BQX308" s="205"/>
      <c r="BQY308" s="33"/>
      <c r="BQZ308" s="37"/>
      <c r="BRA308" s="37"/>
      <c r="BRB308" s="37"/>
      <c r="BRC308" s="37"/>
      <c r="BRD308" s="37"/>
      <c r="BRE308" s="33"/>
      <c r="BRF308" s="206"/>
      <c r="BRG308" s="207"/>
      <c r="BRH308" s="204"/>
      <c r="BRI308" s="35"/>
      <c r="BRJ308" s="202"/>
      <c r="BRK308" s="203"/>
      <c r="BRL308" s="36"/>
      <c r="BRM308" s="36"/>
      <c r="BRN308" s="205"/>
      <c r="BRO308" s="33"/>
      <c r="BRP308" s="37"/>
      <c r="BRQ308" s="37"/>
      <c r="BRR308" s="37"/>
      <c r="BRS308" s="37"/>
      <c r="BRT308" s="37"/>
      <c r="BRU308" s="33"/>
      <c r="BRV308" s="206"/>
      <c r="BRW308" s="207"/>
      <c r="BRX308" s="204"/>
      <c r="BRY308" s="35"/>
      <c r="BRZ308" s="202"/>
      <c r="BSA308" s="203"/>
      <c r="BSB308" s="36"/>
      <c r="BSC308" s="36"/>
      <c r="BSD308" s="205"/>
      <c r="BSE308" s="33"/>
      <c r="BSF308" s="37"/>
      <c r="BSG308" s="37"/>
      <c r="BSH308" s="37"/>
      <c r="BSI308" s="37"/>
      <c r="BSJ308" s="37"/>
      <c r="BSK308" s="33"/>
      <c r="BSL308" s="206"/>
      <c r="BSM308" s="207"/>
      <c r="BSN308" s="204"/>
      <c r="BSO308" s="35"/>
      <c r="BSP308" s="202"/>
      <c r="BSQ308" s="203"/>
      <c r="BSR308" s="36"/>
      <c r="BSS308" s="36"/>
      <c r="BST308" s="205"/>
      <c r="BSU308" s="33"/>
      <c r="BSV308" s="37"/>
      <c r="BSW308" s="37"/>
      <c r="BSX308" s="37"/>
      <c r="BSY308" s="37"/>
      <c r="BSZ308" s="37"/>
      <c r="BTA308" s="33"/>
      <c r="BTB308" s="206"/>
      <c r="BTC308" s="207"/>
      <c r="BTD308" s="204"/>
      <c r="BTE308" s="35"/>
      <c r="BTF308" s="202"/>
      <c r="BTG308" s="203"/>
      <c r="BTH308" s="36"/>
      <c r="BTI308" s="36"/>
      <c r="BTJ308" s="205"/>
      <c r="BTK308" s="33"/>
      <c r="BTL308" s="37"/>
      <c r="BTM308" s="37"/>
      <c r="BTN308" s="37"/>
      <c r="BTO308" s="37"/>
      <c r="BTP308" s="37"/>
      <c r="BTQ308" s="33"/>
      <c r="BTR308" s="206"/>
      <c r="BTS308" s="207"/>
      <c r="BTT308" s="204"/>
      <c r="BTU308" s="35"/>
      <c r="BTV308" s="202"/>
      <c r="BTW308" s="203"/>
      <c r="BTX308" s="36"/>
      <c r="BTY308" s="36"/>
      <c r="BTZ308" s="205"/>
      <c r="BUA308" s="33"/>
      <c r="BUB308" s="37"/>
      <c r="BUC308" s="37"/>
      <c r="BUD308" s="37"/>
      <c r="BUE308" s="37"/>
      <c r="BUF308" s="37"/>
      <c r="BUG308" s="33"/>
      <c r="BUH308" s="206"/>
      <c r="BUI308" s="207"/>
      <c r="BUJ308" s="204"/>
      <c r="BUK308" s="35"/>
      <c r="BUL308" s="202"/>
      <c r="BUM308" s="203"/>
      <c r="BUN308" s="36"/>
      <c r="BUO308" s="36"/>
      <c r="BUP308" s="205"/>
      <c r="BUQ308" s="33"/>
      <c r="BUR308" s="37"/>
      <c r="BUS308" s="37"/>
      <c r="BUT308" s="37"/>
      <c r="BUU308" s="37"/>
      <c r="BUV308" s="37"/>
      <c r="BUW308" s="33"/>
      <c r="BUX308" s="206"/>
      <c r="BUY308" s="207"/>
      <c r="BUZ308" s="204"/>
      <c r="BVA308" s="35"/>
      <c r="BVB308" s="202"/>
      <c r="BVC308" s="203"/>
      <c r="BVD308" s="36"/>
      <c r="BVE308" s="36"/>
      <c r="BVF308" s="205"/>
      <c r="BVG308" s="33"/>
      <c r="BVH308" s="37"/>
      <c r="BVI308" s="37"/>
      <c r="BVJ308" s="37"/>
      <c r="BVK308" s="37"/>
      <c r="BVL308" s="37"/>
      <c r="BVM308" s="33"/>
      <c r="BVN308" s="206"/>
      <c r="BVO308" s="207"/>
      <c r="BVP308" s="204"/>
      <c r="BVQ308" s="35"/>
      <c r="BVR308" s="202"/>
      <c r="BVS308" s="203"/>
      <c r="BVT308" s="36"/>
      <c r="BVU308" s="36"/>
      <c r="BVV308" s="205"/>
      <c r="BVW308" s="33"/>
      <c r="BVX308" s="37"/>
      <c r="BVY308" s="37"/>
      <c r="BVZ308" s="37"/>
      <c r="BWA308" s="37"/>
      <c r="BWB308" s="37"/>
      <c r="BWC308" s="33"/>
      <c r="BWD308" s="206"/>
      <c r="BWE308" s="207"/>
      <c r="BWF308" s="204"/>
      <c r="BWG308" s="35"/>
      <c r="BWH308" s="202"/>
      <c r="BWI308" s="203"/>
      <c r="BWJ308" s="36"/>
      <c r="BWK308" s="36"/>
      <c r="BWL308" s="205"/>
      <c r="BWM308" s="33"/>
      <c r="BWN308" s="37"/>
      <c r="BWO308" s="37"/>
      <c r="BWP308" s="37"/>
      <c r="BWQ308" s="37"/>
      <c r="BWR308" s="37"/>
      <c r="BWS308" s="33"/>
      <c r="BWT308" s="206"/>
      <c r="BWU308" s="207"/>
      <c r="BWV308" s="204"/>
      <c r="BWW308" s="35"/>
      <c r="BWX308" s="202"/>
      <c r="BWY308" s="203"/>
      <c r="BWZ308" s="36"/>
      <c r="BXA308" s="36"/>
      <c r="BXB308" s="205"/>
      <c r="BXC308" s="33"/>
      <c r="BXD308" s="37"/>
      <c r="BXE308" s="37"/>
      <c r="BXF308" s="37"/>
      <c r="BXG308" s="37"/>
      <c r="BXH308" s="37"/>
      <c r="BXI308" s="33"/>
      <c r="BXJ308" s="206"/>
      <c r="BXK308" s="207"/>
      <c r="BXL308" s="204"/>
      <c r="BXM308" s="35"/>
      <c r="BXN308" s="202"/>
      <c r="BXO308" s="203"/>
      <c r="BXP308" s="36"/>
      <c r="BXQ308" s="36"/>
      <c r="BXR308" s="205"/>
      <c r="BXS308" s="33"/>
      <c r="BXT308" s="37"/>
      <c r="BXU308" s="37"/>
      <c r="BXV308" s="37"/>
      <c r="BXW308" s="37"/>
      <c r="BXX308" s="37"/>
      <c r="BXY308" s="33"/>
      <c r="BXZ308" s="206"/>
      <c r="BYA308" s="207"/>
      <c r="BYB308" s="204"/>
      <c r="BYC308" s="35"/>
      <c r="BYD308" s="202"/>
      <c r="BYE308" s="203"/>
      <c r="BYF308" s="36"/>
      <c r="BYG308" s="36"/>
      <c r="BYH308" s="205"/>
      <c r="BYI308" s="33"/>
      <c r="BYJ308" s="37"/>
      <c r="BYK308" s="37"/>
      <c r="BYL308" s="37"/>
      <c r="BYM308" s="37"/>
      <c r="BYN308" s="37"/>
      <c r="BYO308" s="33"/>
      <c r="BYP308" s="206"/>
      <c r="BYQ308" s="207"/>
      <c r="BYR308" s="204"/>
      <c r="BYS308" s="35"/>
      <c r="BYT308" s="202"/>
      <c r="BYU308" s="203"/>
      <c r="BYV308" s="36"/>
      <c r="BYW308" s="36"/>
      <c r="BYX308" s="205"/>
      <c r="BYY308" s="33"/>
      <c r="BYZ308" s="37"/>
      <c r="BZA308" s="37"/>
      <c r="BZB308" s="37"/>
      <c r="BZC308" s="37"/>
      <c r="BZD308" s="37"/>
      <c r="BZE308" s="33"/>
      <c r="BZF308" s="206"/>
      <c r="BZG308" s="207"/>
      <c r="BZH308" s="204"/>
      <c r="BZI308" s="35"/>
      <c r="BZJ308" s="202"/>
      <c r="BZK308" s="203"/>
      <c r="BZL308" s="36"/>
      <c r="BZM308" s="36"/>
      <c r="BZN308" s="205"/>
      <c r="BZO308" s="33"/>
      <c r="BZP308" s="37"/>
      <c r="BZQ308" s="37"/>
      <c r="BZR308" s="37"/>
      <c r="BZS308" s="37"/>
      <c r="BZT308" s="37"/>
      <c r="BZU308" s="33"/>
      <c r="BZV308" s="206"/>
      <c r="BZW308" s="207"/>
      <c r="BZX308" s="204"/>
      <c r="BZY308" s="35"/>
      <c r="BZZ308" s="202"/>
      <c r="CAA308" s="203"/>
      <c r="CAB308" s="36"/>
      <c r="CAC308" s="36"/>
      <c r="CAD308" s="205"/>
      <c r="CAE308" s="33"/>
      <c r="CAF308" s="37"/>
      <c r="CAG308" s="37"/>
      <c r="CAH308" s="37"/>
      <c r="CAI308" s="37"/>
      <c r="CAJ308" s="37"/>
      <c r="CAK308" s="33"/>
      <c r="CAL308" s="206"/>
      <c r="CAM308" s="207"/>
      <c r="CAN308" s="204"/>
      <c r="CAO308" s="35"/>
      <c r="CAP308" s="202"/>
      <c r="CAQ308" s="203"/>
      <c r="CAR308" s="36"/>
      <c r="CAS308" s="36"/>
      <c r="CAT308" s="205"/>
      <c r="CAU308" s="33"/>
      <c r="CAV308" s="37"/>
      <c r="CAW308" s="37"/>
      <c r="CAX308" s="37"/>
      <c r="CAY308" s="37"/>
      <c r="CAZ308" s="37"/>
      <c r="CBA308" s="33"/>
      <c r="CBB308" s="206"/>
      <c r="CBC308" s="207"/>
      <c r="CBD308" s="204"/>
      <c r="CBE308" s="35"/>
      <c r="CBF308" s="202"/>
      <c r="CBG308" s="203"/>
      <c r="CBH308" s="36"/>
      <c r="CBI308" s="36"/>
      <c r="CBJ308" s="205"/>
      <c r="CBK308" s="33"/>
      <c r="CBL308" s="37"/>
      <c r="CBM308" s="37"/>
      <c r="CBN308" s="37"/>
      <c r="CBO308" s="37"/>
      <c r="CBP308" s="37"/>
      <c r="CBQ308" s="33"/>
      <c r="CBR308" s="206"/>
      <c r="CBS308" s="207"/>
      <c r="CBT308" s="204"/>
      <c r="CBU308" s="35"/>
      <c r="CBV308" s="202"/>
      <c r="CBW308" s="203"/>
      <c r="CBX308" s="36"/>
      <c r="CBY308" s="36"/>
      <c r="CBZ308" s="205"/>
      <c r="CCA308" s="33"/>
      <c r="CCB308" s="37"/>
      <c r="CCC308" s="37"/>
      <c r="CCD308" s="37"/>
      <c r="CCE308" s="37"/>
      <c r="CCF308" s="37"/>
      <c r="CCG308" s="33"/>
      <c r="CCH308" s="206"/>
      <c r="CCI308" s="207"/>
      <c r="CCJ308" s="204"/>
      <c r="CCK308" s="35"/>
      <c r="CCL308" s="202"/>
      <c r="CCM308" s="203"/>
      <c r="CCN308" s="36"/>
      <c r="CCO308" s="36"/>
      <c r="CCP308" s="205"/>
      <c r="CCQ308" s="33"/>
      <c r="CCR308" s="37"/>
      <c r="CCS308" s="37"/>
      <c r="CCT308" s="37"/>
      <c r="CCU308" s="37"/>
      <c r="CCV308" s="37"/>
      <c r="CCW308" s="33"/>
      <c r="CCX308" s="206"/>
      <c r="CCY308" s="207"/>
      <c r="CCZ308" s="204"/>
      <c r="CDA308" s="35"/>
      <c r="CDB308" s="202"/>
      <c r="CDC308" s="203"/>
      <c r="CDD308" s="36"/>
      <c r="CDE308" s="36"/>
      <c r="CDF308" s="205"/>
      <c r="CDG308" s="33"/>
      <c r="CDH308" s="37"/>
      <c r="CDI308" s="37"/>
      <c r="CDJ308" s="37"/>
      <c r="CDK308" s="37"/>
      <c r="CDL308" s="37"/>
      <c r="CDM308" s="33"/>
      <c r="CDN308" s="206"/>
      <c r="CDO308" s="207"/>
      <c r="CDP308" s="204"/>
      <c r="CDQ308" s="35"/>
      <c r="CDR308" s="202"/>
      <c r="CDS308" s="203"/>
      <c r="CDT308" s="36"/>
      <c r="CDU308" s="36"/>
      <c r="CDV308" s="205"/>
      <c r="CDW308" s="33"/>
      <c r="CDX308" s="37"/>
      <c r="CDY308" s="37"/>
      <c r="CDZ308" s="37"/>
      <c r="CEA308" s="37"/>
      <c r="CEB308" s="37"/>
      <c r="CEC308" s="33"/>
      <c r="CED308" s="206"/>
      <c r="CEE308" s="207"/>
      <c r="CEF308" s="204"/>
      <c r="CEG308" s="35"/>
      <c r="CEH308" s="202"/>
      <c r="CEI308" s="203"/>
      <c r="CEJ308" s="36"/>
      <c r="CEK308" s="36"/>
      <c r="CEL308" s="205"/>
      <c r="CEM308" s="33"/>
      <c r="CEN308" s="37"/>
      <c r="CEO308" s="37"/>
      <c r="CEP308" s="37"/>
      <c r="CEQ308" s="37"/>
      <c r="CER308" s="37"/>
      <c r="CES308" s="33"/>
      <c r="CET308" s="206"/>
      <c r="CEU308" s="207"/>
      <c r="CEV308" s="204"/>
      <c r="CEW308" s="35"/>
      <c r="CEX308" s="202"/>
      <c r="CEY308" s="203"/>
      <c r="CEZ308" s="36"/>
      <c r="CFA308" s="36"/>
      <c r="CFB308" s="205"/>
      <c r="CFC308" s="33"/>
      <c r="CFD308" s="37"/>
      <c r="CFE308" s="37"/>
      <c r="CFF308" s="37"/>
      <c r="CFG308" s="37"/>
      <c r="CFH308" s="37"/>
      <c r="CFI308" s="33"/>
      <c r="CFJ308" s="206"/>
      <c r="CFK308" s="207"/>
      <c r="CFL308" s="204"/>
      <c r="CFM308" s="35"/>
      <c r="CFN308" s="202"/>
      <c r="CFO308" s="203"/>
      <c r="CFP308" s="36"/>
      <c r="CFQ308" s="36"/>
      <c r="CFR308" s="205"/>
      <c r="CFS308" s="33"/>
      <c r="CFT308" s="37"/>
      <c r="CFU308" s="37"/>
      <c r="CFV308" s="37"/>
      <c r="CFW308" s="37"/>
      <c r="CFX308" s="37"/>
      <c r="CFY308" s="33"/>
      <c r="CFZ308" s="206"/>
      <c r="CGA308" s="207"/>
      <c r="CGB308" s="204"/>
      <c r="CGC308" s="35"/>
      <c r="CGD308" s="202"/>
      <c r="CGE308" s="203"/>
      <c r="CGF308" s="36"/>
      <c r="CGG308" s="36"/>
      <c r="CGH308" s="205"/>
      <c r="CGI308" s="33"/>
      <c r="CGJ308" s="37"/>
      <c r="CGK308" s="37"/>
      <c r="CGL308" s="37"/>
      <c r="CGM308" s="37"/>
      <c r="CGN308" s="37"/>
      <c r="CGO308" s="33"/>
      <c r="CGP308" s="206"/>
      <c r="CGQ308" s="207"/>
      <c r="CGR308" s="204"/>
      <c r="CGS308" s="35"/>
      <c r="CGT308" s="202"/>
      <c r="CGU308" s="203"/>
      <c r="CGV308" s="36"/>
      <c r="CGW308" s="36"/>
      <c r="CGX308" s="205"/>
      <c r="CGY308" s="33"/>
      <c r="CGZ308" s="37"/>
      <c r="CHA308" s="37"/>
      <c r="CHB308" s="37"/>
      <c r="CHC308" s="37"/>
      <c r="CHD308" s="37"/>
      <c r="CHE308" s="33"/>
      <c r="CHF308" s="206"/>
      <c r="CHG308" s="207"/>
      <c r="CHH308" s="204"/>
      <c r="CHI308" s="35"/>
      <c r="CHJ308" s="202"/>
      <c r="CHK308" s="203"/>
      <c r="CHL308" s="36"/>
      <c r="CHM308" s="36"/>
      <c r="CHN308" s="205"/>
      <c r="CHO308" s="33"/>
      <c r="CHP308" s="37"/>
      <c r="CHQ308" s="37"/>
      <c r="CHR308" s="37"/>
      <c r="CHS308" s="37"/>
      <c r="CHT308" s="37"/>
      <c r="CHU308" s="33"/>
      <c r="CHV308" s="206"/>
      <c r="CHW308" s="207"/>
      <c r="CHX308" s="204"/>
      <c r="CHY308" s="35"/>
      <c r="CHZ308" s="202"/>
      <c r="CIA308" s="203"/>
      <c r="CIB308" s="36"/>
      <c r="CIC308" s="36"/>
      <c r="CID308" s="205"/>
      <c r="CIE308" s="33"/>
      <c r="CIF308" s="37"/>
      <c r="CIG308" s="37"/>
      <c r="CIH308" s="37"/>
      <c r="CII308" s="37"/>
      <c r="CIJ308" s="37"/>
      <c r="CIK308" s="33"/>
      <c r="CIL308" s="206"/>
      <c r="CIM308" s="207"/>
      <c r="CIN308" s="204"/>
      <c r="CIO308" s="35"/>
      <c r="CIP308" s="202"/>
      <c r="CIQ308" s="203"/>
      <c r="CIR308" s="36"/>
      <c r="CIS308" s="36"/>
      <c r="CIT308" s="205"/>
      <c r="CIU308" s="33"/>
      <c r="CIV308" s="37"/>
      <c r="CIW308" s="37"/>
      <c r="CIX308" s="37"/>
      <c r="CIY308" s="37"/>
      <c r="CIZ308" s="37"/>
      <c r="CJA308" s="33"/>
      <c r="CJB308" s="206"/>
      <c r="CJC308" s="207"/>
      <c r="CJD308" s="204"/>
      <c r="CJE308" s="35"/>
      <c r="CJF308" s="202"/>
      <c r="CJG308" s="203"/>
      <c r="CJH308" s="36"/>
      <c r="CJI308" s="36"/>
      <c r="CJJ308" s="205"/>
      <c r="CJK308" s="33"/>
      <c r="CJL308" s="37"/>
      <c r="CJM308" s="37"/>
      <c r="CJN308" s="37"/>
      <c r="CJO308" s="37"/>
      <c r="CJP308" s="37"/>
      <c r="CJQ308" s="33"/>
      <c r="CJR308" s="206"/>
      <c r="CJS308" s="207"/>
      <c r="CJT308" s="204"/>
      <c r="CJU308" s="35"/>
      <c r="CJV308" s="202"/>
      <c r="CJW308" s="203"/>
      <c r="CJX308" s="36"/>
      <c r="CJY308" s="36"/>
      <c r="CJZ308" s="205"/>
      <c r="CKA308" s="33"/>
      <c r="CKB308" s="37"/>
      <c r="CKC308" s="37"/>
      <c r="CKD308" s="37"/>
      <c r="CKE308" s="37"/>
      <c r="CKF308" s="37"/>
      <c r="CKG308" s="33"/>
      <c r="CKH308" s="206"/>
      <c r="CKI308" s="207"/>
      <c r="CKJ308" s="204"/>
      <c r="CKK308" s="35"/>
      <c r="CKL308" s="202"/>
      <c r="CKM308" s="203"/>
      <c r="CKN308" s="36"/>
      <c r="CKO308" s="36"/>
      <c r="CKP308" s="205"/>
      <c r="CKQ308" s="33"/>
      <c r="CKR308" s="37"/>
      <c r="CKS308" s="37"/>
      <c r="CKT308" s="37"/>
      <c r="CKU308" s="37"/>
      <c r="CKV308" s="37"/>
      <c r="CKW308" s="33"/>
      <c r="CKX308" s="206"/>
      <c r="CKY308" s="207"/>
      <c r="CKZ308" s="204"/>
      <c r="CLA308" s="35"/>
      <c r="CLB308" s="202"/>
      <c r="CLC308" s="203"/>
      <c r="CLD308" s="36"/>
      <c r="CLE308" s="36"/>
      <c r="CLF308" s="205"/>
      <c r="CLG308" s="33"/>
      <c r="CLH308" s="37"/>
      <c r="CLI308" s="37"/>
      <c r="CLJ308" s="37"/>
      <c r="CLK308" s="37"/>
      <c r="CLL308" s="37"/>
      <c r="CLM308" s="33"/>
      <c r="CLN308" s="206"/>
      <c r="CLO308" s="207"/>
      <c r="CLP308" s="204"/>
      <c r="CLQ308" s="35"/>
      <c r="CLR308" s="202"/>
      <c r="CLS308" s="203"/>
      <c r="CLT308" s="36"/>
      <c r="CLU308" s="36"/>
      <c r="CLV308" s="205"/>
      <c r="CLW308" s="33"/>
      <c r="CLX308" s="37"/>
      <c r="CLY308" s="37"/>
      <c r="CLZ308" s="37"/>
      <c r="CMA308" s="37"/>
      <c r="CMB308" s="37"/>
      <c r="CMC308" s="33"/>
      <c r="CMD308" s="206"/>
      <c r="CME308" s="207"/>
      <c r="CMF308" s="204"/>
      <c r="CMG308" s="35"/>
      <c r="CMH308" s="202"/>
      <c r="CMI308" s="203"/>
      <c r="CMJ308" s="36"/>
      <c r="CMK308" s="36"/>
      <c r="CML308" s="205"/>
      <c r="CMM308" s="33"/>
      <c r="CMN308" s="37"/>
      <c r="CMO308" s="37"/>
      <c r="CMP308" s="37"/>
      <c r="CMQ308" s="37"/>
      <c r="CMR308" s="37"/>
      <c r="CMS308" s="33"/>
      <c r="CMT308" s="206"/>
      <c r="CMU308" s="207"/>
      <c r="CMV308" s="204"/>
      <c r="CMW308" s="35"/>
      <c r="CMX308" s="202"/>
      <c r="CMY308" s="203"/>
      <c r="CMZ308" s="36"/>
      <c r="CNA308" s="36"/>
      <c r="CNB308" s="205"/>
      <c r="CNC308" s="33"/>
      <c r="CND308" s="37"/>
      <c r="CNE308" s="37"/>
      <c r="CNF308" s="37"/>
      <c r="CNG308" s="37"/>
      <c r="CNH308" s="37"/>
      <c r="CNI308" s="33"/>
      <c r="CNJ308" s="206"/>
      <c r="CNK308" s="207"/>
      <c r="CNL308" s="204"/>
      <c r="CNM308" s="35"/>
      <c r="CNN308" s="202"/>
      <c r="CNO308" s="203"/>
      <c r="CNP308" s="36"/>
      <c r="CNQ308" s="36"/>
      <c r="CNR308" s="205"/>
      <c r="CNS308" s="33"/>
      <c r="CNT308" s="37"/>
      <c r="CNU308" s="37"/>
      <c r="CNV308" s="37"/>
      <c r="CNW308" s="37"/>
      <c r="CNX308" s="37"/>
      <c r="CNY308" s="33"/>
      <c r="CNZ308" s="206"/>
      <c r="COA308" s="207"/>
      <c r="COB308" s="204"/>
      <c r="COC308" s="35"/>
      <c r="COD308" s="202"/>
      <c r="COE308" s="203"/>
      <c r="COF308" s="36"/>
      <c r="COG308" s="36"/>
      <c r="COH308" s="205"/>
      <c r="COI308" s="33"/>
      <c r="COJ308" s="37"/>
      <c r="COK308" s="37"/>
      <c r="COL308" s="37"/>
      <c r="COM308" s="37"/>
      <c r="CON308" s="37"/>
      <c r="COO308" s="33"/>
      <c r="COP308" s="206"/>
      <c r="COQ308" s="207"/>
      <c r="COR308" s="204"/>
      <c r="COS308" s="35"/>
      <c r="COT308" s="202"/>
      <c r="COU308" s="203"/>
      <c r="COV308" s="36"/>
      <c r="COW308" s="36"/>
      <c r="COX308" s="205"/>
      <c r="COY308" s="33"/>
      <c r="COZ308" s="37"/>
      <c r="CPA308" s="37"/>
      <c r="CPB308" s="37"/>
      <c r="CPC308" s="37"/>
      <c r="CPD308" s="37"/>
      <c r="CPE308" s="33"/>
      <c r="CPF308" s="206"/>
      <c r="CPG308" s="207"/>
      <c r="CPH308" s="204"/>
      <c r="CPI308" s="35"/>
      <c r="CPJ308" s="202"/>
      <c r="CPK308" s="203"/>
      <c r="CPL308" s="36"/>
      <c r="CPM308" s="36"/>
      <c r="CPN308" s="205"/>
      <c r="CPO308" s="33"/>
      <c r="CPP308" s="37"/>
      <c r="CPQ308" s="37"/>
      <c r="CPR308" s="37"/>
      <c r="CPS308" s="37"/>
      <c r="CPT308" s="37"/>
      <c r="CPU308" s="33"/>
      <c r="CPV308" s="206"/>
      <c r="CPW308" s="207"/>
      <c r="CPX308" s="204"/>
      <c r="CPY308" s="35"/>
      <c r="CPZ308" s="202"/>
      <c r="CQA308" s="203"/>
      <c r="CQB308" s="36"/>
      <c r="CQC308" s="36"/>
      <c r="CQD308" s="205"/>
      <c r="CQE308" s="33"/>
      <c r="CQF308" s="37"/>
      <c r="CQG308" s="37"/>
      <c r="CQH308" s="37"/>
      <c r="CQI308" s="37"/>
      <c r="CQJ308" s="37"/>
      <c r="CQK308" s="33"/>
      <c r="CQL308" s="206"/>
      <c r="CQM308" s="207"/>
      <c r="CQN308" s="204"/>
      <c r="CQO308" s="35"/>
      <c r="CQP308" s="202"/>
      <c r="CQQ308" s="203"/>
      <c r="CQR308" s="36"/>
      <c r="CQS308" s="36"/>
      <c r="CQT308" s="205"/>
      <c r="CQU308" s="33"/>
      <c r="CQV308" s="37"/>
      <c r="CQW308" s="37"/>
      <c r="CQX308" s="37"/>
      <c r="CQY308" s="37"/>
      <c r="CQZ308" s="37"/>
      <c r="CRA308" s="33"/>
      <c r="CRB308" s="206"/>
      <c r="CRC308" s="207"/>
      <c r="CRD308" s="204"/>
      <c r="CRE308" s="35"/>
      <c r="CRF308" s="202"/>
      <c r="CRG308" s="203"/>
      <c r="CRH308" s="36"/>
      <c r="CRI308" s="36"/>
      <c r="CRJ308" s="205"/>
      <c r="CRK308" s="33"/>
      <c r="CRL308" s="37"/>
      <c r="CRM308" s="37"/>
      <c r="CRN308" s="37"/>
      <c r="CRO308" s="37"/>
      <c r="CRP308" s="37"/>
      <c r="CRQ308" s="33"/>
      <c r="CRR308" s="206"/>
      <c r="CRS308" s="207"/>
      <c r="CRT308" s="204"/>
      <c r="CRU308" s="35"/>
      <c r="CRV308" s="202"/>
      <c r="CRW308" s="203"/>
      <c r="CRX308" s="36"/>
      <c r="CRY308" s="36"/>
      <c r="CRZ308" s="205"/>
      <c r="CSA308" s="33"/>
      <c r="CSB308" s="37"/>
      <c r="CSC308" s="37"/>
      <c r="CSD308" s="37"/>
      <c r="CSE308" s="37"/>
      <c r="CSF308" s="37"/>
      <c r="CSG308" s="33"/>
      <c r="CSH308" s="206"/>
      <c r="CSI308" s="207"/>
      <c r="CSJ308" s="204"/>
      <c r="CSK308" s="35"/>
      <c r="CSL308" s="202"/>
      <c r="CSM308" s="203"/>
      <c r="CSN308" s="36"/>
      <c r="CSO308" s="36"/>
      <c r="CSP308" s="205"/>
      <c r="CSQ308" s="33"/>
      <c r="CSR308" s="37"/>
      <c r="CSS308" s="37"/>
      <c r="CST308" s="37"/>
      <c r="CSU308" s="37"/>
      <c r="CSV308" s="37"/>
      <c r="CSW308" s="33"/>
      <c r="CSX308" s="206"/>
      <c r="CSY308" s="207"/>
      <c r="CSZ308" s="204"/>
      <c r="CTA308" s="35"/>
      <c r="CTB308" s="202"/>
      <c r="CTC308" s="203"/>
      <c r="CTD308" s="36"/>
      <c r="CTE308" s="36"/>
      <c r="CTF308" s="205"/>
      <c r="CTG308" s="33"/>
      <c r="CTH308" s="37"/>
      <c r="CTI308" s="37"/>
      <c r="CTJ308" s="37"/>
      <c r="CTK308" s="37"/>
      <c r="CTL308" s="37"/>
      <c r="CTM308" s="33"/>
      <c r="CTN308" s="206"/>
      <c r="CTO308" s="207"/>
      <c r="CTP308" s="204"/>
      <c r="CTQ308" s="35"/>
      <c r="CTR308" s="202"/>
      <c r="CTS308" s="203"/>
      <c r="CTT308" s="36"/>
      <c r="CTU308" s="36"/>
      <c r="CTV308" s="205"/>
      <c r="CTW308" s="33"/>
      <c r="CTX308" s="37"/>
      <c r="CTY308" s="37"/>
      <c r="CTZ308" s="37"/>
      <c r="CUA308" s="37"/>
      <c r="CUB308" s="37"/>
      <c r="CUC308" s="33"/>
      <c r="CUD308" s="206"/>
      <c r="CUE308" s="207"/>
      <c r="CUF308" s="204"/>
      <c r="CUG308" s="35"/>
      <c r="CUH308" s="202"/>
      <c r="CUI308" s="203"/>
      <c r="CUJ308" s="36"/>
      <c r="CUK308" s="36"/>
      <c r="CUL308" s="205"/>
      <c r="CUM308" s="33"/>
      <c r="CUN308" s="37"/>
      <c r="CUO308" s="37"/>
      <c r="CUP308" s="37"/>
      <c r="CUQ308" s="37"/>
      <c r="CUR308" s="37"/>
      <c r="CUS308" s="33"/>
      <c r="CUT308" s="206"/>
      <c r="CUU308" s="207"/>
      <c r="CUV308" s="204"/>
      <c r="CUW308" s="35"/>
      <c r="CUX308" s="202"/>
      <c r="CUY308" s="203"/>
      <c r="CUZ308" s="36"/>
      <c r="CVA308" s="36"/>
      <c r="CVB308" s="205"/>
      <c r="CVC308" s="33"/>
      <c r="CVD308" s="37"/>
      <c r="CVE308" s="37"/>
      <c r="CVF308" s="37"/>
      <c r="CVG308" s="37"/>
      <c r="CVH308" s="37"/>
      <c r="CVI308" s="33"/>
      <c r="CVJ308" s="206"/>
      <c r="CVK308" s="207"/>
      <c r="CVL308" s="204"/>
      <c r="CVM308" s="35"/>
      <c r="CVN308" s="202"/>
      <c r="CVO308" s="203"/>
      <c r="CVP308" s="36"/>
      <c r="CVQ308" s="36"/>
      <c r="CVR308" s="205"/>
      <c r="CVS308" s="33"/>
      <c r="CVT308" s="37"/>
      <c r="CVU308" s="37"/>
      <c r="CVV308" s="37"/>
      <c r="CVW308" s="37"/>
      <c r="CVX308" s="37"/>
      <c r="CVY308" s="33"/>
      <c r="CVZ308" s="206"/>
      <c r="CWA308" s="207"/>
      <c r="CWB308" s="204"/>
      <c r="CWC308" s="35"/>
      <c r="CWD308" s="202"/>
      <c r="CWE308" s="203"/>
      <c r="CWF308" s="36"/>
      <c r="CWG308" s="36"/>
      <c r="CWH308" s="205"/>
      <c r="CWI308" s="33"/>
      <c r="CWJ308" s="37"/>
      <c r="CWK308" s="37"/>
      <c r="CWL308" s="37"/>
      <c r="CWM308" s="37"/>
      <c r="CWN308" s="37"/>
      <c r="CWO308" s="33"/>
      <c r="CWP308" s="206"/>
      <c r="CWQ308" s="207"/>
      <c r="CWR308" s="204"/>
      <c r="CWS308" s="35"/>
      <c r="CWT308" s="202"/>
      <c r="CWU308" s="203"/>
      <c r="CWV308" s="36"/>
      <c r="CWW308" s="36"/>
      <c r="CWX308" s="205"/>
      <c r="CWY308" s="33"/>
      <c r="CWZ308" s="37"/>
      <c r="CXA308" s="37"/>
      <c r="CXB308" s="37"/>
      <c r="CXC308" s="37"/>
      <c r="CXD308" s="37"/>
      <c r="CXE308" s="33"/>
      <c r="CXF308" s="206"/>
      <c r="CXG308" s="207"/>
      <c r="CXH308" s="204"/>
      <c r="CXI308" s="35"/>
      <c r="CXJ308" s="202"/>
      <c r="CXK308" s="203"/>
      <c r="CXL308" s="36"/>
      <c r="CXM308" s="36"/>
      <c r="CXN308" s="205"/>
      <c r="CXO308" s="33"/>
      <c r="CXP308" s="37"/>
      <c r="CXQ308" s="37"/>
      <c r="CXR308" s="37"/>
      <c r="CXS308" s="37"/>
      <c r="CXT308" s="37"/>
      <c r="CXU308" s="33"/>
      <c r="CXV308" s="206"/>
      <c r="CXW308" s="207"/>
      <c r="CXX308" s="204"/>
      <c r="CXY308" s="35"/>
      <c r="CXZ308" s="202"/>
      <c r="CYA308" s="203"/>
      <c r="CYB308" s="36"/>
      <c r="CYC308" s="36"/>
      <c r="CYD308" s="205"/>
      <c r="CYE308" s="33"/>
      <c r="CYF308" s="37"/>
      <c r="CYG308" s="37"/>
      <c r="CYH308" s="37"/>
      <c r="CYI308" s="37"/>
      <c r="CYJ308" s="37"/>
      <c r="CYK308" s="33"/>
      <c r="CYL308" s="206"/>
      <c r="CYM308" s="207"/>
      <c r="CYN308" s="204"/>
      <c r="CYO308" s="35"/>
      <c r="CYP308" s="202"/>
      <c r="CYQ308" s="203"/>
      <c r="CYR308" s="36"/>
      <c r="CYS308" s="36"/>
      <c r="CYT308" s="205"/>
      <c r="CYU308" s="33"/>
      <c r="CYV308" s="37"/>
      <c r="CYW308" s="37"/>
      <c r="CYX308" s="37"/>
      <c r="CYY308" s="37"/>
      <c r="CYZ308" s="37"/>
      <c r="CZA308" s="33"/>
      <c r="CZB308" s="206"/>
      <c r="CZC308" s="207"/>
      <c r="CZD308" s="204"/>
      <c r="CZE308" s="35"/>
      <c r="CZF308" s="202"/>
      <c r="CZG308" s="203"/>
      <c r="CZH308" s="36"/>
      <c r="CZI308" s="36"/>
      <c r="CZJ308" s="205"/>
      <c r="CZK308" s="33"/>
      <c r="CZL308" s="37"/>
      <c r="CZM308" s="37"/>
      <c r="CZN308" s="37"/>
      <c r="CZO308" s="37"/>
      <c r="CZP308" s="37"/>
      <c r="CZQ308" s="33"/>
      <c r="CZR308" s="206"/>
      <c r="CZS308" s="207"/>
      <c r="CZT308" s="204"/>
      <c r="CZU308" s="35"/>
      <c r="CZV308" s="202"/>
      <c r="CZW308" s="203"/>
      <c r="CZX308" s="36"/>
      <c r="CZY308" s="36"/>
      <c r="CZZ308" s="205"/>
      <c r="DAA308" s="33"/>
      <c r="DAB308" s="37"/>
      <c r="DAC308" s="37"/>
      <c r="DAD308" s="37"/>
      <c r="DAE308" s="37"/>
      <c r="DAF308" s="37"/>
      <c r="DAG308" s="33"/>
      <c r="DAH308" s="206"/>
      <c r="DAI308" s="207"/>
      <c r="DAJ308" s="204"/>
      <c r="DAK308" s="35"/>
      <c r="DAL308" s="202"/>
      <c r="DAM308" s="203"/>
      <c r="DAN308" s="36"/>
      <c r="DAO308" s="36"/>
      <c r="DAP308" s="205"/>
      <c r="DAQ308" s="33"/>
      <c r="DAR308" s="37"/>
      <c r="DAS308" s="37"/>
      <c r="DAT308" s="37"/>
      <c r="DAU308" s="37"/>
      <c r="DAV308" s="37"/>
      <c r="DAW308" s="33"/>
      <c r="DAX308" s="206"/>
      <c r="DAY308" s="207"/>
      <c r="DAZ308" s="204"/>
      <c r="DBA308" s="35"/>
      <c r="DBB308" s="202"/>
      <c r="DBC308" s="203"/>
      <c r="DBD308" s="36"/>
      <c r="DBE308" s="36"/>
      <c r="DBF308" s="205"/>
      <c r="DBG308" s="33"/>
      <c r="DBH308" s="37"/>
      <c r="DBI308" s="37"/>
      <c r="DBJ308" s="37"/>
      <c r="DBK308" s="37"/>
      <c r="DBL308" s="37"/>
      <c r="DBM308" s="33"/>
      <c r="DBN308" s="206"/>
      <c r="DBO308" s="207"/>
      <c r="DBP308" s="204"/>
      <c r="DBQ308" s="35"/>
      <c r="DBR308" s="202"/>
      <c r="DBS308" s="203"/>
      <c r="DBT308" s="36"/>
      <c r="DBU308" s="36"/>
      <c r="DBV308" s="205"/>
      <c r="DBW308" s="33"/>
      <c r="DBX308" s="37"/>
      <c r="DBY308" s="37"/>
      <c r="DBZ308" s="37"/>
      <c r="DCA308" s="37"/>
      <c r="DCB308" s="37"/>
      <c r="DCC308" s="33"/>
      <c r="DCD308" s="206"/>
      <c r="DCE308" s="207"/>
      <c r="DCF308" s="204"/>
      <c r="DCG308" s="35"/>
      <c r="DCH308" s="202"/>
      <c r="DCI308" s="203"/>
      <c r="DCJ308" s="36"/>
      <c r="DCK308" s="36"/>
      <c r="DCL308" s="205"/>
      <c r="DCM308" s="33"/>
      <c r="DCN308" s="37"/>
      <c r="DCO308" s="37"/>
      <c r="DCP308" s="37"/>
      <c r="DCQ308" s="37"/>
      <c r="DCR308" s="37"/>
      <c r="DCS308" s="33"/>
      <c r="DCT308" s="206"/>
      <c r="DCU308" s="207"/>
      <c r="DCV308" s="204"/>
      <c r="DCW308" s="35"/>
      <c r="DCX308" s="202"/>
      <c r="DCY308" s="203"/>
      <c r="DCZ308" s="36"/>
      <c r="DDA308" s="36"/>
      <c r="DDB308" s="205"/>
      <c r="DDC308" s="33"/>
      <c r="DDD308" s="37"/>
      <c r="DDE308" s="37"/>
      <c r="DDF308" s="37"/>
      <c r="DDG308" s="37"/>
      <c r="DDH308" s="37"/>
      <c r="DDI308" s="33"/>
      <c r="DDJ308" s="206"/>
      <c r="DDK308" s="207"/>
      <c r="DDL308" s="204"/>
      <c r="DDM308" s="35"/>
      <c r="DDN308" s="202"/>
      <c r="DDO308" s="203"/>
      <c r="DDP308" s="36"/>
      <c r="DDQ308" s="36"/>
      <c r="DDR308" s="205"/>
      <c r="DDS308" s="33"/>
      <c r="DDT308" s="37"/>
      <c r="DDU308" s="37"/>
      <c r="DDV308" s="37"/>
      <c r="DDW308" s="37"/>
      <c r="DDX308" s="37"/>
      <c r="DDY308" s="33"/>
      <c r="DDZ308" s="206"/>
      <c r="DEA308" s="207"/>
      <c r="DEB308" s="204"/>
      <c r="DEC308" s="35"/>
      <c r="DED308" s="202"/>
      <c r="DEE308" s="203"/>
      <c r="DEF308" s="36"/>
      <c r="DEG308" s="36"/>
      <c r="DEH308" s="205"/>
      <c r="DEI308" s="33"/>
      <c r="DEJ308" s="37"/>
      <c r="DEK308" s="37"/>
      <c r="DEL308" s="37"/>
      <c r="DEM308" s="37"/>
      <c r="DEN308" s="37"/>
      <c r="DEO308" s="33"/>
      <c r="DEP308" s="206"/>
      <c r="DEQ308" s="207"/>
      <c r="DER308" s="204"/>
      <c r="DES308" s="35"/>
      <c r="DET308" s="202"/>
      <c r="DEU308" s="203"/>
      <c r="DEV308" s="36"/>
      <c r="DEW308" s="36"/>
      <c r="DEX308" s="205"/>
      <c r="DEY308" s="33"/>
      <c r="DEZ308" s="37"/>
      <c r="DFA308" s="37"/>
      <c r="DFB308" s="37"/>
      <c r="DFC308" s="37"/>
      <c r="DFD308" s="37"/>
      <c r="DFE308" s="33"/>
      <c r="DFF308" s="206"/>
      <c r="DFG308" s="207"/>
      <c r="DFH308" s="204"/>
      <c r="DFI308" s="35"/>
      <c r="DFJ308" s="202"/>
      <c r="DFK308" s="203"/>
      <c r="DFL308" s="36"/>
      <c r="DFM308" s="36"/>
      <c r="DFN308" s="205"/>
      <c r="DFO308" s="33"/>
      <c r="DFP308" s="37"/>
      <c r="DFQ308" s="37"/>
      <c r="DFR308" s="37"/>
      <c r="DFS308" s="37"/>
      <c r="DFT308" s="37"/>
      <c r="DFU308" s="33"/>
      <c r="DFV308" s="206"/>
      <c r="DFW308" s="207"/>
      <c r="DFX308" s="204"/>
      <c r="DFY308" s="35"/>
      <c r="DFZ308" s="202"/>
      <c r="DGA308" s="203"/>
      <c r="DGB308" s="36"/>
      <c r="DGC308" s="36"/>
      <c r="DGD308" s="205"/>
      <c r="DGE308" s="33"/>
      <c r="DGF308" s="37"/>
      <c r="DGG308" s="37"/>
      <c r="DGH308" s="37"/>
      <c r="DGI308" s="37"/>
      <c r="DGJ308" s="37"/>
      <c r="DGK308" s="33"/>
      <c r="DGL308" s="206"/>
      <c r="DGM308" s="207"/>
      <c r="DGN308" s="204"/>
      <c r="DGO308" s="35"/>
      <c r="DGP308" s="202"/>
      <c r="DGQ308" s="203"/>
      <c r="DGR308" s="36"/>
      <c r="DGS308" s="36"/>
      <c r="DGT308" s="205"/>
      <c r="DGU308" s="33"/>
      <c r="DGV308" s="37"/>
      <c r="DGW308" s="37"/>
      <c r="DGX308" s="37"/>
      <c r="DGY308" s="37"/>
      <c r="DGZ308" s="37"/>
      <c r="DHA308" s="33"/>
      <c r="DHB308" s="206"/>
      <c r="DHC308" s="207"/>
      <c r="DHD308" s="204"/>
      <c r="DHE308" s="35"/>
      <c r="DHF308" s="202"/>
      <c r="DHG308" s="203"/>
      <c r="DHH308" s="36"/>
      <c r="DHI308" s="36"/>
      <c r="DHJ308" s="205"/>
      <c r="DHK308" s="33"/>
      <c r="DHL308" s="37"/>
      <c r="DHM308" s="37"/>
      <c r="DHN308" s="37"/>
      <c r="DHO308" s="37"/>
      <c r="DHP308" s="37"/>
      <c r="DHQ308" s="33"/>
      <c r="DHR308" s="206"/>
      <c r="DHS308" s="207"/>
      <c r="DHT308" s="204"/>
      <c r="DHU308" s="35"/>
      <c r="DHV308" s="202"/>
      <c r="DHW308" s="203"/>
      <c r="DHX308" s="36"/>
      <c r="DHY308" s="36"/>
      <c r="DHZ308" s="205"/>
      <c r="DIA308" s="33"/>
      <c r="DIB308" s="37"/>
      <c r="DIC308" s="37"/>
      <c r="DID308" s="37"/>
      <c r="DIE308" s="37"/>
      <c r="DIF308" s="37"/>
      <c r="DIG308" s="33"/>
      <c r="DIH308" s="206"/>
      <c r="DII308" s="207"/>
      <c r="DIJ308" s="204"/>
      <c r="DIK308" s="35"/>
      <c r="DIL308" s="202"/>
      <c r="DIM308" s="203"/>
      <c r="DIN308" s="36"/>
      <c r="DIO308" s="36"/>
      <c r="DIP308" s="205"/>
      <c r="DIQ308" s="33"/>
      <c r="DIR308" s="37"/>
      <c r="DIS308" s="37"/>
      <c r="DIT308" s="37"/>
      <c r="DIU308" s="37"/>
      <c r="DIV308" s="37"/>
      <c r="DIW308" s="33"/>
      <c r="DIX308" s="206"/>
      <c r="DIY308" s="207"/>
      <c r="DIZ308" s="204"/>
      <c r="DJA308" s="35"/>
      <c r="DJB308" s="202"/>
      <c r="DJC308" s="203"/>
      <c r="DJD308" s="36"/>
      <c r="DJE308" s="36"/>
      <c r="DJF308" s="205"/>
      <c r="DJG308" s="33"/>
      <c r="DJH308" s="37"/>
      <c r="DJI308" s="37"/>
      <c r="DJJ308" s="37"/>
      <c r="DJK308" s="37"/>
      <c r="DJL308" s="37"/>
      <c r="DJM308" s="33"/>
      <c r="DJN308" s="206"/>
      <c r="DJO308" s="207"/>
      <c r="DJP308" s="204"/>
      <c r="DJQ308" s="35"/>
      <c r="DJR308" s="202"/>
      <c r="DJS308" s="203"/>
      <c r="DJT308" s="36"/>
      <c r="DJU308" s="36"/>
      <c r="DJV308" s="205"/>
      <c r="DJW308" s="33"/>
      <c r="DJX308" s="37"/>
      <c r="DJY308" s="37"/>
      <c r="DJZ308" s="37"/>
      <c r="DKA308" s="37"/>
      <c r="DKB308" s="37"/>
      <c r="DKC308" s="33"/>
      <c r="DKD308" s="206"/>
      <c r="DKE308" s="207"/>
      <c r="DKF308" s="204"/>
      <c r="DKG308" s="35"/>
      <c r="DKH308" s="202"/>
      <c r="DKI308" s="203"/>
      <c r="DKJ308" s="36"/>
      <c r="DKK308" s="36"/>
      <c r="DKL308" s="205"/>
      <c r="DKM308" s="33"/>
      <c r="DKN308" s="37"/>
      <c r="DKO308" s="37"/>
      <c r="DKP308" s="37"/>
      <c r="DKQ308" s="37"/>
      <c r="DKR308" s="37"/>
      <c r="DKS308" s="33"/>
      <c r="DKT308" s="206"/>
      <c r="DKU308" s="207"/>
      <c r="DKV308" s="204"/>
      <c r="DKW308" s="35"/>
      <c r="DKX308" s="202"/>
      <c r="DKY308" s="203"/>
      <c r="DKZ308" s="36"/>
      <c r="DLA308" s="36"/>
      <c r="DLB308" s="205"/>
      <c r="DLC308" s="33"/>
      <c r="DLD308" s="37"/>
      <c r="DLE308" s="37"/>
      <c r="DLF308" s="37"/>
      <c r="DLG308" s="37"/>
      <c r="DLH308" s="37"/>
      <c r="DLI308" s="33"/>
      <c r="DLJ308" s="206"/>
      <c r="DLK308" s="207"/>
      <c r="DLL308" s="204"/>
      <c r="DLM308" s="35"/>
      <c r="DLN308" s="202"/>
      <c r="DLO308" s="203"/>
      <c r="DLP308" s="36"/>
      <c r="DLQ308" s="36"/>
      <c r="DLR308" s="205"/>
      <c r="DLS308" s="33"/>
      <c r="DLT308" s="37"/>
      <c r="DLU308" s="37"/>
      <c r="DLV308" s="37"/>
      <c r="DLW308" s="37"/>
      <c r="DLX308" s="37"/>
      <c r="DLY308" s="33"/>
      <c r="DLZ308" s="206"/>
      <c r="DMA308" s="207"/>
      <c r="DMB308" s="204"/>
      <c r="DMC308" s="35"/>
      <c r="DMD308" s="202"/>
      <c r="DME308" s="203"/>
      <c r="DMF308" s="36"/>
      <c r="DMG308" s="36"/>
      <c r="DMH308" s="205"/>
      <c r="DMI308" s="33"/>
      <c r="DMJ308" s="37"/>
      <c r="DMK308" s="37"/>
      <c r="DML308" s="37"/>
      <c r="DMM308" s="37"/>
      <c r="DMN308" s="37"/>
      <c r="DMO308" s="33"/>
      <c r="DMP308" s="206"/>
      <c r="DMQ308" s="207"/>
      <c r="DMR308" s="204"/>
      <c r="DMS308" s="35"/>
      <c r="DMT308" s="202"/>
      <c r="DMU308" s="203"/>
      <c r="DMV308" s="36"/>
      <c r="DMW308" s="36"/>
      <c r="DMX308" s="205"/>
      <c r="DMY308" s="33"/>
      <c r="DMZ308" s="37"/>
      <c r="DNA308" s="37"/>
      <c r="DNB308" s="37"/>
      <c r="DNC308" s="37"/>
      <c r="DND308" s="37"/>
      <c r="DNE308" s="33"/>
      <c r="DNF308" s="206"/>
      <c r="DNG308" s="207"/>
      <c r="DNH308" s="204"/>
      <c r="DNI308" s="35"/>
      <c r="DNJ308" s="202"/>
      <c r="DNK308" s="203"/>
      <c r="DNL308" s="36"/>
      <c r="DNM308" s="36"/>
      <c r="DNN308" s="205"/>
      <c r="DNO308" s="33"/>
      <c r="DNP308" s="37"/>
      <c r="DNQ308" s="37"/>
      <c r="DNR308" s="37"/>
      <c r="DNS308" s="37"/>
      <c r="DNT308" s="37"/>
      <c r="DNU308" s="33"/>
      <c r="DNV308" s="206"/>
      <c r="DNW308" s="207"/>
      <c r="DNX308" s="204"/>
      <c r="DNY308" s="35"/>
      <c r="DNZ308" s="202"/>
      <c r="DOA308" s="203"/>
      <c r="DOB308" s="36"/>
      <c r="DOC308" s="36"/>
      <c r="DOD308" s="205"/>
      <c r="DOE308" s="33"/>
      <c r="DOF308" s="37"/>
      <c r="DOG308" s="37"/>
      <c r="DOH308" s="37"/>
      <c r="DOI308" s="37"/>
      <c r="DOJ308" s="37"/>
      <c r="DOK308" s="33"/>
      <c r="DOL308" s="206"/>
      <c r="DOM308" s="207"/>
      <c r="DON308" s="204"/>
      <c r="DOO308" s="35"/>
      <c r="DOP308" s="202"/>
      <c r="DOQ308" s="203"/>
      <c r="DOR308" s="36"/>
      <c r="DOS308" s="36"/>
      <c r="DOT308" s="205"/>
      <c r="DOU308" s="33"/>
      <c r="DOV308" s="37"/>
      <c r="DOW308" s="37"/>
      <c r="DOX308" s="37"/>
      <c r="DOY308" s="37"/>
      <c r="DOZ308" s="37"/>
      <c r="DPA308" s="33"/>
      <c r="DPB308" s="206"/>
      <c r="DPC308" s="207"/>
      <c r="DPD308" s="204"/>
      <c r="DPE308" s="35"/>
      <c r="DPF308" s="202"/>
      <c r="DPG308" s="203"/>
      <c r="DPH308" s="36"/>
      <c r="DPI308" s="36"/>
      <c r="DPJ308" s="205"/>
      <c r="DPK308" s="33"/>
      <c r="DPL308" s="37"/>
      <c r="DPM308" s="37"/>
      <c r="DPN308" s="37"/>
      <c r="DPO308" s="37"/>
      <c r="DPP308" s="37"/>
      <c r="DPQ308" s="33"/>
      <c r="DPR308" s="206"/>
      <c r="DPS308" s="207"/>
      <c r="DPT308" s="204"/>
      <c r="DPU308" s="35"/>
      <c r="DPV308" s="202"/>
      <c r="DPW308" s="203"/>
      <c r="DPX308" s="36"/>
      <c r="DPY308" s="36"/>
      <c r="DPZ308" s="205"/>
      <c r="DQA308" s="33"/>
      <c r="DQB308" s="37"/>
      <c r="DQC308" s="37"/>
      <c r="DQD308" s="37"/>
      <c r="DQE308" s="37"/>
      <c r="DQF308" s="37"/>
      <c r="DQG308" s="33"/>
      <c r="DQH308" s="206"/>
      <c r="DQI308" s="207"/>
      <c r="DQJ308" s="204"/>
      <c r="DQK308" s="35"/>
      <c r="DQL308" s="202"/>
      <c r="DQM308" s="203"/>
      <c r="DQN308" s="36"/>
      <c r="DQO308" s="36"/>
      <c r="DQP308" s="205"/>
      <c r="DQQ308" s="33"/>
      <c r="DQR308" s="37"/>
      <c r="DQS308" s="37"/>
      <c r="DQT308" s="37"/>
      <c r="DQU308" s="37"/>
      <c r="DQV308" s="37"/>
      <c r="DQW308" s="33"/>
      <c r="DQX308" s="206"/>
      <c r="DQY308" s="207"/>
      <c r="DQZ308" s="204"/>
      <c r="DRA308" s="35"/>
      <c r="DRB308" s="202"/>
      <c r="DRC308" s="203"/>
      <c r="DRD308" s="36"/>
      <c r="DRE308" s="36"/>
      <c r="DRF308" s="205"/>
      <c r="DRG308" s="33"/>
      <c r="DRH308" s="37"/>
      <c r="DRI308" s="37"/>
      <c r="DRJ308" s="37"/>
      <c r="DRK308" s="37"/>
      <c r="DRL308" s="37"/>
      <c r="DRM308" s="33"/>
      <c r="DRN308" s="206"/>
      <c r="DRO308" s="207"/>
      <c r="DRP308" s="204"/>
      <c r="DRQ308" s="35"/>
      <c r="DRR308" s="202"/>
      <c r="DRS308" s="203"/>
      <c r="DRT308" s="36"/>
      <c r="DRU308" s="36"/>
      <c r="DRV308" s="205"/>
      <c r="DRW308" s="33"/>
      <c r="DRX308" s="37"/>
      <c r="DRY308" s="37"/>
      <c r="DRZ308" s="37"/>
      <c r="DSA308" s="37"/>
      <c r="DSB308" s="37"/>
      <c r="DSC308" s="33"/>
      <c r="DSD308" s="206"/>
      <c r="DSE308" s="207"/>
      <c r="DSF308" s="204"/>
      <c r="DSG308" s="35"/>
      <c r="DSH308" s="202"/>
      <c r="DSI308" s="203"/>
      <c r="DSJ308" s="36"/>
      <c r="DSK308" s="36"/>
      <c r="DSL308" s="205"/>
      <c r="DSM308" s="33"/>
      <c r="DSN308" s="37"/>
      <c r="DSO308" s="37"/>
      <c r="DSP308" s="37"/>
      <c r="DSQ308" s="37"/>
      <c r="DSR308" s="37"/>
      <c r="DSS308" s="33"/>
      <c r="DST308" s="206"/>
      <c r="DSU308" s="207"/>
      <c r="DSV308" s="204"/>
      <c r="DSW308" s="35"/>
      <c r="DSX308" s="202"/>
      <c r="DSY308" s="203"/>
      <c r="DSZ308" s="36"/>
      <c r="DTA308" s="36"/>
      <c r="DTB308" s="205"/>
      <c r="DTC308" s="33"/>
      <c r="DTD308" s="37"/>
      <c r="DTE308" s="37"/>
      <c r="DTF308" s="37"/>
      <c r="DTG308" s="37"/>
      <c r="DTH308" s="37"/>
      <c r="DTI308" s="33"/>
      <c r="DTJ308" s="206"/>
      <c r="DTK308" s="207"/>
      <c r="DTL308" s="204"/>
      <c r="DTM308" s="35"/>
      <c r="DTN308" s="202"/>
      <c r="DTO308" s="203"/>
      <c r="DTP308" s="36"/>
      <c r="DTQ308" s="36"/>
      <c r="DTR308" s="205"/>
      <c r="DTS308" s="33"/>
      <c r="DTT308" s="37"/>
      <c r="DTU308" s="37"/>
      <c r="DTV308" s="37"/>
      <c r="DTW308" s="37"/>
      <c r="DTX308" s="37"/>
      <c r="DTY308" s="33"/>
      <c r="DTZ308" s="206"/>
      <c r="DUA308" s="207"/>
      <c r="DUB308" s="204"/>
      <c r="DUC308" s="35"/>
      <c r="DUD308" s="202"/>
      <c r="DUE308" s="203"/>
      <c r="DUF308" s="36"/>
      <c r="DUG308" s="36"/>
      <c r="DUH308" s="205"/>
      <c r="DUI308" s="33"/>
      <c r="DUJ308" s="37"/>
      <c r="DUK308" s="37"/>
      <c r="DUL308" s="37"/>
      <c r="DUM308" s="37"/>
      <c r="DUN308" s="37"/>
      <c r="DUO308" s="33"/>
      <c r="DUP308" s="206"/>
      <c r="DUQ308" s="207"/>
      <c r="DUR308" s="204"/>
      <c r="DUS308" s="35"/>
      <c r="DUT308" s="202"/>
      <c r="DUU308" s="203"/>
      <c r="DUV308" s="36"/>
      <c r="DUW308" s="36"/>
      <c r="DUX308" s="205"/>
      <c r="DUY308" s="33"/>
      <c r="DUZ308" s="37"/>
      <c r="DVA308" s="37"/>
      <c r="DVB308" s="37"/>
      <c r="DVC308" s="37"/>
      <c r="DVD308" s="37"/>
      <c r="DVE308" s="33"/>
      <c r="DVF308" s="206"/>
      <c r="DVG308" s="207"/>
      <c r="DVH308" s="204"/>
      <c r="DVI308" s="35"/>
      <c r="DVJ308" s="202"/>
      <c r="DVK308" s="203"/>
      <c r="DVL308" s="36"/>
      <c r="DVM308" s="36"/>
      <c r="DVN308" s="205"/>
      <c r="DVO308" s="33"/>
      <c r="DVP308" s="37"/>
      <c r="DVQ308" s="37"/>
      <c r="DVR308" s="37"/>
      <c r="DVS308" s="37"/>
      <c r="DVT308" s="37"/>
      <c r="DVU308" s="33"/>
      <c r="DVV308" s="206"/>
      <c r="DVW308" s="207"/>
      <c r="DVX308" s="204"/>
      <c r="DVY308" s="35"/>
      <c r="DVZ308" s="202"/>
      <c r="DWA308" s="203"/>
      <c r="DWB308" s="36"/>
      <c r="DWC308" s="36"/>
      <c r="DWD308" s="205"/>
      <c r="DWE308" s="33"/>
      <c r="DWF308" s="37"/>
      <c r="DWG308" s="37"/>
      <c r="DWH308" s="37"/>
      <c r="DWI308" s="37"/>
      <c r="DWJ308" s="37"/>
      <c r="DWK308" s="33"/>
      <c r="DWL308" s="206"/>
      <c r="DWM308" s="207"/>
      <c r="DWN308" s="204"/>
      <c r="DWO308" s="35"/>
      <c r="DWP308" s="202"/>
      <c r="DWQ308" s="203"/>
      <c r="DWR308" s="36"/>
      <c r="DWS308" s="36"/>
      <c r="DWT308" s="205"/>
      <c r="DWU308" s="33"/>
      <c r="DWV308" s="37"/>
      <c r="DWW308" s="37"/>
      <c r="DWX308" s="37"/>
      <c r="DWY308" s="37"/>
      <c r="DWZ308" s="37"/>
      <c r="DXA308" s="33"/>
      <c r="DXB308" s="206"/>
      <c r="DXC308" s="207"/>
      <c r="DXD308" s="204"/>
      <c r="DXE308" s="35"/>
      <c r="DXF308" s="202"/>
      <c r="DXG308" s="203"/>
      <c r="DXH308" s="36"/>
      <c r="DXI308" s="36"/>
      <c r="DXJ308" s="205"/>
      <c r="DXK308" s="33"/>
      <c r="DXL308" s="37"/>
      <c r="DXM308" s="37"/>
      <c r="DXN308" s="37"/>
      <c r="DXO308" s="37"/>
      <c r="DXP308" s="37"/>
      <c r="DXQ308" s="33"/>
      <c r="DXR308" s="206"/>
      <c r="DXS308" s="207"/>
      <c r="DXT308" s="204"/>
      <c r="DXU308" s="35"/>
      <c r="DXV308" s="202"/>
      <c r="DXW308" s="203"/>
      <c r="DXX308" s="36"/>
      <c r="DXY308" s="36"/>
      <c r="DXZ308" s="205"/>
      <c r="DYA308" s="33"/>
      <c r="DYB308" s="37"/>
      <c r="DYC308" s="37"/>
      <c r="DYD308" s="37"/>
      <c r="DYE308" s="37"/>
      <c r="DYF308" s="37"/>
      <c r="DYG308" s="33"/>
      <c r="DYH308" s="206"/>
      <c r="DYI308" s="207"/>
      <c r="DYJ308" s="204"/>
      <c r="DYK308" s="35"/>
      <c r="DYL308" s="202"/>
      <c r="DYM308" s="203"/>
      <c r="DYN308" s="36"/>
      <c r="DYO308" s="36"/>
      <c r="DYP308" s="205"/>
      <c r="DYQ308" s="33"/>
      <c r="DYR308" s="37"/>
      <c r="DYS308" s="37"/>
      <c r="DYT308" s="37"/>
      <c r="DYU308" s="37"/>
      <c r="DYV308" s="37"/>
      <c r="DYW308" s="33"/>
      <c r="DYX308" s="206"/>
      <c r="DYY308" s="207"/>
      <c r="DYZ308" s="204"/>
      <c r="DZA308" s="35"/>
      <c r="DZB308" s="202"/>
      <c r="DZC308" s="203"/>
      <c r="DZD308" s="36"/>
      <c r="DZE308" s="36"/>
      <c r="DZF308" s="205"/>
      <c r="DZG308" s="33"/>
      <c r="DZH308" s="37"/>
      <c r="DZI308" s="37"/>
      <c r="DZJ308" s="37"/>
      <c r="DZK308" s="37"/>
      <c r="DZL308" s="37"/>
      <c r="DZM308" s="33"/>
      <c r="DZN308" s="206"/>
      <c r="DZO308" s="207"/>
      <c r="DZP308" s="204"/>
      <c r="DZQ308" s="35"/>
      <c r="DZR308" s="202"/>
      <c r="DZS308" s="203"/>
      <c r="DZT308" s="36"/>
      <c r="DZU308" s="36"/>
      <c r="DZV308" s="205"/>
      <c r="DZW308" s="33"/>
      <c r="DZX308" s="37"/>
      <c r="DZY308" s="37"/>
      <c r="DZZ308" s="37"/>
      <c r="EAA308" s="37"/>
      <c r="EAB308" s="37"/>
      <c r="EAC308" s="33"/>
      <c r="EAD308" s="206"/>
      <c r="EAE308" s="207"/>
      <c r="EAF308" s="204"/>
      <c r="EAG308" s="35"/>
      <c r="EAH308" s="202"/>
      <c r="EAI308" s="203"/>
      <c r="EAJ308" s="36"/>
      <c r="EAK308" s="36"/>
      <c r="EAL308" s="205"/>
      <c r="EAM308" s="33"/>
      <c r="EAN308" s="37"/>
      <c r="EAO308" s="37"/>
      <c r="EAP308" s="37"/>
      <c r="EAQ308" s="37"/>
      <c r="EAR308" s="37"/>
      <c r="EAS308" s="33"/>
      <c r="EAT308" s="206"/>
      <c r="EAU308" s="207"/>
      <c r="EAV308" s="204"/>
      <c r="EAW308" s="35"/>
      <c r="EAX308" s="202"/>
      <c r="EAY308" s="203"/>
      <c r="EAZ308" s="36"/>
      <c r="EBA308" s="36"/>
      <c r="EBB308" s="205"/>
      <c r="EBC308" s="33"/>
      <c r="EBD308" s="37"/>
      <c r="EBE308" s="37"/>
      <c r="EBF308" s="37"/>
      <c r="EBG308" s="37"/>
      <c r="EBH308" s="37"/>
      <c r="EBI308" s="33"/>
      <c r="EBJ308" s="206"/>
      <c r="EBK308" s="207"/>
      <c r="EBL308" s="204"/>
      <c r="EBM308" s="35"/>
      <c r="EBN308" s="202"/>
      <c r="EBO308" s="203"/>
      <c r="EBP308" s="36"/>
      <c r="EBQ308" s="36"/>
      <c r="EBR308" s="205"/>
      <c r="EBS308" s="33"/>
      <c r="EBT308" s="37"/>
      <c r="EBU308" s="37"/>
      <c r="EBV308" s="37"/>
      <c r="EBW308" s="37"/>
      <c r="EBX308" s="37"/>
      <c r="EBY308" s="33"/>
      <c r="EBZ308" s="206"/>
      <c r="ECA308" s="207"/>
      <c r="ECB308" s="204"/>
      <c r="ECC308" s="35"/>
      <c r="ECD308" s="202"/>
      <c r="ECE308" s="203"/>
      <c r="ECF308" s="36"/>
      <c r="ECG308" s="36"/>
      <c r="ECH308" s="205"/>
      <c r="ECI308" s="33"/>
      <c r="ECJ308" s="37"/>
      <c r="ECK308" s="37"/>
      <c r="ECL308" s="37"/>
      <c r="ECM308" s="37"/>
      <c r="ECN308" s="37"/>
      <c r="ECO308" s="33"/>
      <c r="ECP308" s="206"/>
      <c r="ECQ308" s="207"/>
      <c r="ECR308" s="204"/>
      <c r="ECS308" s="35"/>
      <c r="ECT308" s="202"/>
      <c r="ECU308" s="203"/>
      <c r="ECV308" s="36"/>
      <c r="ECW308" s="36"/>
      <c r="ECX308" s="205"/>
      <c r="ECY308" s="33"/>
      <c r="ECZ308" s="37"/>
      <c r="EDA308" s="37"/>
      <c r="EDB308" s="37"/>
      <c r="EDC308" s="37"/>
      <c r="EDD308" s="37"/>
      <c r="EDE308" s="33"/>
      <c r="EDF308" s="206"/>
      <c r="EDG308" s="207"/>
      <c r="EDH308" s="204"/>
      <c r="EDI308" s="35"/>
      <c r="EDJ308" s="202"/>
      <c r="EDK308" s="203"/>
      <c r="EDL308" s="36"/>
      <c r="EDM308" s="36"/>
      <c r="EDN308" s="205"/>
      <c r="EDO308" s="33"/>
      <c r="EDP308" s="37"/>
      <c r="EDQ308" s="37"/>
      <c r="EDR308" s="37"/>
      <c r="EDS308" s="37"/>
      <c r="EDT308" s="37"/>
      <c r="EDU308" s="33"/>
      <c r="EDV308" s="206"/>
      <c r="EDW308" s="207"/>
      <c r="EDX308" s="204"/>
      <c r="EDY308" s="35"/>
      <c r="EDZ308" s="202"/>
      <c r="EEA308" s="203"/>
      <c r="EEB308" s="36"/>
      <c r="EEC308" s="36"/>
      <c r="EED308" s="205"/>
      <c r="EEE308" s="33"/>
      <c r="EEF308" s="37"/>
      <c r="EEG308" s="37"/>
      <c r="EEH308" s="37"/>
      <c r="EEI308" s="37"/>
      <c r="EEJ308" s="37"/>
      <c r="EEK308" s="33"/>
      <c r="EEL308" s="206"/>
      <c r="EEM308" s="207"/>
      <c r="EEN308" s="204"/>
      <c r="EEO308" s="35"/>
      <c r="EEP308" s="202"/>
      <c r="EEQ308" s="203"/>
      <c r="EER308" s="36"/>
      <c r="EES308" s="36"/>
      <c r="EET308" s="205"/>
      <c r="EEU308" s="33"/>
      <c r="EEV308" s="37"/>
      <c r="EEW308" s="37"/>
      <c r="EEX308" s="37"/>
      <c r="EEY308" s="37"/>
      <c r="EEZ308" s="37"/>
      <c r="EFA308" s="33"/>
      <c r="EFB308" s="206"/>
      <c r="EFC308" s="207"/>
      <c r="EFD308" s="204"/>
      <c r="EFE308" s="35"/>
      <c r="EFF308" s="202"/>
      <c r="EFG308" s="203"/>
      <c r="EFH308" s="36"/>
      <c r="EFI308" s="36"/>
      <c r="EFJ308" s="205"/>
      <c r="EFK308" s="33"/>
      <c r="EFL308" s="37"/>
      <c r="EFM308" s="37"/>
      <c r="EFN308" s="37"/>
      <c r="EFO308" s="37"/>
      <c r="EFP308" s="37"/>
      <c r="EFQ308" s="33"/>
      <c r="EFR308" s="206"/>
      <c r="EFS308" s="207"/>
      <c r="EFT308" s="204"/>
      <c r="EFU308" s="35"/>
      <c r="EFV308" s="202"/>
      <c r="EFW308" s="203"/>
      <c r="EFX308" s="36"/>
      <c r="EFY308" s="36"/>
      <c r="EFZ308" s="205"/>
      <c r="EGA308" s="33"/>
      <c r="EGB308" s="37"/>
      <c r="EGC308" s="37"/>
      <c r="EGD308" s="37"/>
      <c r="EGE308" s="37"/>
      <c r="EGF308" s="37"/>
      <c r="EGG308" s="33"/>
      <c r="EGH308" s="206"/>
      <c r="EGI308" s="207"/>
      <c r="EGJ308" s="204"/>
      <c r="EGK308" s="35"/>
      <c r="EGL308" s="202"/>
      <c r="EGM308" s="203"/>
      <c r="EGN308" s="36"/>
      <c r="EGO308" s="36"/>
      <c r="EGP308" s="205"/>
      <c r="EGQ308" s="33"/>
      <c r="EGR308" s="37"/>
      <c r="EGS308" s="37"/>
      <c r="EGT308" s="37"/>
      <c r="EGU308" s="37"/>
      <c r="EGV308" s="37"/>
      <c r="EGW308" s="33"/>
      <c r="EGX308" s="206"/>
      <c r="EGY308" s="207"/>
      <c r="EGZ308" s="204"/>
      <c r="EHA308" s="35"/>
      <c r="EHB308" s="202"/>
      <c r="EHC308" s="203"/>
      <c r="EHD308" s="36"/>
      <c r="EHE308" s="36"/>
      <c r="EHF308" s="205"/>
      <c r="EHG308" s="33"/>
      <c r="EHH308" s="37"/>
      <c r="EHI308" s="37"/>
      <c r="EHJ308" s="37"/>
      <c r="EHK308" s="37"/>
      <c r="EHL308" s="37"/>
      <c r="EHM308" s="33"/>
      <c r="EHN308" s="206"/>
      <c r="EHO308" s="207"/>
      <c r="EHP308" s="204"/>
      <c r="EHQ308" s="35"/>
      <c r="EHR308" s="202"/>
      <c r="EHS308" s="203"/>
      <c r="EHT308" s="36"/>
      <c r="EHU308" s="36"/>
      <c r="EHV308" s="205"/>
      <c r="EHW308" s="33"/>
      <c r="EHX308" s="37"/>
      <c r="EHY308" s="37"/>
      <c r="EHZ308" s="37"/>
      <c r="EIA308" s="37"/>
      <c r="EIB308" s="37"/>
      <c r="EIC308" s="33"/>
      <c r="EID308" s="206"/>
      <c r="EIE308" s="207"/>
      <c r="EIF308" s="204"/>
      <c r="EIG308" s="35"/>
      <c r="EIH308" s="202"/>
      <c r="EII308" s="203"/>
      <c r="EIJ308" s="36"/>
      <c r="EIK308" s="36"/>
      <c r="EIL308" s="205"/>
      <c r="EIM308" s="33"/>
      <c r="EIN308" s="37"/>
      <c r="EIO308" s="37"/>
      <c r="EIP308" s="37"/>
      <c r="EIQ308" s="37"/>
      <c r="EIR308" s="37"/>
      <c r="EIS308" s="33"/>
      <c r="EIT308" s="206"/>
      <c r="EIU308" s="207"/>
      <c r="EIV308" s="204"/>
      <c r="EIW308" s="35"/>
      <c r="EIX308" s="202"/>
      <c r="EIY308" s="203"/>
      <c r="EIZ308" s="36"/>
      <c r="EJA308" s="36"/>
      <c r="EJB308" s="205"/>
      <c r="EJC308" s="33"/>
      <c r="EJD308" s="37"/>
      <c r="EJE308" s="37"/>
      <c r="EJF308" s="37"/>
      <c r="EJG308" s="37"/>
      <c r="EJH308" s="37"/>
      <c r="EJI308" s="33"/>
      <c r="EJJ308" s="206"/>
      <c r="EJK308" s="207"/>
      <c r="EJL308" s="204"/>
      <c r="EJM308" s="35"/>
      <c r="EJN308" s="202"/>
      <c r="EJO308" s="203"/>
      <c r="EJP308" s="36"/>
      <c r="EJQ308" s="36"/>
      <c r="EJR308" s="205"/>
      <c r="EJS308" s="33"/>
      <c r="EJT308" s="37"/>
      <c r="EJU308" s="37"/>
      <c r="EJV308" s="37"/>
      <c r="EJW308" s="37"/>
      <c r="EJX308" s="37"/>
      <c r="EJY308" s="33"/>
      <c r="EJZ308" s="206"/>
      <c r="EKA308" s="207"/>
      <c r="EKB308" s="204"/>
      <c r="EKC308" s="35"/>
      <c r="EKD308" s="202"/>
      <c r="EKE308" s="203"/>
      <c r="EKF308" s="36"/>
      <c r="EKG308" s="36"/>
      <c r="EKH308" s="205"/>
      <c r="EKI308" s="33"/>
      <c r="EKJ308" s="37"/>
      <c r="EKK308" s="37"/>
      <c r="EKL308" s="37"/>
      <c r="EKM308" s="37"/>
      <c r="EKN308" s="37"/>
      <c r="EKO308" s="33"/>
      <c r="EKP308" s="206"/>
      <c r="EKQ308" s="207"/>
      <c r="EKR308" s="204"/>
      <c r="EKS308" s="35"/>
      <c r="EKT308" s="202"/>
      <c r="EKU308" s="203"/>
      <c r="EKV308" s="36"/>
      <c r="EKW308" s="36"/>
      <c r="EKX308" s="205"/>
      <c r="EKY308" s="33"/>
      <c r="EKZ308" s="37"/>
      <c r="ELA308" s="37"/>
      <c r="ELB308" s="37"/>
      <c r="ELC308" s="37"/>
      <c r="ELD308" s="37"/>
      <c r="ELE308" s="33"/>
      <c r="ELF308" s="206"/>
      <c r="ELG308" s="207"/>
      <c r="ELH308" s="204"/>
      <c r="ELI308" s="35"/>
      <c r="ELJ308" s="202"/>
      <c r="ELK308" s="203"/>
      <c r="ELL308" s="36"/>
      <c r="ELM308" s="36"/>
      <c r="ELN308" s="205"/>
      <c r="ELO308" s="33"/>
      <c r="ELP308" s="37"/>
      <c r="ELQ308" s="37"/>
      <c r="ELR308" s="37"/>
      <c r="ELS308" s="37"/>
      <c r="ELT308" s="37"/>
      <c r="ELU308" s="33"/>
      <c r="ELV308" s="206"/>
      <c r="ELW308" s="207"/>
      <c r="ELX308" s="204"/>
      <c r="ELY308" s="35"/>
      <c r="ELZ308" s="202"/>
      <c r="EMA308" s="203"/>
      <c r="EMB308" s="36"/>
      <c r="EMC308" s="36"/>
      <c r="EMD308" s="205"/>
      <c r="EME308" s="33"/>
      <c r="EMF308" s="37"/>
      <c r="EMG308" s="37"/>
      <c r="EMH308" s="37"/>
      <c r="EMI308" s="37"/>
      <c r="EMJ308" s="37"/>
      <c r="EMK308" s="33"/>
      <c r="EML308" s="206"/>
      <c r="EMM308" s="207"/>
      <c r="EMN308" s="204"/>
      <c r="EMO308" s="35"/>
      <c r="EMP308" s="202"/>
      <c r="EMQ308" s="203"/>
      <c r="EMR308" s="36"/>
      <c r="EMS308" s="36"/>
      <c r="EMT308" s="205"/>
      <c r="EMU308" s="33"/>
      <c r="EMV308" s="37"/>
      <c r="EMW308" s="37"/>
      <c r="EMX308" s="37"/>
      <c r="EMY308" s="37"/>
      <c r="EMZ308" s="37"/>
      <c r="ENA308" s="33"/>
      <c r="ENB308" s="206"/>
      <c r="ENC308" s="207"/>
      <c r="END308" s="204"/>
      <c r="ENE308" s="35"/>
      <c r="ENF308" s="202"/>
      <c r="ENG308" s="203"/>
      <c r="ENH308" s="36"/>
      <c r="ENI308" s="36"/>
      <c r="ENJ308" s="205"/>
      <c r="ENK308" s="33"/>
      <c r="ENL308" s="37"/>
      <c r="ENM308" s="37"/>
      <c r="ENN308" s="37"/>
      <c r="ENO308" s="37"/>
      <c r="ENP308" s="37"/>
      <c r="ENQ308" s="33"/>
      <c r="ENR308" s="206"/>
      <c r="ENS308" s="207"/>
      <c r="ENT308" s="204"/>
      <c r="ENU308" s="35"/>
      <c r="ENV308" s="202"/>
      <c r="ENW308" s="203"/>
      <c r="ENX308" s="36"/>
      <c r="ENY308" s="36"/>
      <c r="ENZ308" s="205"/>
      <c r="EOA308" s="33"/>
      <c r="EOB308" s="37"/>
      <c r="EOC308" s="37"/>
      <c r="EOD308" s="37"/>
      <c r="EOE308" s="37"/>
      <c r="EOF308" s="37"/>
      <c r="EOG308" s="33"/>
      <c r="EOH308" s="206"/>
      <c r="EOI308" s="207"/>
      <c r="EOJ308" s="204"/>
      <c r="EOK308" s="35"/>
      <c r="EOL308" s="202"/>
      <c r="EOM308" s="203"/>
      <c r="EON308" s="36"/>
      <c r="EOO308" s="36"/>
      <c r="EOP308" s="205"/>
      <c r="EOQ308" s="33"/>
      <c r="EOR308" s="37"/>
      <c r="EOS308" s="37"/>
      <c r="EOT308" s="37"/>
      <c r="EOU308" s="37"/>
      <c r="EOV308" s="37"/>
      <c r="EOW308" s="33"/>
      <c r="EOX308" s="206"/>
      <c r="EOY308" s="207"/>
      <c r="EOZ308" s="204"/>
      <c r="EPA308" s="35"/>
      <c r="EPB308" s="202"/>
      <c r="EPC308" s="203"/>
      <c r="EPD308" s="36"/>
      <c r="EPE308" s="36"/>
      <c r="EPF308" s="205"/>
      <c r="EPG308" s="33"/>
      <c r="EPH308" s="37"/>
      <c r="EPI308" s="37"/>
      <c r="EPJ308" s="37"/>
      <c r="EPK308" s="37"/>
      <c r="EPL308" s="37"/>
      <c r="EPM308" s="33"/>
      <c r="EPN308" s="206"/>
      <c r="EPO308" s="207"/>
      <c r="EPP308" s="204"/>
      <c r="EPQ308" s="35"/>
      <c r="EPR308" s="202"/>
      <c r="EPS308" s="203"/>
      <c r="EPT308" s="36"/>
      <c r="EPU308" s="36"/>
      <c r="EPV308" s="205"/>
      <c r="EPW308" s="33"/>
      <c r="EPX308" s="37"/>
      <c r="EPY308" s="37"/>
      <c r="EPZ308" s="37"/>
      <c r="EQA308" s="37"/>
      <c r="EQB308" s="37"/>
      <c r="EQC308" s="33"/>
      <c r="EQD308" s="206"/>
      <c r="EQE308" s="207"/>
      <c r="EQF308" s="204"/>
      <c r="EQG308" s="35"/>
      <c r="EQH308" s="202"/>
      <c r="EQI308" s="203"/>
      <c r="EQJ308" s="36"/>
      <c r="EQK308" s="36"/>
      <c r="EQL308" s="205"/>
      <c r="EQM308" s="33"/>
      <c r="EQN308" s="37"/>
      <c r="EQO308" s="37"/>
      <c r="EQP308" s="37"/>
      <c r="EQQ308" s="37"/>
      <c r="EQR308" s="37"/>
      <c r="EQS308" s="33"/>
      <c r="EQT308" s="206"/>
      <c r="EQU308" s="207"/>
      <c r="EQV308" s="204"/>
      <c r="EQW308" s="35"/>
      <c r="EQX308" s="202"/>
      <c r="EQY308" s="203"/>
      <c r="EQZ308" s="36"/>
      <c r="ERA308" s="36"/>
      <c r="ERB308" s="205"/>
      <c r="ERC308" s="33"/>
      <c r="ERD308" s="37"/>
      <c r="ERE308" s="37"/>
      <c r="ERF308" s="37"/>
      <c r="ERG308" s="37"/>
      <c r="ERH308" s="37"/>
      <c r="ERI308" s="33"/>
      <c r="ERJ308" s="206"/>
      <c r="ERK308" s="207"/>
      <c r="ERL308" s="204"/>
      <c r="ERM308" s="35"/>
      <c r="ERN308" s="202"/>
      <c r="ERO308" s="203"/>
      <c r="ERP308" s="36"/>
      <c r="ERQ308" s="36"/>
      <c r="ERR308" s="205"/>
      <c r="ERS308" s="33"/>
      <c r="ERT308" s="37"/>
      <c r="ERU308" s="37"/>
      <c r="ERV308" s="37"/>
      <c r="ERW308" s="37"/>
      <c r="ERX308" s="37"/>
      <c r="ERY308" s="33"/>
      <c r="ERZ308" s="206"/>
      <c r="ESA308" s="207"/>
      <c r="ESB308" s="204"/>
      <c r="ESC308" s="35"/>
      <c r="ESD308" s="202"/>
      <c r="ESE308" s="203"/>
      <c r="ESF308" s="36"/>
      <c r="ESG308" s="36"/>
      <c r="ESH308" s="205"/>
      <c r="ESI308" s="33"/>
      <c r="ESJ308" s="37"/>
      <c r="ESK308" s="37"/>
      <c r="ESL308" s="37"/>
      <c r="ESM308" s="37"/>
      <c r="ESN308" s="37"/>
      <c r="ESO308" s="33"/>
      <c r="ESP308" s="206"/>
      <c r="ESQ308" s="207"/>
      <c r="ESR308" s="204"/>
      <c r="ESS308" s="35"/>
      <c r="EST308" s="202"/>
      <c r="ESU308" s="203"/>
      <c r="ESV308" s="36"/>
      <c r="ESW308" s="36"/>
      <c r="ESX308" s="205"/>
      <c r="ESY308" s="33"/>
      <c r="ESZ308" s="37"/>
      <c r="ETA308" s="37"/>
      <c r="ETB308" s="37"/>
      <c r="ETC308" s="37"/>
      <c r="ETD308" s="37"/>
      <c r="ETE308" s="33"/>
      <c r="ETF308" s="206"/>
      <c r="ETG308" s="207"/>
      <c r="ETH308" s="204"/>
      <c r="ETI308" s="35"/>
      <c r="ETJ308" s="202"/>
      <c r="ETK308" s="203"/>
      <c r="ETL308" s="36"/>
      <c r="ETM308" s="36"/>
      <c r="ETN308" s="205"/>
      <c r="ETO308" s="33"/>
      <c r="ETP308" s="37"/>
      <c r="ETQ308" s="37"/>
      <c r="ETR308" s="37"/>
      <c r="ETS308" s="37"/>
      <c r="ETT308" s="37"/>
      <c r="ETU308" s="33"/>
      <c r="ETV308" s="206"/>
      <c r="ETW308" s="207"/>
      <c r="ETX308" s="204"/>
      <c r="ETY308" s="35"/>
      <c r="ETZ308" s="202"/>
      <c r="EUA308" s="203"/>
      <c r="EUB308" s="36"/>
      <c r="EUC308" s="36"/>
      <c r="EUD308" s="205"/>
      <c r="EUE308" s="33"/>
      <c r="EUF308" s="37"/>
      <c r="EUG308" s="37"/>
      <c r="EUH308" s="37"/>
      <c r="EUI308" s="37"/>
      <c r="EUJ308" s="37"/>
      <c r="EUK308" s="33"/>
      <c r="EUL308" s="206"/>
      <c r="EUM308" s="207"/>
      <c r="EUN308" s="204"/>
      <c r="EUO308" s="35"/>
      <c r="EUP308" s="202"/>
      <c r="EUQ308" s="203"/>
      <c r="EUR308" s="36"/>
      <c r="EUS308" s="36"/>
      <c r="EUT308" s="205"/>
      <c r="EUU308" s="33"/>
      <c r="EUV308" s="37"/>
      <c r="EUW308" s="37"/>
      <c r="EUX308" s="37"/>
      <c r="EUY308" s="37"/>
      <c r="EUZ308" s="37"/>
      <c r="EVA308" s="33"/>
      <c r="EVB308" s="206"/>
      <c r="EVC308" s="207"/>
      <c r="EVD308" s="204"/>
      <c r="EVE308" s="35"/>
      <c r="EVF308" s="202"/>
      <c r="EVG308" s="203"/>
      <c r="EVH308" s="36"/>
      <c r="EVI308" s="36"/>
      <c r="EVJ308" s="205"/>
      <c r="EVK308" s="33"/>
      <c r="EVL308" s="37"/>
      <c r="EVM308" s="37"/>
      <c r="EVN308" s="37"/>
      <c r="EVO308" s="37"/>
      <c r="EVP308" s="37"/>
      <c r="EVQ308" s="33"/>
      <c r="EVR308" s="206"/>
      <c r="EVS308" s="207"/>
      <c r="EVT308" s="204"/>
      <c r="EVU308" s="35"/>
      <c r="EVV308" s="202"/>
      <c r="EVW308" s="203"/>
      <c r="EVX308" s="36"/>
      <c r="EVY308" s="36"/>
      <c r="EVZ308" s="205"/>
      <c r="EWA308" s="33"/>
      <c r="EWB308" s="37"/>
      <c r="EWC308" s="37"/>
      <c r="EWD308" s="37"/>
      <c r="EWE308" s="37"/>
      <c r="EWF308" s="37"/>
      <c r="EWG308" s="33"/>
      <c r="EWH308" s="206"/>
      <c r="EWI308" s="207"/>
      <c r="EWJ308" s="204"/>
      <c r="EWK308" s="35"/>
      <c r="EWL308" s="202"/>
      <c r="EWM308" s="203"/>
      <c r="EWN308" s="36"/>
      <c r="EWO308" s="36"/>
      <c r="EWP308" s="205"/>
      <c r="EWQ308" s="33"/>
      <c r="EWR308" s="37"/>
      <c r="EWS308" s="37"/>
      <c r="EWT308" s="37"/>
      <c r="EWU308" s="37"/>
      <c r="EWV308" s="37"/>
      <c r="EWW308" s="33"/>
      <c r="EWX308" s="206"/>
      <c r="EWY308" s="207"/>
      <c r="EWZ308" s="204"/>
      <c r="EXA308" s="35"/>
      <c r="EXB308" s="202"/>
      <c r="EXC308" s="203"/>
      <c r="EXD308" s="36"/>
      <c r="EXE308" s="36"/>
      <c r="EXF308" s="205"/>
      <c r="EXG308" s="33"/>
      <c r="EXH308" s="37"/>
      <c r="EXI308" s="37"/>
      <c r="EXJ308" s="37"/>
      <c r="EXK308" s="37"/>
      <c r="EXL308" s="37"/>
      <c r="EXM308" s="33"/>
      <c r="EXN308" s="206"/>
      <c r="EXO308" s="207"/>
      <c r="EXP308" s="204"/>
      <c r="EXQ308" s="35"/>
      <c r="EXR308" s="202"/>
      <c r="EXS308" s="203"/>
      <c r="EXT308" s="36"/>
      <c r="EXU308" s="36"/>
      <c r="EXV308" s="205"/>
      <c r="EXW308" s="33"/>
      <c r="EXX308" s="37"/>
      <c r="EXY308" s="37"/>
      <c r="EXZ308" s="37"/>
      <c r="EYA308" s="37"/>
      <c r="EYB308" s="37"/>
      <c r="EYC308" s="33"/>
      <c r="EYD308" s="206"/>
      <c r="EYE308" s="207"/>
      <c r="EYF308" s="204"/>
      <c r="EYG308" s="35"/>
      <c r="EYH308" s="202"/>
      <c r="EYI308" s="203"/>
      <c r="EYJ308" s="36"/>
      <c r="EYK308" s="36"/>
      <c r="EYL308" s="205"/>
      <c r="EYM308" s="33"/>
      <c r="EYN308" s="37"/>
      <c r="EYO308" s="37"/>
      <c r="EYP308" s="37"/>
      <c r="EYQ308" s="37"/>
      <c r="EYR308" s="37"/>
      <c r="EYS308" s="33"/>
      <c r="EYT308" s="206"/>
      <c r="EYU308" s="207"/>
      <c r="EYV308" s="204"/>
      <c r="EYW308" s="35"/>
      <c r="EYX308" s="202"/>
      <c r="EYY308" s="203"/>
      <c r="EYZ308" s="36"/>
      <c r="EZA308" s="36"/>
      <c r="EZB308" s="205"/>
      <c r="EZC308" s="33"/>
      <c r="EZD308" s="37"/>
      <c r="EZE308" s="37"/>
      <c r="EZF308" s="37"/>
      <c r="EZG308" s="37"/>
      <c r="EZH308" s="37"/>
      <c r="EZI308" s="33"/>
      <c r="EZJ308" s="206"/>
      <c r="EZK308" s="207"/>
      <c r="EZL308" s="204"/>
      <c r="EZM308" s="35"/>
      <c r="EZN308" s="202"/>
      <c r="EZO308" s="203"/>
      <c r="EZP308" s="36"/>
      <c r="EZQ308" s="36"/>
      <c r="EZR308" s="205"/>
      <c r="EZS308" s="33"/>
      <c r="EZT308" s="37"/>
      <c r="EZU308" s="37"/>
      <c r="EZV308" s="37"/>
      <c r="EZW308" s="37"/>
      <c r="EZX308" s="37"/>
      <c r="EZY308" s="33"/>
      <c r="EZZ308" s="206"/>
      <c r="FAA308" s="207"/>
      <c r="FAB308" s="204"/>
      <c r="FAC308" s="35"/>
      <c r="FAD308" s="202"/>
      <c r="FAE308" s="203"/>
      <c r="FAF308" s="36"/>
      <c r="FAG308" s="36"/>
      <c r="FAH308" s="205"/>
      <c r="FAI308" s="33"/>
      <c r="FAJ308" s="37"/>
      <c r="FAK308" s="37"/>
      <c r="FAL308" s="37"/>
      <c r="FAM308" s="37"/>
      <c r="FAN308" s="37"/>
      <c r="FAO308" s="33"/>
      <c r="FAP308" s="206"/>
      <c r="FAQ308" s="207"/>
      <c r="FAR308" s="204"/>
      <c r="FAS308" s="35"/>
      <c r="FAT308" s="202"/>
      <c r="FAU308" s="203"/>
      <c r="FAV308" s="36"/>
      <c r="FAW308" s="36"/>
      <c r="FAX308" s="205"/>
      <c r="FAY308" s="33"/>
      <c r="FAZ308" s="37"/>
      <c r="FBA308" s="37"/>
      <c r="FBB308" s="37"/>
      <c r="FBC308" s="37"/>
      <c r="FBD308" s="37"/>
      <c r="FBE308" s="33"/>
      <c r="FBF308" s="206"/>
      <c r="FBG308" s="207"/>
      <c r="FBH308" s="204"/>
      <c r="FBI308" s="35"/>
      <c r="FBJ308" s="202"/>
      <c r="FBK308" s="203"/>
      <c r="FBL308" s="36"/>
      <c r="FBM308" s="36"/>
      <c r="FBN308" s="205"/>
      <c r="FBO308" s="33"/>
      <c r="FBP308" s="37"/>
      <c r="FBQ308" s="37"/>
      <c r="FBR308" s="37"/>
      <c r="FBS308" s="37"/>
      <c r="FBT308" s="37"/>
      <c r="FBU308" s="33"/>
      <c r="FBV308" s="206"/>
      <c r="FBW308" s="207"/>
      <c r="FBX308" s="204"/>
      <c r="FBY308" s="35"/>
      <c r="FBZ308" s="202"/>
      <c r="FCA308" s="203"/>
      <c r="FCB308" s="36"/>
      <c r="FCC308" s="36"/>
      <c r="FCD308" s="205"/>
      <c r="FCE308" s="33"/>
      <c r="FCF308" s="37"/>
      <c r="FCG308" s="37"/>
      <c r="FCH308" s="37"/>
      <c r="FCI308" s="37"/>
      <c r="FCJ308" s="37"/>
      <c r="FCK308" s="33"/>
      <c r="FCL308" s="206"/>
      <c r="FCM308" s="207"/>
      <c r="FCN308" s="204"/>
      <c r="FCO308" s="35"/>
      <c r="FCP308" s="202"/>
      <c r="FCQ308" s="203"/>
      <c r="FCR308" s="36"/>
      <c r="FCS308" s="36"/>
      <c r="FCT308" s="205"/>
      <c r="FCU308" s="33"/>
      <c r="FCV308" s="37"/>
      <c r="FCW308" s="37"/>
      <c r="FCX308" s="37"/>
      <c r="FCY308" s="37"/>
      <c r="FCZ308" s="37"/>
      <c r="FDA308" s="33"/>
      <c r="FDB308" s="206"/>
      <c r="FDC308" s="207"/>
      <c r="FDD308" s="204"/>
      <c r="FDE308" s="35"/>
      <c r="FDF308" s="202"/>
      <c r="FDG308" s="203"/>
      <c r="FDH308" s="36"/>
      <c r="FDI308" s="36"/>
      <c r="FDJ308" s="205"/>
      <c r="FDK308" s="33"/>
      <c r="FDL308" s="37"/>
      <c r="FDM308" s="37"/>
      <c r="FDN308" s="37"/>
      <c r="FDO308" s="37"/>
      <c r="FDP308" s="37"/>
      <c r="FDQ308" s="33"/>
      <c r="FDR308" s="206"/>
      <c r="FDS308" s="207"/>
      <c r="FDT308" s="204"/>
      <c r="FDU308" s="35"/>
      <c r="FDV308" s="202"/>
      <c r="FDW308" s="203"/>
      <c r="FDX308" s="36"/>
      <c r="FDY308" s="36"/>
      <c r="FDZ308" s="205"/>
      <c r="FEA308" s="33"/>
      <c r="FEB308" s="37"/>
      <c r="FEC308" s="37"/>
      <c r="FED308" s="37"/>
      <c r="FEE308" s="37"/>
      <c r="FEF308" s="37"/>
      <c r="FEG308" s="33"/>
      <c r="FEH308" s="206"/>
      <c r="FEI308" s="207"/>
      <c r="FEJ308" s="204"/>
      <c r="FEK308" s="35"/>
      <c r="FEL308" s="202"/>
      <c r="FEM308" s="203"/>
      <c r="FEN308" s="36"/>
      <c r="FEO308" s="36"/>
      <c r="FEP308" s="205"/>
      <c r="FEQ308" s="33"/>
      <c r="FER308" s="37"/>
      <c r="FES308" s="37"/>
      <c r="FET308" s="37"/>
      <c r="FEU308" s="37"/>
      <c r="FEV308" s="37"/>
      <c r="FEW308" s="33"/>
      <c r="FEX308" s="206"/>
      <c r="FEY308" s="207"/>
      <c r="FEZ308" s="204"/>
      <c r="FFA308" s="35"/>
      <c r="FFB308" s="202"/>
      <c r="FFC308" s="203"/>
      <c r="FFD308" s="36"/>
      <c r="FFE308" s="36"/>
      <c r="FFF308" s="205"/>
      <c r="FFG308" s="33"/>
      <c r="FFH308" s="37"/>
      <c r="FFI308" s="37"/>
      <c r="FFJ308" s="37"/>
      <c r="FFK308" s="37"/>
      <c r="FFL308" s="37"/>
      <c r="FFM308" s="33"/>
      <c r="FFN308" s="206"/>
      <c r="FFO308" s="207"/>
      <c r="FFP308" s="204"/>
      <c r="FFQ308" s="35"/>
      <c r="FFR308" s="202"/>
      <c r="FFS308" s="203"/>
      <c r="FFT308" s="36"/>
      <c r="FFU308" s="36"/>
      <c r="FFV308" s="205"/>
      <c r="FFW308" s="33"/>
      <c r="FFX308" s="37"/>
      <c r="FFY308" s="37"/>
      <c r="FFZ308" s="37"/>
      <c r="FGA308" s="37"/>
      <c r="FGB308" s="37"/>
      <c r="FGC308" s="33"/>
      <c r="FGD308" s="206"/>
      <c r="FGE308" s="207"/>
      <c r="FGF308" s="204"/>
      <c r="FGG308" s="35"/>
      <c r="FGH308" s="202"/>
      <c r="FGI308" s="203"/>
      <c r="FGJ308" s="36"/>
      <c r="FGK308" s="36"/>
      <c r="FGL308" s="205"/>
      <c r="FGM308" s="33"/>
      <c r="FGN308" s="37"/>
      <c r="FGO308" s="37"/>
      <c r="FGP308" s="37"/>
      <c r="FGQ308" s="37"/>
      <c r="FGR308" s="37"/>
      <c r="FGS308" s="33"/>
      <c r="FGT308" s="206"/>
      <c r="FGU308" s="207"/>
      <c r="FGV308" s="204"/>
      <c r="FGW308" s="35"/>
      <c r="FGX308" s="202"/>
      <c r="FGY308" s="203"/>
      <c r="FGZ308" s="36"/>
      <c r="FHA308" s="36"/>
      <c r="FHB308" s="205"/>
      <c r="FHC308" s="33"/>
      <c r="FHD308" s="37"/>
      <c r="FHE308" s="37"/>
      <c r="FHF308" s="37"/>
      <c r="FHG308" s="37"/>
      <c r="FHH308" s="37"/>
      <c r="FHI308" s="33"/>
      <c r="FHJ308" s="206"/>
      <c r="FHK308" s="207"/>
      <c r="FHL308" s="204"/>
      <c r="FHM308" s="35"/>
      <c r="FHN308" s="202"/>
      <c r="FHO308" s="203"/>
      <c r="FHP308" s="36"/>
      <c r="FHQ308" s="36"/>
      <c r="FHR308" s="205"/>
      <c r="FHS308" s="33"/>
      <c r="FHT308" s="37"/>
      <c r="FHU308" s="37"/>
      <c r="FHV308" s="37"/>
      <c r="FHW308" s="37"/>
      <c r="FHX308" s="37"/>
      <c r="FHY308" s="33"/>
      <c r="FHZ308" s="206"/>
      <c r="FIA308" s="207"/>
      <c r="FIB308" s="204"/>
      <c r="FIC308" s="35"/>
      <c r="FID308" s="202"/>
      <c r="FIE308" s="203"/>
      <c r="FIF308" s="36"/>
      <c r="FIG308" s="36"/>
      <c r="FIH308" s="205"/>
      <c r="FII308" s="33"/>
      <c r="FIJ308" s="37"/>
      <c r="FIK308" s="37"/>
      <c r="FIL308" s="37"/>
      <c r="FIM308" s="37"/>
      <c r="FIN308" s="37"/>
      <c r="FIO308" s="33"/>
      <c r="FIP308" s="206"/>
      <c r="FIQ308" s="207"/>
      <c r="FIR308" s="204"/>
      <c r="FIS308" s="35"/>
      <c r="FIT308" s="202"/>
      <c r="FIU308" s="203"/>
      <c r="FIV308" s="36"/>
      <c r="FIW308" s="36"/>
      <c r="FIX308" s="205"/>
      <c r="FIY308" s="33"/>
      <c r="FIZ308" s="37"/>
      <c r="FJA308" s="37"/>
      <c r="FJB308" s="37"/>
      <c r="FJC308" s="37"/>
      <c r="FJD308" s="37"/>
      <c r="FJE308" s="33"/>
      <c r="FJF308" s="206"/>
      <c r="FJG308" s="207"/>
      <c r="FJH308" s="204"/>
      <c r="FJI308" s="35"/>
      <c r="FJJ308" s="202"/>
      <c r="FJK308" s="203"/>
      <c r="FJL308" s="36"/>
      <c r="FJM308" s="36"/>
      <c r="FJN308" s="205"/>
      <c r="FJO308" s="33"/>
      <c r="FJP308" s="37"/>
      <c r="FJQ308" s="37"/>
      <c r="FJR308" s="37"/>
      <c r="FJS308" s="37"/>
      <c r="FJT308" s="37"/>
      <c r="FJU308" s="33"/>
      <c r="FJV308" s="206"/>
      <c r="FJW308" s="207"/>
      <c r="FJX308" s="204"/>
      <c r="FJY308" s="35"/>
      <c r="FJZ308" s="202"/>
      <c r="FKA308" s="203"/>
      <c r="FKB308" s="36"/>
      <c r="FKC308" s="36"/>
      <c r="FKD308" s="205"/>
      <c r="FKE308" s="33"/>
      <c r="FKF308" s="37"/>
      <c r="FKG308" s="37"/>
      <c r="FKH308" s="37"/>
      <c r="FKI308" s="37"/>
      <c r="FKJ308" s="37"/>
      <c r="FKK308" s="33"/>
      <c r="FKL308" s="206"/>
      <c r="FKM308" s="207"/>
      <c r="FKN308" s="204"/>
      <c r="FKO308" s="35"/>
      <c r="FKP308" s="202"/>
      <c r="FKQ308" s="203"/>
      <c r="FKR308" s="36"/>
      <c r="FKS308" s="36"/>
      <c r="FKT308" s="205"/>
      <c r="FKU308" s="33"/>
      <c r="FKV308" s="37"/>
      <c r="FKW308" s="37"/>
      <c r="FKX308" s="37"/>
      <c r="FKY308" s="37"/>
      <c r="FKZ308" s="37"/>
      <c r="FLA308" s="33"/>
      <c r="FLB308" s="206"/>
      <c r="FLC308" s="207"/>
      <c r="FLD308" s="204"/>
      <c r="FLE308" s="35"/>
      <c r="FLF308" s="202"/>
      <c r="FLG308" s="203"/>
      <c r="FLH308" s="36"/>
      <c r="FLI308" s="36"/>
      <c r="FLJ308" s="205"/>
      <c r="FLK308" s="33"/>
      <c r="FLL308" s="37"/>
      <c r="FLM308" s="37"/>
      <c r="FLN308" s="37"/>
      <c r="FLO308" s="37"/>
      <c r="FLP308" s="37"/>
      <c r="FLQ308" s="33"/>
      <c r="FLR308" s="206"/>
      <c r="FLS308" s="207"/>
      <c r="FLT308" s="204"/>
      <c r="FLU308" s="35"/>
      <c r="FLV308" s="202"/>
      <c r="FLW308" s="203"/>
      <c r="FLX308" s="36"/>
      <c r="FLY308" s="36"/>
      <c r="FLZ308" s="205"/>
      <c r="FMA308" s="33"/>
      <c r="FMB308" s="37"/>
      <c r="FMC308" s="37"/>
      <c r="FMD308" s="37"/>
      <c r="FME308" s="37"/>
      <c r="FMF308" s="37"/>
      <c r="FMG308" s="33"/>
      <c r="FMH308" s="206"/>
      <c r="FMI308" s="207"/>
      <c r="FMJ308" s="204"/>
      <c r="FMK308" s="35"/>
      <c r="FML308" s="202"/>
      <c r="FMM308" s="203"/>
      <c r="FMN308" s="36"/>
      <c r="FMO308" s="36"/>
      <c r="FMP308" s="205"/>
      <c r="FMQ308" s="33"/>
      <c r="FMR308" s="37"/>
      <c r="FMS308" s="37"/>
      <c r="FMT308" s="37"/>
      <c r="FMU308" s="37"/>
      <c r="FMV308" s="37"/>
      <c r="FMW308" s="33"/>
      <c r="FMX308" s="206"/>
      <c r="FMY308" s="207"/>
      <c r="FMZ308" s="204"/>
      <c r="FNA308" s="35"/>
      <c r="FNB308" s="202"/>
      <c r="FNC308" s="203"/>
      <c r="FND308" s="36"/>
      <c r="FNE308" s="36"/>
      <c r="FNF308" s="205"/>
      <c r="FNG308" s="33"/>
      <c r="FNH308" s="37"/>
      <c r="FNI308" s="37"/>
      <c r="FNJ308" s="37"/>
      <c r="FNK308" s="37"/>
      <c r="FNL308" s="37"/>
      <c r="FNM308" s="33"/>
      <c r="FNN308" s="206"/>
      <c r="FNO308" s="207"/>
      <c r="FNP308" s="204"/>
      <c r="FNQ308" s="35"/>
      <c r="FNR308" s="202"/>
      <c r="FNS308" s="203"/>
      <c r="FNT308" s="36"/>
      <c r="FNU308" s="36"/>
      <c r="FNV308" s="205"/>
      <c r="FNW308" s="33"/>
      <c r="FNX308" s="37"/>
      <c r="FNY308" s="37"/>
      <c r="FNZ308" s="37"/>
      <c r="FOA308" s="37"/>
      <c r="FOB308" s="37"/>
      <c r="FOC308" s="33"/>
      <c r="FOD308" s="206"/>
      <c r="FOE308" s="207"/>
      <c r="FOF308" s="204"/>
      <c r="FOG308" s="35"/>
      <c r="FOH308" s="202"/>
      <c r="FOI308" s="203"/>
      <c r="FOJ308" s="36"/>
      <c r="FOK308" s="36"/>
      <c r="FOL308" s="205"/>
      <c r="FOM308" s="33"/>
      <c r="FON308" s="37"/>
      <c r="FOO308" s="37"/>
      <c r="FOP308" s="37"/>
      <c r="FOQ308" s="37"/>
      <c r="FOR308" s="37"/>
      <c r="FOS308" s="33"/>
      <c r="FOT308" s="206"/>
      <c r="FOU308" s="207"/>
      <c r="FOV308" s="204"/>
      <c r="FOW308" s="35"/>
      <c r="FOX308" s="202"/>
      <c r="FOY308" s="203"/>
      <c r="FOZ308" s="36"/>
      <c r="FPA308" s="36"/>
      <c r="FPB308" s="205"/>
      <c r="FPC308" s="33"/>
      <c r="FPD308" s="37"/>
      <c r="FPE308" s="37"/>
      <c r="FPF308" s="37"/>
      <c r="FPG308" s="37"/>
      <c r="FPH308" s="37"/>
      <c r="FPI308" s="33"/>
      <c r="FPJ308" s="206"/>
      <c r="FPK308" s="207"/>
      <c r="FPL308" s="204"/>
      <c r="FPM308" s="35"/>
      <c r="FPN308" s="202"/>
      <c r="FPO308" s="203"/>
      <c r="FPP308" s="36"/>
      <c r="FPQ308" s="36"/>
      <c r="FPR308" s="205"/>
      <c r="FPS308" s="33"/>
      <c r="FPT308" s="37"/>
      <c r="FPU308" s="37"/>
      <c r="FPV308" s="37"/>
      <c r="FPW308" s="37"/>
      <c r="FPX308" s="37"/>
      <c r="FPY308" s="33"/>
      <c r="FPZ308" s="206"/>
      <c r="FQA308" s="207"/>
      <c r="FQB308" s="204"/>
      <c r="FQC308" s="35"/>
      <c r="FQD308" s="202"/>
      <c r="FQE308" s="203"/>
      <c r="FQF308" s="36"/>
      <c r="FQG308" s="36"/>
      <c r="FQH308" s="205"/>
      <c r="FQI308" s="33"/>
      <c r="FQJ308" s="37"/>
      <c r="FQK308" s="37"/>
      <c r="FQL308" s="37"/>
      <c r="FQM308" s="37"/>
      <c r="FQN308" s="37"/>
      <c r="FQO308" s="33"/>
      <c r="FQP308" s="206"/>
      <c r="FQQ308" s="207"/>
      <c r="FQR308" s="204"/>
      <c r="FQS308" s="35"/>
      <c r="FQT308" s="202"/>
      <c r="FQU308" s="203"/>
      <c r="FQV308" s="36"/>
      <c r="FQW308" s="36"/>
      <c r="FQX308" s="205"/>
      <c r="FQY308" s="33"/>
      <c r="FQZ308" s="37"/>
      <c r="FRA308" s="37"/>
      <c r="FRB308" s="37"/>
      <c r="FRC308" s="37"/>
      <c r="FRD308" s="37"/>
      <c r="FRE308" s="33"/>
      <c r="FRF308" s="206"/>
      <c r="FRG308" s="207"/>
      <c r="FRH308" s="204"/>
      <c r="FRI308" s="35"/>
      <c r="FRJ308" s="202"/>
      <c r="FRK308" s="203"/>
      <c r="FRL308" s="36"/>
      <c r="FRM308" s="36"/>
      <c r="FRN308" s="205"/>
      <c r="FRO308" s="33"/>
      <c r="FRP308" s="37"/>
      <c r="FRQ308" s="37"/>
      <c r="FRR308" s="37"/>
      <c r="FRS308" s="37"/>
      <c r="FRT308" s="37"/>
      <c r="FRU308" s="33"/>
      <c r="FRV308" s="206"/>
      <c r="FRW308" s="207"/>
      <c r="FRX308" s="204"/>
      <c r="FRY308" s="35"/>
      <c r="FRZ308" s="202"/>
      <c r="FSA308" s="203"/>
      <c r="FSB308" s="36"/>
      <c r="FSC308" s="36"/>
      <c r="FSD308" s="205"/>
      <c r="FSE308" s="33"/>
      <c r="FSF308" s="37"/>
      <c r="FSG308" s="37"/>
      <c r="FSH308" s="37"/>
      <c r="FSI308" s="37"/>
      <c r="FSJ308" s="37"/>
      <c r="FSK308" s="33"/>
      <c r="FSL308" s="206"/>
      <c r="FSM308" s="207"/>
      <c r="FSN308" s="204"/>
      <c r="FSO308" s="35"/>
      <c r="FSP308" s="202"/>
      <c r="FSQ308" s="203"/>
      <c r="FSR308" s="36"/>
      <c r="FSS308" s="36"/>
      <c r="FST308" s="205"/>
      <c r="FSU308" s="33"/>
      <c r="FSV308" s="37"/>
      <c r="FSW308" s="37"/>
      <c r="FSX308" s="37"/>
      <c r="FSY308" s="37"/>
      <c r="FSZ308" s="37"/>
      <c r="FTA308" s="33"/>
      <c r="FTB308" s="206"/>
      <c r="FTC308" s="207"/>
      <c r="FTD308" s="204"/>
      <c r="FTE308" s="35"/>
      <c r="FTF308" s="202"/>
      <c r="FTG308" s="203"/>
      <c r="FTH308" s="36"/>
      <c r="FTI308" s="36"/>
      <c r="FTJ308" s="205"/>
      <c r="FTK308" s="33"/>
      <c r="FTL308" s="37"/>
      <c r="FTM308" s="37"/>
      <c r="FTN308" s="37"/>
      <c r="FTO308" s="37"/>
      <c r="FTP308" s="37"/>
      <c r="FTQ308" s="33"/>
      <c r="FTR308" s="206"/>
      <c r="FTS308" s="207"/>
      <c r="FTT308" s="204"/>
      <c r="FTU308" s="35"/>
      <c r="FTV308" s="202"/>
      <c r="FTW308" s="203"/>
      <c r="FTX308" s="36"/>
      <c r="FTY308" s="36"/>
      <c r="FTZ308" s="205"/>
      <c r="FUA308" s="33"/>
      <c r="FUB308" s="37"/>
      <c r="FUC308" s="37"/>
      <c r="FUD308" s="37"/>
      <c r="FUE308" s="37"/>
      <c r="FUF308" s="37"/>
      <c r="FUG308" s="33"/>
      <c r="FUH308" s="206"/>
      <c r="FUI308" s="207"/>
      <c r="FUJ308" s="204"/>
      <c r="FUK308" s="35"/>
      <c r="FUL308" s="202"/>
      <c r="FUM308" s="203"/>
      <c r="FUN308" s="36"/>
      <c r="FUO308" s="36"/>
      <c r="FUP308" s="205"/>
      <c r="FUQ308" s="33"/>
      <c r="FUR308" s="37"/>
      <c r="FUS308" s="37"/>
      <c r="FUT308" s="37"/>
      <c r="FUU308" s="37"/>
      <c r="FUV308" s="37"/>
      <c r="FUW308" s="33"/>
      <c r="FUX308" s="206"/>
      <c r="FUY308" s="207"/>
      <c r="FUZ308" s="204"/>
      <c r="FVA308" s="35"/>
      <c r="FVB308" s="202"/>
      <c r="FVC308" s="203"/>
      <c r="FVD308" s="36"/>
      <c r="FVE308" s="36"/>
      <c r="FVF308" s="205"/>
      <c r="FVG308" s="33"/>
      <c r="FVH308" s="37"/>
      <c r="FVI308" s="37"/>
      <c r="FVJ308" s="37"/>
      <c r="FVK308" s="37"/>
      <c r="FVL308" s="37"/>
      <c r="FVM308" s="33"/>
      <c r="FVN308" s="206"/>
      <c r="FVO308" s="207"/>
      <c r="FVP308" s="204"/>
      <c r="FVQ308" s="35"/>
      <c r="FVR308" s="202"/>
      <c r="FVS308" s="203"/>
      <c r="FVT308" s="36"/>
      <c r="FVU308" s="36"/>
      <c r="FVV308" s="205"/>
      <c r="FVW308" s="33"/>
      <c r="FVX308" s="37"/>
      <c r="FVY308" s="37"/>
      <c r="FVZ308" s="37"/>
      <c r="FWA308" s="37"/>
      <c r="FWB308" s="37"/>
      <c r="FWC308" s="33"/>
      <c r="FWD308" s="206"/>
      <c r="FWE308" s="207"/>
      <c r="FWF308" s="204"/>
      <c r="FWG308" s="35"/>
      <c r="FWH308" s="202"/>
      <c r="FWI308" s="203"/>
      <c r="FWJ308" s="36"/>
      <c r="FWK308" s="36"/>
      <c r="FWL308" s="205"/>
      <c r="FWM308" s="33"/>
      <c r="FWN308" s="37"/>
      <c r="FWO308" s="37"/>
      <c r="FWP308" s="37"/>
      <c r="FWQ308" s="37"/>
      <c r="FWR308" s="37"/>
      <c r="FWS308" s="33"/>
      <c r="FWT308" s="206"/>
      <c r="FWU308" s="207"/>
      <c r="FWV308" s="204"/>
      <c r="FWW308" s="35"/>
      <c r="FWX308" s="202"/>
      <c r="FWY308" s="203"/>
      <c r="FWZ308" s="36"/>
      <c r="FXA308" s="36"/>
      <c r="FXB308" s="205"/>
      <c r="FXC308" s="33"/>
      <c r="FXD308" s="37"/>
      <c r="FXE308" s="37"/>
      <c r="FXF308" s="37"/>
      <c r="FXG308" s="37"/>
      <c r="FXH308" s="37"/>
      <c r="FXI308" s="33"/>
      <c r="FXJ308" s="206"/>
      <c r="FXK308" s="207"/>
      <c r="FXL308" s="204"/>
      <c r="FXM308" s="35"/>
      <c r="FXN308" s="202"/>
      <c r="FXO308" s="203"/>
      <c r="FXP308" s="36"/>
      <c r="FXQ308" s="36"/>
      <c r="FXR308" s="205"/>
      <c r="FXS308" s="33"/>
      <c r="FXT308" s="37"/>
      <c r="FXU308" s="37"/>
      <c r="FXV308" s="37"/>
      <c r="FXW308" s="37"/>
      <c r="FXX308" s="37"/>
      <c r="FXY308" s="33"/>
      <c r="FXZ308" s="206"/>
      <c r="FYA308" s="207"/>
      <c r="FYB308" s="204"/>
      <c r="FYC308" s="35"/>
      <c r="FYD308" s="202"/>
      <c r="FYE308" s="203"/>
      <c r="FYF308" s="36"/>
      <c r="FYG308" s="36"/>
      <c r="FYH308" s="205"/>
      <c r="FYI308" s="33"/>
      <c r="FYJ308" s="37"/>
      <c r="FYK308" s="37"/>
      <c r="FYL308" s="37"/>
      <c r="FYM308" s="37"/>
      <c r="FYN308" s="37"/>
      <c r="FYO308" s="33"/>
      <c r="FYP308" s="206"/>
      <c r="FYQ308" s="207"/>
      <c r="FYR308" s="204"/>
      <c r="FYS308" s="35"/>
      <c r="FYT308" s="202"/>
      <c r="FYU308" s="203"/>
      <c r="FYV308" s="36"/>
      <c r="FYW308" s="36"/>
      <c r="FYX308" s="205"/>
      <c r="FYY308" s="33"/>
      <c r="FYZ308" s="37"/>
      <c r="FZA308" s="37"/>
      <c r="FZB308" s="37"/>
      <c r="FZC308" s="37"/>
      <c r="FZD308" s="37"/>
      <c r="FZE308" s="33"/>
      <c r="FZF308" s="206"/>
      <c r="FZG308" s="207"/>
      <c r="FZH308" s="204"/>
      <c r="FZI308" s="35"/>
      <c r="FZJ308" s="202"/>
      <c r="FZK308" s="203"/>
      <c r="FZL308" s="36"/>
      <c r="FZM308" s="36"/>
      <c r="FZN308" s="205"/>
      <c r="FZO308" s="33"/>
      <c r="FZP308" s="37"/>
      <c r="FZQ308" s="37"/>
      <c r="FZR308" s="37"/>
      <c r="FZS308" s="37"/>
      <c r="FZT308" s="37"/>
      <c r="FZU308" s="33"/>
      <c r="FZV308" s="206"/>
      <c r="FZW308" s="207"/>
      <c r="FZX308" s="204"/>
      <c r="FZY308" s="35"/>
      <c r="FZZ308" s="202"/>
      <c r="GAA308" s="203"/>
      <c r="GAB308" s="36"/>
      <c r="GAC308" s="36"/>
      <c r="GAD308" s="205"/>
      <c r="GAE308" s="33"/>
      <c r="GAF308" s="37"/>
      <c r="GAG308" s="37"/>
      <c r="GAH308" s="37"/>
      <c r="GAI308" s="37"/>
      <c r="GAJ308" s="37"/>
      <c r="GAK308" s="33"/>
      <c r="GAL308" s="206"/>
      <c r="GAM308" s="207"/>
      <c r="GAN308" s="204"/>
      <c r="GAO308" s="35"/>
      <c r="GAP308" s="202"/>
      <c r="GAQ308" s="203"/>
      <c r="GAR308" s="36"/>
      <c r="GAS308" s="36"/>
      <c r="GAT308" s="205"/>
      <c r="GAU308" s="33"/>
      <c r="GAV308" s="37"/>
      <c r="GAW308" s="37"/>
      <c r="GAX308" s="37"/>
      <c r="GAY308" s="37"/>
      <c r="GAZ308" s="37"/>
      <c r="GBA308" s="33"/>
      <c r="GBB308" s="206"/>
      <c r="GBC308" s="207"/>
      <c r="GBD308" s="204"/>
      <c r="GBE308" s="35"/>
      <c r="GBF308" s="202"/>
      <c r="GBG308" s="203"/>
      <c r="GBH308" s="36"/>
      <c r="GBI308" s="36"/>
      <c r="GBJ308" s="205"/>
      <c r="GBK308" s="33"/>
      <c r="GBL308" s="37"/>
      <c r="GBM308" s="37"/>
      <c r="GBN308" s="37"/>
      <c r="GBO308" s="37"/>
      <c r="GBP308" s="37"/>
      <c r="GBQ308" s="33"/>
      <c r="GBR308" s="206"/>
      <c r="GBS308" s="207"/>
      <c r="GBT308" s="204"/>
      <c r="GBU308" s="35"/>
      <c r="GBV308" s="202"/>
      <c r="GBW308" s="203"/>
      <c r="GBX308" s="36"/>
      <c r="GBY308" s="36"/>
      <c r="GBZ308" s="205"/>
      <c r="GCA308" s="33"/>
      <c r="GCB308" s="37"/>
      <c r="GCC308" s="37"/>
      <c r="GCD308" s="37"/>
      <c r="GCE308" s="37"/>
      <c r="GCF308" s="37"/>
      <c r="GCG308" s="33"/>
      <c r="GCH308" s="206"/>
      <c r="GCI308" s="207"/>
      <c r="GCJ308" s="204"/>
      <c r="GCK308" s="35"/>
      <c r="GCL308" s="202"/>
      <c r="GCM308" s="203"/>
      <c r="GCN308" s="36"/>
      <c r="GCO308" s="36"/>
      <c r="GCP308" s="205"/>
      <c r="GCQ308" s="33"/>
      <c r="GCR308" s="37"/>
      <c r="GCS308" s="37"/>
      <c r="GCT308" s="37"/>
      <c r="GCU308" s="37"/>
      <c r="GCV308" s="37"/>
      <c r="GCW308" s="33"/>
      <c r="GCX308" s="206"/>
      <c r="GCY308" s="207"/>
      <c r="GCZ308" s="204"/>
      <c r="GDA308" s="35"/>
      <c r="GDB308" s="202"/>
      <c r="GDC308" s="203"/>
      <c r="GDD308" s="36"/>
      <c r="GDE308" s="36"/>
      <c r="GDF308" s="205"/>
      <c r="GDG308" s="33"/>
      <c r="GDH308" s="37"/>
      <c r="GDI308" s="37"/>
      <c r="GDJ308" s="37"/>
      <c r="GDK308" s="37"/>
      <c r="GDL308" s="37"/>
      <c r="GDM308" s="33"/>
      <c r="GDN308" s="206"/>
      <c r="GDO308" s="207"/>
      <c r="GDP308" s="204"/>
      <c r="GDQ308" s="35"/>
      <c r="GDR308" s="202"/>
      <c r="GDS308" s="203"/>
      <c r="GDT308" s="36"/>
      <c r="GDU308" s="36"/>
      <c r="GDV308" s="205"/>
      <c r="GDW308" s="33"/>
      <c r="GDX308" s="37"/>
      <c r="GDY308" s="37"/>
      <c r="GDZ308" s="37"/>
      <c r="GEA308" s="37"/>
      <c r="GEB308" s="37"/>
      <c r="GEC308" s="33"/>
      <c r="GED308" s="206"/>
      <c r="GEE308" s="207"/>
      <c r="GEF308" s="204"/>
      <c r="GEG308" s="35"/>
      <c r="GEH308" s="202"/>
      <c r="GEI308" s="203"/>
      <c r="GEJ308" s="36"/>
      <c r="GEK308" s="36"/>
      <c r="GEL308" s="205"/>
      <c r="GEM308" s="33"/>
      <c r="GEN308" s="37"/>
      <c r="GEO308" s="37"/>
      <c r="GEP308" s="37"/>
      <c r="GEQ308" s="37"/>
      <c r="GER308" s="37"/>
      <c r="GES308" s="33"/>
      <c r="GET308" s="206"/>
      <c r="GEU308" s="207"/>
      <c r="GEV308" s="204"/>
      <c r="GEW308" s="35"/>
      <c r="GEX308" s="202"/>
      <c r="GEY308" s="203"/>
      <c r="GEZ308" s="36"/>
      <c r="GFA308" s="36"/>
      <c r="GFB308" s="205"/>
      <c r="GFC308" s="33"/>
      <c r="GFD308" s="37"/>
      <c r="GFE308" s="37"/>
      <c r="GFF308" s="37"/>
      <c r="GFG308" s="37"/>
      <c r="GFH308" s="37"/>
      <c r="GFI308" s="33"/>
      <c r="GFJ308" s="206"/>
      <c r="GFK308" s="207"/>
      <c r="GFL308" s="204"/>
      <c r="GFM308" s="35"/>
      <c r="GFN308" s="202"/>
      <c r="GFO308" s="203"/>
      <c r="GFP308" s="36"/>
      <c r="GFQ308" s="36"/>
      <c r="GFR308" s="205"/>
      <c r="GFS308" s="33"/>
      <c r="GFT308" s="37"/>
      <c r="GFU308" s="37"/>
      <c r="GFV308" s="37"/>
      <c r="GFW308" s="37"/>
      <c r="GFX308" s="37"/>
      <c r="GFY308" s="33"/>
      <c r="GFZ308" s="206"/>
      <c r="GGA308" s="207"/>
      <c r="GGB308" s="204"/>
      <c r="GGC308" s="35"/>
      <c r="GGD308" s="202"/>
      <c r="GGE308" s="203"/>
      <c r="GGF308" s="36"/>
      <c r="GGG308" s="36"/>
      <c r="GGH308" s="205"/>
      <c r="GGI308" s="33"/>
      <c r="GGJ308" s="37"/>
      <c r="GGK308" s="37"/>
      <c r="GGL308" s="37"/>
      <c r="GGM308" s="37"/>
      <c r="GGN308" s="37"/>
      <c r="GGO308" s="33"/>
      <c r="GGP308" s="206"/>
      <c r="GGQ308" s="207"/>
      <c r="GGR308" s="204"/>
      <c r="GGS308" s="35"/>
      <c r="GGT308" s="202"/>
      <c r="GGU308" s="203"/>
      <c r="GGV308" s="36"/>
      <c r="GGW308" s="36"/>
      <c r="GGX308" s="205"/>
      <c r="GGY308" s="33"/>
      <c r="GGZ308" s="37"/>
      <c r="GHA308" s="37"/>
      <c r="GHB308" s="37"/>
      <c r="GHC308" s="37"/>
      <c r="GHD308" s="37"/>
      <c r="GHE308" s="33"/>
      <c r="GHF308" s="206"/>
      <c r="GHG308" s="207"/>
      <c r="GHH308" s="204"/>
      <c r="GHI308" s="35"/>
      <c r="GHJ308" s="202"/>
      <c r="GHK308" s="203"/>
      <c r="GHL308" s="36"/>
      <c r="GHM308" s="36"/>
      <c r="GHN308" s="205"/>
      <c r="GHO308" s="33"/>
      <c r="GHP308" s="37"/>
      <c r="GHQ308" s="37"/>
      <c r="GHR308" s="37"/>
      <c r="GHS308" s="37"/>
      <c r="GHT308" s="37"/>
      <c r="GHU308" s="33"/>
      <c r="GHV308" s="206"/>
      <c r="GHW308" s="207"/>
      <c r="GHX308" s="204"/>
      <c r="GHY308" s="35"/>
      <c r="GHZ308" s="202"/>
      <c r="GIA308" s="203"/>
      <c r="GIB308" s="36"/>
      <c r="GIC308" s="36"/>
      <c r="GID308" s="205"/>
      <c r="GIE308" s="33"/>
      <c r="GIF308" s="37"/>
      <c r="GIG308" s="37"/>
      <c r="GIH308" s="37"/>
      <c r="GII308" s="37"/>
      <c r="GIJ308" s="37"/>
      <c r="GIK308" s="33"/>
      <c r="GIL308" s="206"/>
      <c r="GIM308" s="207"/>
      <c r="GIN308" s="204"/>
      <c r="GIO308" s="35"/>
      <c r="GIP308" s="202"/>
      <c r="GIQ308" s="203"/>
      <c r="GIR308" s="36"/>
      <c r="GIS308" s="36"/>
      <c r="GIT308" s="205"/>
      <c r="GIU308" s="33"/>
      <c r="GIV308" s="37"/>
      <c r="GIW308" s="37"/>
      <c r="GIX308" s="37"/>
      <c r="GIY308" s="37"/>
      <c r="GIZ308" s="37"/>
      <c r="GJA308" s="33"/>
      <c r="GJB308" s="206"/>
      <c r="GJC308" s="207"/>
      <c r="GJD308" s="204"/>
      <c r="GJE308" s="35"/>
      <c r="GJF308" s="202"/>
      <c r="GJG308" s="203"/>
      <c r="GJH308" s="36"/>
      <c r="GJI308" s="36"/>
      <c r="GJJ308" s="205"/>
      <c r="GJK308" s="33"/>
      <c r="GJL308" s="37"/>
      <c r="GJM308" s="37"/>
      <c r="GJN308" s="37"/>
      <c r="GJO308" s="37"/>
      <c r="GJP308" s="37"/>
      <c r="GJQ308" s="33"/>
      <c r="GJR308" s="206"/>
      <c r="GJS308" s="207"/>
      <c r="GJT308" s="204"/>
      <c r="GJU308" s="35"/>
      <c r="GJV308" s="202"/>
      <c r="GJW308" s="203"/>
      <c r="GJX308" s="36"/>
      <c r="GJY308" s="36"/>
      <c r="GJZ308" s="205"/>
      <c r="GKA308" s="33"/>
      <c r="GKB308" s="37"/>
      <c r="GKC308" s="37"/>
      <c r="GKD308" s="37"/>
      <c r="GKE308" s="37"/>
      <c r="GKF308" s="37"/>
      <c r="GKG308" s="33"/>
      <c r="GKH308" s="206"/>
      <c r="GKI308" s="207"/>
      <c r="GKJ308" s="204"/>
      <c r="GKK308" s="35"/>
      <c r="GKL308" s="202"/>
      <c r="GKM308" s="203"/>
      <c r="GKN308" s="36"/>
      <c r="GKO308" s="36"/>
      <c r="GKP308" s="205"/>
      <c r="GKQ308" s="33"/>
      <c r="GKR308" s="37"/>
      <c r="GKS308" s="37"/>
      <c r="GKT308" s="37"/>
      <c r="GKU308" s="37"/>
      <c r="GKV308" s="37"/>
      <c r="GKW308" s="33"/>
      <c r="GKX308" s="206"/>
      <c r="GKY308" s="207"/>
      <c r="GKZ308" s="204"/>
      <c r="GLA308" s="35"/>
      <c r="GLB308" s="202"/>
      <c r="GLC308" s="203"/>
      <c r="GLD308" s="36"/>
      <c r="GLE308" s="36"/>
      <c r="GLF308" s="205"/>
      <c r="GLG308" s="33"/>
      <c r="GLH308" s="37"/>
      <c r="GLI308" s="37"/>
      <c r="GLJ308" s="37"/>
      <c r="GLK308" s="37"/>
      <c r="GLL308" s="37"/>
      <c r="GLM308" s="33"/>
      <c r="GLN308" s="206"/>
      <c r="GLO308" s="207"/>
      <c r="GLP308" s="204"/>
      <c r="GLQ308" s="35"/>
      <c r="GLR308" s="202"/>
      <c r="GLS308" s="203"/>
      <c r="GLT308" s="36"/>
      <c r="GLU308" s="36"/>
      <c r="GLV308" s="205"/>
      <c r="GLW308" s="33"/>
      <c r="GLX308" s="37"/>
      <c r="GLY308" s="37"/>
      <c r="GLZ308" s="37"/>
      <c r="GMA308" s="37"/>
      <c r="GMB308" s="37"/>
      <c r="GMC308" s="33"/>
      <c r="GMD308" s="206"/>
      <c r="GME308" s="207"/>
      <c r="GMF308" s="204"/>
      <c r="GMG308" s="35"/>
      <c r="GMH308" s="202"/>
      <c r="GMI308" s="203"/>
      <c r="GMJ308" s="36"/>
      <c r="GMK308" s="36"/>
      <c r="GML308" s="205"/>
      <c r="GMM308" s="33"/>
      <c r="GMN308" s="37"/>
      <c r="GMO308" s="37"/>
      <c r="GMP308" s="37"/>
      <c r="GMQ308" s="37"/>
      <c r="GMR308" s="37"/>
      <c r="GMS308" s="33"/>
      <c r="GMT308" s="206"/>
      <c r="GMU308" s="207"/>
      <c r="GMV308" s="204"/>
      <c r="GMW308" s="35"/>
      <c r="GMX308" s="202"/>
      <c r="GMY308" s="203"/>
      <c r="GMZ308" s="36"/>
      <c r="GNA308" s="36"/>
      <c r="GNB308" s="205"/>
      <c r="GNC308" s="33"/>
      <c r="GND308" s="37"/>
      <c r="GNE308" s="37"/>
      <c r="GNF308" s="37"/>
      <c r="GNG308" s="37"/>
      <c r="GNH308" s="37"/>
      <c r="GNI308" s="33"/>
      <c r="GNJ308" s="206"/>
      <c r="GNK308" s="207"/>
      <c r="GNL308" s="204"/>
      <c r="GNM308" s="35"/>
      <c r="GNN308" s="202"/>
      <c r="GNO308" s="203"/>
      <c r="GNP308" s="36"/>
      <c r="GNQ308" s="36"/>
      <c r="GNR308" s="205"/>
      <c r="GNS308" s="33"/>
      <c r="GNT308" s="37"/>
      <c r="GNU308" s="37"/>
      <c r="GNV308" s="37"/>
      <c r="GNW308" s="37"/>
      <c r="GNX308" s="37"/>
      <c r="GNY308" s="33"/>
      <c r="GNZ308" s="206"/>
      <c r="GOA308" s="207"/>
      <c r="GOB308" s="204"/>
      <c r="GOC308" s="35"/>
      <c r="GOD308" s="202"/>
      <c r="GOE308" s="203"/>
      <c r="GOF308" s="36"/>
      <c r="GOG308" s="36"/>
      <c r="GOH308" s="205"/>
      <c r="GOI308" s="33"/>
      <c r="GOJ308" s="37"/>
      <c r="GOK308" s="37"/>
      <c r="GOL308" s="37"/>
      <c r="GOM308" s="37"/>
      <c r="GON308" s="37"/>
      <c r="GOO308" s="33"/>
      <c r="GOP308" s="206"/>
      <c r="GOQ308" s="207"/>
      <c r="GOR308" s="204"/>
      <c r="GOS308" s="35"/>
      <c r="GOT308" s="202"/>
      <c r="GOU308" s="203"/>
      <c r="GOV308" s="36"/>
      <c r="GOW308" s="36"/>
      <c r="GOX308" s="205"/>
      <c r="GOY308" s="33"/>
      <c r="GOZ308" s="37"/>
      <c r="GPA308" s="37"/>
      <c r="GPB308" s="37"/>
      <c r="GPC308" s="37"/>
      <c r="GPD308" s="37"/>
      <c r="GPE308" s="33"/>
      <c r="GPF308" s="206"/>
      <c r="GPG308" s="207"/>
      <c r="GPH308" s="204"/>
      <c r="GPI308" s="35"/>
      <c r="GPJ308" s="202"/>
      <c r="GPK308" s="203"/>
      <c r="GPL308" s="36"/>
      <c r="GPM308" s="36"/>
      <c r="GPN308" s="205"/>
      <c r="GPO308" s="33"/>
      <c r="GPP308" s="37"/>
      <c r="GPQ308" s="37"/>
      <c r="GPR308" s="37"/>
      <c r="GPS308" s="37"/>
      <c r="GPT308" s="37"/>
      <c r="GPU308" s="33"/>
      <c r="GPV308" s="206"/>
      <c r="GPW308" s="207"/>
      <c r="GPX308" s="204"/>
      <c r="GPY308" s="35"/>
      <c r="GPZ308" s="202"/>
      <c r="GQA308" s="203"/>
      <c r="GQB308" s="36"/>
      <c r="GQC308" s="36"/>
      <c r="GQD308" s="205"/>
      <c r="GQE308" s="33"/>
      <c r="GQF308" s="37"/>
      <c r="GQG308" s="37"/>
      <c r="GQH308" s="37"/>
      <c r="GQI308" s="37"/>
      <c r="GQJ308" s="37"/>
      <c r="GQK308" s="33"/>
      <c r="GQL308" s="206"/>
      <c r="GQM308" s="207"/>
      <c r="GQN308" s="204"/>
      <c r="GQO308" s="35"/>
      <c r="GQP308" s="202"/>
      <c r="GQQ308" s="203"/>
      <c r="GQR308" s="36"/>
      <c r="GQS308" s="36"/>
      <c r="GQT308" s="205"/>
      <c r="GQU308" s="33"/>
      <c r="GQV308" s="37"/>
      <c r="GQW308" s="37"/>
      <c r="GQX308" s="37"/>
      <c r="GQY308" s="37"/>
      <c r="GQZ308" s="37"/>
      <c r="GRA308" s="33"/>
      <c r="GRB308" s="206"/>
      <c r="GRC308" s="207"/>
      <c r="GRD308" s="204"/>
      <c r="GRE308" s="35"/>
      <c r="GRF308" s="202"/>
      <c r="GRG308" s="203"/>
      <c r="GRH308" s="36"/>
      <c r="GRI308" s="36"/>
      <c r="GRJ308" s="205"/>
      <c r="GRK308" s="33"/>
      <c r="GRL308" s="37"/>
      <c r="GRM308" s="37"/>
      <c r="GRN308" s="37"/>
      <c r="GRO308" s="37"/>
      <c r="GRP308" s="37"/>
      <c r="GRQ308" s="33"/>
      <c r="GRR308" s="206"/>
      <c r="GRS308" s="207"/>
      <c r="GRT308" s="204"/>
      <c r="GRU308" s="35"/>
      <c r="GRV308" s="202"/>
      <c r="GRW308" s="203"/>
      <c r="GRX308" s="36"/>
      <c r="GRY308" s="36"/>
      <c r="GRZ308" s="205"/>
      <c r="GSA308" s="33"/>
      <c r="GSB308" s="37"/>
      <c r="GSC308" s="37"/>
      <c r="GSD308" s="37"/>
      <c r="GSE308" s="37"/>
      <c r="GSF308" s="37"/>
      <c r="GSG308" s="33"/>
      <c r="GSH308" s="206"/>
      <c r="GSI308" s="207"/>
      <c r="GSJ308" s="204"/>
      <c r="GSK308" s="35"/>
      <c r="GSL308" s="202"/>
      <c r="GSM308" s="203"/>
      <c r="GSN308" s="36"/>
      <c r="GSO308" s="36"/>
      <c r="GSP308" s="205"/>
      <c r="GSQ308" s="33"/>
      <c r="GSR308" s="37"/>
      <c r="GSS308" s="37"/>
      <c r="GST308" s="37"/>
      <c r="GSU308" s="37"/>
      <c r="GSV308" s="37"/>
      <c r="GSW308" s="33"/>
      <c r="GSX308" s="206"/>
      <c r="GSY308" s="207"/>
      <c r="GSZ308" s="204"/>
      <c r="GTA308" s="35"/>
      <c r="GTB308" s="202"/>
      <c r="GTC308" s="203"/>
      <c r="GTD308" s="36"/>
      <c r="GTE308" s="36"/>
      <c r="GTF308" s="205"/>
      <c r="GTG308" s="33"/>
      <c r="GTH308" s="37"/>
      <c r="GTI308" s="37"/>
      <c r="GTJ308" s="37"/>
      <c r="GTK308" s="37"/>
      <c r="GTL308" s="37"/>
      <c r="GTM308" s="33"/>
      <c r="GTN308" s="206"/>
      <c r="GTO308" s="207"/>
      <c r="GTP308" s="204"/>
      <c r="GTQ308" s="35"/>
      <c r="GTR308" s="202"/>
      <c r="GTS308" s="203"/>
      <c r="GTT308" s="36"/>
      <c r="GTU308" s="36"/>
      <c r="GTV308" s="205"/>
      <c r="GTW308" s="33"/>
      <c r="GTX308" s="37"/>
      <c r="GTY308" s="37"/>
      <c r="GTZ308" s="37"/>
      <c r="GUA308" s="37"/>
      <c r="GUB308" s="37"/>
      <c r="GUC308" s="33"/>
      <c r="GUD308" s="206"/>
      <c r="GUE308" s="207"/>
      <c r="GUF308" s="204"/>
      <c r="GUG308" s="35"/>
      <c r="GUH308" s="202"/>
      <c r="GUI308" s="203"/>
      <c r="GUJ308" s="36"/>
      <c r="GUK308" s="36"/>
      <c r="GUL308" s="205"/>
      <c r="GUM308" s="33"/>
      <c r="GUN308" s="37"/>
      <c r="GUO308" s="37"/>
      <c r="GUP308" s="37"/>
      <c r="GUQ308" s="37"/>
      <c r="GUR308" s="37"/>
      <c r="GUS308" s="33"/>
      <c r="GUT308" s="206"/>
      <c r="GUU308" s="207"/>
      <c r="GUV308" s="204"/>
      <c r="GUW308" s="35"/>
      <c r="GUX308" s="202"/>
      <c r="GUY308" s="203"/>
      <c r="GUZ308" s="36"/>
      <c r="GVA308" s="36"/>
      <c r="GVB308" s="205"/>
      <c r="GVC308" s="33"/>
      <c r="GVD308" s="37"/>
      <c r="GVE308" s="37"/>
      <c r="GVF308" s="37"/>
      <c r="GVG308" s="37"/>
      <c r="GVH308" s="37"/>
      <c r="GVI308" s="33"/>
      <c r="GVJ308" s="206"/>
      <c r="GVK308" s="207"/>
      <c r="GVL308" s="204"/>
      <c r="GVM308" s="35"/>
      <c r="GVN308" s="202"/>
      <c r="GVO308" s="203"/>
      <c r="GVP308" s="36"/>
      <c r="GVQ308" s="36"/>
      <c r="GVR308" s="205"/>
      <c r="GVS308" s="33"/>
      <c r="GVT308" s="37"/>
      <c r="GVU308" s="37"/>
      <c r="GVV308" s="37"/>
      <c r="GVW308" s="37"/>
      <c r="GVX308" s="37"/>
      <c r="GVY308" s="33"/>
      <c r="GVZ308" s="206"/>
      <c r="GWA308" s="207"/>
      <c r="GWB308" s="204"/>
      <c r="GWC308" s="35"/>
      <c r="GWD308" s="202"/>
      <c r="GWE308" s="203"/>
      <c r="GWF308" s="36"/>
      <c r="GWG308" s="36"/>
      <c r="GWH308" s="205"/>
      <c r="GWI308" s="33"/>
      <c r="GWJ308" s="37"/>
      <c r="GWK308" s="37"/>
      <c r="GWL308" s="37"/>
      <c r="GWM308" s="37"/>
      <c r="GWN308" s="37"/>
      <c r="GWO308" s="33"/>
      <c r="GWP308" s="206"/>
      <c r="GWQ308" s="207"/>
      <c r="GWR308" s="204"/>
      <c r="GWS308" s="35"/>
      <c r="GWT308" s="202"/>
      <c r="GWU308" s="203"/>
      <c r="GWV308" s="36"/>
      <c r="GWW308" s="36"/>
      <c r="GWX308" s="205"/>
      <c r="GWY308" s="33"/>
      <c r="GWZ308" s="37"/>
      <c r="GXA308" s="37"/>
      <c r="GXB308" s="37"/>
      <c r="GXC308" s="37"/>
      <c r="GXD308" s="37"/>
      <c r="GXE308" s="33"/>
      <c r="GXF308" s="206"/>
      <c r="GXG308" s="207"/>
      <c r="GXH308" s="204"/>
      <c r="GXI308" s="35"/>
      <c r="GXJ308" s="202"/>
      <c r="GXK308" s="203"/>
      <c r="GXL308" s="36"/>
      <c r="GXM308" s="36"/>
      <c r="GXN308" s="205"/>
      <c r="GXO308" s="33"/>
      <c r="GXP308" s="37"/>
      <c r="GXQ308" s="37"/>
      <c r="GXR308" s="37"/>
      <c r="GXS308" s="37"/>
      <c r="GXT308" s="37"/>
      <c r="GXU308" s="33"/>
      <c r="GXV308" s="206"/>
      <c r="GXW308" s="207"/>
      <c r="GXX308" s="204"/>
      <c r="GXY308" s="35"/>
      <c r="GXZ308" s="202"/>
      <c r="GYA308" s="203"/>
      <c r="GYB308" s="36"/>
      <c r="GYC308" s="36"/>
      <c r="GYD308" s="205"/>
      <c r="GYE308" s="33"/>
      <c r="GYF308" s="37"/>
      <c r="GYG308" s="37"/>
      <c r="GYH308" s="37"/>
      <c r="GYI308" s="37"/>
      <c r="GYJ308" s="37"/>
      <c r="GYK308" s="33"/>
      <c r="GYL308" s="206"/>
      <c r="GYM308" s="207"/>
      <c r="GYN308" s="204"/>
      <c r="GYO308" s="35"/>
      <c r="GYP308" s="202"/>
      <c r="GYQ308" s="203"/>
      <c r="GYR308" s="36"/>
      <c r="GYS308" s="36"/>
      <c r="GYT308" s="205"/>
      <c r="GYU308" s="33"/>
      <c r="GYV308" s="37"/>
      <c r="GYW308" s="37"/>
      <c r="GYX308" s="37"/>
      <c r="GYY308" s="37"/>
      <c r="GYZ308" s="37"/>
      <c r="GZA308" s="33"/>
      <c r="GZB308" s="206"/>
      <c r="GZC308" s="207"/>
      <c r="GZD308" s="204"/>
      <c r="GZE308" s="35"/>
      <c r="GZF308" s="202"/>
      <c r="GZG308" s="203"/>
      <c r="GZH308" s="36"/>
      <c r="GZI308" s="36"/>
      <c r="GZJ308" s="205"/>
      <c r="GZK308" s="33"/>
      <c r="GZL308" s="37"/>
      <c r="GZM308" s="37"/>
      <c r="GZN308" s="37"/>
      <c r="GZO308" s="37"/>
      <c r="GZP308" s="37"/>
      <c r="GZQ308" s="33"/>
      <c r="GZR308" s="206"/>
      <c r="GZS308" s="207"/>
      <c r="GZT308" s="204"/>
      <c r="GZU308" s="35"/>
      <c r="GZV308" s="202"/>
      <c r="GZW308" s="203"/>
      <c r="GZX308" s="36"/>
      <c r="GZY308" s="36"/>
      <c r="GZZ308" s="205"/>
      <c r="HAA308" s="33"/>
      <c r="HAB308" s="37"/>
      <c r="HAC308" s="37"/>
      <c r="HAD308" s="37"/>
      <c r="HAE308" s="37"/>
      <c r="HAF308" s="37"/>
      <c r="HAG308" s="33"/>
      <c r="HAH308" s="206"/>
      <c r="HAI308" s="207"/>
      <c r="HAJ308" s="204"/>
      <c r="HAK308" s="35"/>
      <c r="HAL308" s="202"/>
      <c r="HAM308" s="203"/>
      <c r="HAN308" s="36"/>
      <c r="HAO308" s="36"/>
      <c r="HAP308" s="205"/>
      <c r="HAQ308" s="33"/>
      <c r="HAR308" s="37"/>
      <c r="HAS308" s="37"/>
      <c r="HAT308" s="37"/>
      <c r="HAU308" s="37"/>
      <c r="HAV308" s="37"/>
      <c r="HAW308" s="33"/>
      <c r="HAX308" s="206"/>
      <c r="HAY308" s="207"/>
      <c r="HAZ308" s="204"/>
      <c r="HBA308" s="35"/>
      <c r="HBB308" s="202"/>
      <c r="HBC308" s="203"/>
      <c r="HBD308" s="36"/>
      <c r="HBE308" s="36"/>
      <c r="HBF308" s="205"/>
      <c r="HBG308" s="33"/>
      <c r="HBH308" s="37"/>
      <c r="HBI308" s="37"/>
      <c r="HBJ308" s="37"/>
      <c r="HBK308" s="37"/>
      <c r="HBL308" s="37"/>
      <c r="HBM308" s="33"/>
      <c r="HBN308" s="206"/>
      <c r="HBO308" s="207"/>
      <c r="HBP308" s="204"/>
      <c r="HBQ308" s="35"/>
      <c r="HBR308" s="202"/>
      <c r="HBS308" s="203"/>
      <c r="HBT308" s="36"/>
      <c r="HBU308" s="36"/>
      <c r="HBV308" s="205"/>
      <c r="HBW308" s="33"/>
      <c r="HBX308" s="37"/>
      <c r="HBY308" s="37"/>
      <c r="HBZ308" s="37"/>
      <c r="HCA308" s="37"/>
      <c r="HCB308" s="37"/>
      <c r="HCC308" s="33"/>
      <c r="HCD308" s="206"/>
      <c r="HCE308" s="207"/>
      <c r="HCF308" s="204"/>
      <c r="HCG308" s="35"/>
      <c r="HCH308" s="202"/>
      <c r="HCI308" s="203"/>
      <c r="HCJ308" s="36"/>
      <c r="HCK308" s="36"/>
      <c r="HCL308" s="205"/>
      <c r="HCM308" s="33"/>
      <c r="HCN308" s="37"/>
      <c r="HCO308" s="37"/>
      <c r="HCP308" s="37"/>
      <c r="HCQ308" s="37"/>
      <c r="HCR308" s="37"/>
      <c r="HCS308" s="33"/>
      <c r="HCT308" s="206"/>
      <c r="HCU308" s="207"/>
      <c r="HCV308" s="204"/>
      <c r="HCW308" s="35"/>
      <c r="HCX308" s="202"/>
      <c r="HCY308" s="203"/>
      <c r="HCZ308" s="36"/>
      <c r="HDA308" s="36"/>
      <c r="HDB308" s="205"/>
      <c r="HDC308" s="33"/>
      <c r="HDD308" s="37"/>
      <c r="HDE308" s="37"/>
      <c r="HDF308" s="37"/>
      <c r="HDG308" s="37"/>
      <c r="HDH308" s="37"/>
      <c r="HDI308" s="33"/>
      <c r="HDJ308" s="206"/>
      <c r="HDK308" s="207"/>
      <c r="HDL308" s="204"/>
      <c r="HDM308" s="35"/>
      <c r="HDN308" s="202"/>
      <c r="HDO308" s="203"/>
      <c r="HDP308" s="36"/>
      <c r="HDQ308" s="36"/>
      <c r="HDR308" s="205"/>
      <c r="HDS308" s="33"/>
      <c r="HDT308" s="37"/>
      <c r="HDU308" s="37"/>
      <c r="HDV308" s="37"/>
      <c r="HDW308" s="37"/>
      <c r="HDX308" s="37"/>
      <c r="HDY308" s="33"/>
      <c r="HDZ308" s="206"/>
      <c r="HEA308" s="207"/>
      <c r="HEB308" s="204"/>
      <c r="HEC308" s="35"/>
      <c r="HED308" s="202"/>
      <c r="HEE308" s="203"/>
      <c r="HEF308" s="36"/>
      <c r="HEG308" s="36"/>
      <c r="HEH308" s="205"/>
      <c r="HEI308" s="33"/>
      <c r="HEJ308" s="37"/>
      <c r="HEK308" s="37"/>
      <c r="HEL308" s="37"/>
      <c r="HEM308" s="37"/>
      <c r="HEN308" s="37"/>
      <c r="HEO308" s="33"/>
      <c r="HEP308" s="206"/>
      <c r="HEQ308" s="207"/>
      <c r="HER308" s="204"/>
      <c r="HES308" s="35"/>
      <c r="HET308" s="202"/>
      <c r="HEU308" s="203"/>
      <c r="HEV308" s="36"/>
      <c r="HEW308" s="36"/>
      <c r="HEX308" s="205"/>
      <c r="HEY308" s="33"/>
      <c r="HEZ308" s="37"/>
      <c r="HFA308" s="37"/>
      <c r="HFB308" s="37"/>
      <c r="HFC308" s="37"/>
      <c r="HFD308" s="37"/>
      <c r="HFE308" s="33"/>
      <c r="HFF308" s="206"/>
      <c r="HFG308" s="207"/>
      <c r="HFH308" s="204"/>
      <c r="HFI308" s="35"/>
      <c r="HFJ308" s="202"/>
      <c r="HFK308" s="203"/>
      <c r="HFL308" s="36"/>
      <c r="HFM308" s="36"/>
      <c r="HFN308" s="205"/>
      <c r="HFO308" s="33"/>
      <c r="HFP308" s="37"/>
      <c r="HFQ308" s="37"/>
      <c r="HFR308" s="37"/>
      <c r="HFS308" s="37"/>
      <c r="HFT308" s="37"/>
      <c r="HFU308" s="33"/>
      <c r="HFV308" s="206"/>
      <c r="HFW308" s="207"/>
      <c r="HFX308" s="204"/>
      <c r="HFY308" s="35"/>
      <c r="HFZ308" s="202"/>
      <c r="HGA308" s="203"/>
      <c r="HGB308" s="36"/>
      <c r="HGC308" s="36"/>
      <c r="HGD308" s="205"/>
      <c r="HGE308" s="33"/>
      <c r="HGF308" s="37"/>
      <c r="HGG308" s="37"/>
      <c r="HGH308" s="37"/>
      <c r="HGI308" s="37"/>
      <c r="HGJ308" s="37"/>
      <c r="HGK308" s="33"/>
      <c r="HGL308" s="206"/>
      <c r="HGM308" s="207"/>
      <c r="HGN308" s="204"/>
      <c r="HGO308" s="35"/>
      <c r="HGP308" s="202"/>
      <c r="HGQ308" s="203"/>
      <c r="HGR308" s="36"/>
      <c r="HGS308" s="36"/>
      <c r="HGT308" s="205"/>
      <c r="HGU308" s="33"/>
      <c r="HGV308" s="37"/>
      <c r="HGW308" s="37"/>
      <c r="HGX308" s="37"/>
      <c r="HGY308" s="37"/>
      <c r="HGZ308" s="37"/>
      <c r="HHA308" s="33"/>
      <c r="HHB308" s="206"/>
      <c r="HHC308" s="207"/>
      <c r="HHD308" s="204"/>
      <c r="HHE308" s="35"/>
      <c r="HHF308" s="202"/>
      <c r="HHG308" s="203"/>
      <c r="HHH308" s="36"/>
      <c r="HHI308" s="36"/>
      <c r="HHJ308" s="205"/>
      <c r="HHK308" s="33"/>
      <c r="HHL308" s="37"/>
      <c r="HHM308" s="37"/>
      <c r="HHN308" s="37"/>
      <c r="HHO308" s="37"/>
      <c r="HHP308" s="37"/>
      <c r="HHQ308" s="33"/>
      <c r="HHR308" s="206"/>
      <c r="HHS308" s="207"/>
      <c r="HHT308" s="204"/>
      <c r="HHU308" s="35"/>
      <c r="HHV308" s="202"/>
      <c r="HHW308" s="203"/>
      <c r="HHX308" s="36"/>
      <c r="HHY308" s="36"/>
      <c r="HHZ308" s="205"/>
      <c r="HIA308" s="33"/>
      <c r="HIB308" s="37"/>
      <c r="HIC308" s="37"/>
      <c r="HID308" s="37"/>
      <c r="HIE308" s="37"/>
      <c r="HIF308" s="37"/>
      <c r="HIG308" s="33"/>
      <c r="HIH308" s="206"/>
      <c r="HII308" s="207"/>
      <c r="HIJ308" s="204"/>
      <c r="HIK308" s="35"/>
      <c r="HIL308" s="202"/>
      <c r="HIM308" s="203"/>
      <c r="HIN308" s="36"/>
      <c r="HIO308" s="36"/>
      <c r="HIP308" s="205"/>
      <c r="HIQ308" s="33"/>
      <c r="HIR308" s="37"/>
      <c r="HIS308" s="37"/>
      <c r="HIT308" s="37"/>
      <c r="HIU308" s="37"/>
      <c r="HIV308" s="37"/>
      <c r="HIW308" s="33"/>
      <c r="HIX308" s="206"/>
      <c r="HIY308" s="207"/>
      <c r="HIZ308" s="204"/>
      <c r="HJA308" s="35"/>
      <c r="HJB308" s="202"/>
      <c r="HJC308" s="203"/>
      <c r="HJD308" s="36"/>
      <c r="HJE308" s="36"/>
      <c r="HJF308" s="205"/>
      <c r="HJG308" s="33"/>
      <c r="HJH308" s="37"/>
      <c r="HJI308" s="37"/>
      <c r="HJJ308" s="37"/>
      <c r="HJK308" s="37"/>
      <c r="HJL308" s="37"/>
      <c r="HJM308" s="33"/>
      <c r="HJN308" s="206"/>
      <c r="HJO308" s="207"/>
      <c r="HJP308" s="204"/>
      <c r="HJQ308" s="35"/>
      <c r="HJR308" s="202"/>
      <c r="HJS308" s="203"/>
      <c r="HJT308" s="36"/>
      <c r="HJU308" s="36"/>
      <c r="HJV308" s="205"/>
      <c r="HJW308" s="33"/>
      <c r="HJX308" s="37"/>
      <c r="HJY308" s="37"/>
      <c r="HJZ308" s="37"/>
      <c r="HKA308" s="37"/>
      <c r="HKB308" s="37"/>
      <c r="HKC308" s="33"/>
      <c r="HKD308" s="206"/>
      <c r="HKE308" s="207"/>
      <c r="HKF308" s="204"/>
      <c r="HKG308" s="35"/>
      <c r="HKH308" s="202"/>
      <c r="HKI308" s="203"/>
      <c r="HKJ308" s="36"/>
      <c r="HKK308" s="36"/>
      <c r="HKL308" s="205"/>
      <c r="HKM308" s="33"/>
      <c r="HKN308" s="37"/>
      <c r="HKO308" s="37"/>
      <c r="HKP308" s="37"/>
      <c r="HKQ308" s="37"/>
      <c r="HKR308" s="37"/>
      <c r="HKS308" s="33"/>
      <c r="HKT308" s="206"/>
      <c r="HKU308" s="207"/>
      <c r="HKV308" s="204"/>
      <c r="HKW308" s="35"/>
      <c r="HKX308" s="202"/>
      <c r="HKY308" s="203"/>
      <c r="HKZ308" s="36"/>
      <c r="HLA308" s="36"/>
      <c r="HLB308" s="205"/>
      <c r="HLC308" s="33"/>
      <c r="HLD308" s="37"/>
      <c r="HLE308" s="37"/>
      <c r="HLF308" s="37"/>
      <c r="HLG308" s="37"/>
      <c r="HLH308" s="37"/>
      <c r="HLI308" s="33"/>
      <c r="HLJ308" s="206"/>
      <c r="HLK308" s="207"/>
      <c r="HLL308" s="204"/>
      <c r="HLM308" s="35"/>
      <c r="HLN308" s="202"/>
      <c r="HLO308" s="203"/>
      <c r="HLP308" s="36"/>
      <c r="HLQ308" s="36"/>
      <c r="HLR308" s="205"/>
      <c r="HLS308" s="33"/>
      <c r="HLT308" s="37"/>
      <c r="HLU308" s="37"/>
      <c r="HLV308" s="37"/>
      <c r="HLW308" s="37"/>
      <c r="HLX308" s="37"/>
      <c r="HLY308" s="33"/>
      <c r="HLZ308" s="206"/>
      <c r="HMA308" s="207"/>
      <c r="HMB308" s="204"/>
      <c r="HMC308" s="35"/>
      <c r="HMD308" s="202"/>
      <c r="HME308" s="203"/>
      <c r="HMF308" s="36"/>
      <c r="HMG308" s="36"/>
      <c r="HMH308" s="205"/>
      <c r="HMI308" s="33"/>
      <c r="HMJ308" s="37"/>
      <c r="HMK308" s="37"/>
      <c r="HML308" s="37"/>
      <c r="HMM308" s="37"/>
      <c r="HMN308" s="37"/>
      <c r="HMO308" s="33"/>
      <c r="HMP308" s="206"/>
      <c r="HMQ308" s="207"/>
      <c r="HMR308" s="204"/>
      <c r="HMS308" s="35"/>
      <c r="HMT308" s="202"/>
      <c r="HMU308" s="203"/>
      <c r="HMV308" s="36"/>
      <c r="HMW308" s="36"/>
      <c r="HMX308" s="205"/>
      <c r="HMY308" s="33"/>
      <c r="HMZ308" s="37"/>
      <c r="HNA308" s="37"/>
      <c r="HNB308" s="37"/>
      <c r="HNC308" s="37"/>
      <c r="HND308" s="37"/>
      <c r="HNE308" s="33"/>
      <c r="HNF308" s="206"/>
      <c r="HNG308" s="207"/>
      <c r="HNH308" s="204"/>
      <c r="HNI308" s="35"/>
      <c r="HNJ308" s="202"/>
      <c r="HNK308" s="203"/>
      <c r="HNL308" s="36"/>
      <c r="HNM308" s="36"/>
      <c r="HNN308" s="205"/>
      <c r="HNO308" s="33"/>
      <c r="HNP308" s="37"/>
      <c r="HNQ308" s="37"/>
      <c r="HNR308" s="37"/>
      <c r="HNS308" s="37"/>
      <c r="HNT308" s="37"/>
      <c r="HNU308" s="33"/>
      <c r="HNV308" s="206"/>
      <c r="HNW308" s="207"/>
      <c r="HNX308" s="204"/>
      <c r="HNY308" s="35"/>
      <c r="HNZ308" s="202"/>
      <c r="HOA308" s="203"/>
      <c r="HOB308" s="36"/>
      <c r="HOC308" s="36"/>
      <c r="HOD308" s="205"/>
      <c r="HOE308" s="33"/>
      <c r="HOF308" s="37"/>
      <c r="HOG308" s="37"/>
      <c r="HOH308" s="37"/>
      <c r="HOI308" s="37"/>
      <c r="HOJ308" s="37"/>
      <c r="HOK308" s="33"/>
      <c r="HOL308" s="206"/>
      <c r="HOM308" s="207"/>
      <c r="HON308" s="204"/>
      <c r="HOO308" s="35"/>
      <c r="HOP308" s="202"/>
      <c r="HOQ308" s="203"/>
      <c r="HOR308" s="36"/>
      <c r="HOS308" s="36"/>
      <c r="HOT308" s="205"/>
      <c r="HOU308" s="33"/>
      <c r="HOV308" s="37"/>
      <c r="HOW308" s="37"/>
      <c r="HOX308" s="37"/>
      <c r="HOY308" s="37"/>
      <c r="HOZ308" s="37"/>
      <c r="HPA308" s="33"/>
      <c r="HPB308" s="206"/>
      <c r="HPC308" s="207"/>
      <c r="HPD308" s="204"/>
      <c r="HPE308" s="35"/>
      <c r="HPF308" s="202"/>
      <c r="HPG308" s="203"/>
      <c r="HPH308" s="36"/>
      <c r="HPI308" s="36"/>
      <c r="HPJ308" s="205"/>
      <c r="HPK308" s="33"/>
      <c r="HPL308" s="37"/>
      <c r="HPM308" s="37"/>
      <c r="HPN308" s="37"/>
      <c r="HPO308" s="37"/>
      <c r="HPP308" s="37"/>
      <c r="HPQ308" s="33"/>
      <c r="HPR308" s="206"/>
      <c r="HPS308" s="207"/>
      <c r="HPT308" s="204"/>
      <c r="HPU308" s="35"/>
      <c r="HPV308" s="202"/>
      <c r="HPW308" s="203"/>
      <c r="HPX308" s="36"/>
      <c r="HPY308" s="36"/>
      <c r="HPZ308" s="205"/>
      <c r="HQA308" s="33"/>
      <c r="HQB308" s="37"/>
      <c r="HQC308" s="37"/>
      <c r="HQD308" s="37"/>
      <c r="HQE308" s="37"/>
      <c r="HQF308" s="37"/>
      <c r="HQG308" s="33"/>
      <c r="HQH308" s="206"/>
      <c r="HQI308" s="207"/>
      <c r="HQJ308" s="204"/>
      <c r="HQK308" s="35"/>
      <c r="HQL308" s="202"/>
      <c r="HQM308" s="203"/>
      <c r="HQN308" s="36"/>
      <c r="HQO308" s="36"/>
      <c r="HQP308" s="205"/>
      <c r="HQQ308" s="33"/>
      <c r="HQR308" s="37"/>
      <c r="HQS308" s="37"/>
      <c r="HQT308" s="37"/>
      <c r="HQU308" s="37"/>
      <c r="HQV308" s="37"/>
      <c r="HQW308" s="33"/>
      <c r="HQX308" s="206"/>
      <c r="HQY308" s="207"/>
      <c r="HQZ308" s="204"/>
      <c r="HRA308" s="35"/>
      <c r="HRB308" s="202"/>
      <c r="HRC308" s="203"/>
      <c r="HRD308" s="36"/>
      <c r="HRE308" s="36"/>
      <c r="HRF308" s="205"/>
      <c r="HRG308" s="33"/>
      <c r="HRH308" s="37"/>
      <c r="HRI308" s="37"/>
      <c r="HRJ308" s="37"/>
      <c r="HRK308" s="37"/>
      <c r="HRL308" s="37"/>
      <c r="HRM308" s="33"/>
      <c r="HRN308" s="206"/>
      <c r="HRO308" s="207"/>
      <c r="HRP308" s="204"/>
      <c r="HRQ308" s="35"/>
      <c r="HRR308" s="202"/>
      <c r="HRS308" s="203"/>
      <c r="HRT308" s="36"/>
      <c r="HRU308" s="36"/>
      <c r="HRV308" s="205"/>
      <c r="HRW308" s="33"/>
      <c r="HRX308" s="37"/>
      <c r="HRY308" s="37"/>
      <c r="HRZ308" s="37"/>
      <c r="HSA308" s="37"/>
      <c r="HSB308" s="37"/>
      <c r="HSC308" s="33"/>
      <c r="HSD308" s="206"/>
      <c r="HSE308" s="207"/>
      <c r="HSF308" s="204"/>
      <c r="HSG308" s="35"/>
      <c r="HSH308" s="202"/>
      <c r="HSI308" s="203"/>
      <c r="HSJ308" s="36"/>
      <c r="HSK308" s="36"/>
      <c r="HSL308" s="205"/>
      <c r="HSM308" s="33"/>
      <c r="HSN308" s="37"/>
      <c r="HSO308" s="37"/>
      <c r="HSP308" s="37"/>
      <c r="HSQ308" s="37"/>
      <c r="HSR308" s="37"/>
      <c r="HSS308" s="33"/>
      <c r="HST308" s="206"/>
      <c r="HSU308" s="207"/>
      <c r="HSV308" s="204"/>
      <c r="HSW308" s="35"/>
      <c r="HSX308" s="202"/>
      <c r="HSY308" s="203"/>
      <c r="HSZ308" s="36"/>
      <c r="HTA308" s="36"/>
      <c r="HTB308" s="205"/>
      <c r="HTC308" s="33"/>
      <c r="HTD308" s="37"/>
      <c r="HTE308" s="37"/>
      <c r="HTF308" s="37"/>
      <c r="HTG308" s="37"/>
      <c r="HTH308" s="37"/>
      <c r="HTI308" s="33"/>
      <c r="HTJ308" s="206"/>
      <c r="HTK308" s="207"/>
      <c r="HTL308" s="204"/>
      <c r="HTM308" s="35"/>
      <c r="HTN308" s="202"/>
      <c r="HTO308" s="203"/>
      <c r="HTP308" s="36"/>
      <c r="HTQ308" s="36"/>
      <c r="HTR308" s="205"/>
      <c r="HTS308" s="33"/>
      <c r="HTT308" s="37"/>
      <c r="HTU308" s="37"/>
      <c r="HTV308" s="37"/>
      <c r="HTW308" s="37"/>
      <c r="HTX308" s="37"/>
      <c r="HTY308" s="33"/>
      <c r="HTZ308" s="206"/>
      <c r="HUA308" s="207"/>
      <c r="HUB308" s="204"/>
      <c r="HUC308" s="35"/>
      <c r="HUD308" s="202"/>
      <c r="HUE308" s="203"/>
      <c r="HUF308" s="36"/>
      <c r="HUG308" s="36"/>
      <c r="HUH308" s="205"/>
      <c r="HUI308" s="33"/>
      <c r="HUJ308" s="37"/>
      <c r="HUK308" s="37"/>
      <c r="HUL308" s="37"/>
      <c r="HUM308" s="37"/>
      <c r="HUN308" s="37"/>
      <c r="HUO308" s="33"/>
      <c r="HUP308" s="206"/>
      <c r="HUQ308" s="207"/>
      <c r="HUR308" s="204"/>
      <c r="HUS308" s="35"/>
      <c r="HUT308" s="202"/>
      <c r="HUU308" s="203"/>
      <c r="HUV308" s="36"/>
      <c r="HUW308" s="36"/>
      <c r="HUX308" s="205"/>
      <c r="HUY308" s="33"/>
      <c r="HUZ308" s="37"/>
      <c r="HVA308" s="37"/>
      <c r="HVB308" s="37"/>
      <c r="HVC308" s="37"/>
      <c r="HVD308" s="37"/>
      <c r="HVE308" s="33"/>
      <c r="HVF308" s="206"/>
      <c r="HVG308" s="207"/>
      <c r="HVH308" s="204"/>
      <c r="HVI308" s="35"/>
      <c r="HVJ308" s="202"/>
      <c r="HVK308" s="203"/>
      <c r="HVL308" s="36"/>
      <c r="HVM308" s="36"/>
      <c r="HVN308" s="205"/>
      <c r="HVO308" s="33"/>
      <c r="HVP308" s="37"/>
      <c r="HVQ308" s="37"/>
      <c r="HVR308" s="37"/>
      <c r="HVS308" s="37"/>
      <c r="HVT308" s="37"/>
      <c r="HVU308" s="33"/>
      <c r="HVV308" s="206"/>
      <c r="HVW308" s="207"/>
      <c r="HVX308" s="204"/>
      <c r="HVY308" s="35"/>
      <c r="HVZ308" s="202"/>
      <c r="HWA308" s="203"/>
      <c r="HWB308" s="36"/>
      <c r="HWC308" s="36"/>
      <c r="HWD308" s="205"/>
      <c r="HWE308" s="33"/>
      <c r="HWF308" s="37"/>
      <c r="HWG308" s="37"/>
      <c r="HWH308" s="37"/>
      <c r="HWI308" s="37"/>
      <c r="HWJ308" s="37"/>
      <c r="HWK308" s="33"/>
      <c r="HWL308" s="206"/>
      <c r="HWM308" s="207"/>
      <c r="HWN308" s="204"/>
      <c r="HWO308" s="35"/>
      <c r="HWP308" s="202"/>
      <c r="HWQ308" s="203"/>
      <c r="HWR308" s="36"/>
      <c r="HWS308" s="36"/>
      <c r="HWT308" s="205"/>
      <c r="HWU308" s="33"/>
      <c r="HWV308" s="37"/>
      <c r="HWW308" s="37"/>
      <c r="HWX308" s="37"/>
      <c r="HWY308" s="37"/>
      <c r="HWZ308" s="37"/>
      <c r="HXA308" s="33"/>
      <c r="HXB308" s="206"/>
      <c r="HXC308" s="207"/>
      <c r="HXD308" s="204"/>
      <c r="HXE308" s="35"/>
      <c r="HXF308" s="202"/>
      <c r="HXG308" s="203"/>
      <c r="HXH308" s="36"/>
      <c r="HXI308" s="36"/>
      <c r="HXJ308" s="205"/>
      <c r="HXK308" s="33"/>
      <c r="HXL308" s="37"/>
      <c r="HXM308" s="37"/>
      <c r="HXN308" s="37"/>
      <c r="HXO308" s="37"/>
      <c r="HXP308" s="37"/>
      <c r="HXQ308" s="33"/>
      <c r="HXR308" s="206"/>
      <c r="HXS308" s="207"/>
      <c r="HXT308" s="204"/>
      <c r="HXU308" s="35"/>
      <c r="HXV308" s="202"/>
      <c r="HXW308" s="203"/>
      <c r="HXX308" s="36"/>
      <c r="HXY308" s="36"/>
      <c r="HXZ308" s="205"/>
      <c r="HYA308" s="33"/>
      <c r="HYB308" s="37"/>
      <c r="HYC308" s="37"/>
      <c r="HYD308" s="37"/>
      <c r="HYE308" s="37"/>
      <c r="HYF308" s="37"/>
      <c r="HYG308" s="33"/>
      <c r="HYH308" s="206"/>
      <c r="HYI308" s="207"/>
      <c r="HYJ308" s="204"/>
      <c r="HYK308" s="35"/>
      <c r="HYL308" s="202"/>
      <c r="HYM308" s="203"/>
      <c r="HYN308" s="36"/>
      <c r="HYO308" s="36"/>
      <c r="HYP308" s="205"/>
      <c r="HYQ308" s="33"/>
      <c r="HYR308" s="37"/>
      <c r="HYS308" s="37"/>
      <c r="HYT308" s="37"/>
      <c r="HYU308" s="37"/>
      <c r="HYV308" s="37"/>
      <c r="HYW308" s="33"/>
      <c r="HYX308" s="206"/>
      <c r="HYY308" s="207"/>
      <c r="HYZ308" s="204"/>
      <c r="HZA308" s="35"/>
      <c r="HZB308" s="202"/>
      <c r="HZC308" s="203"/>
      <c r="HZD308" s="36"/>
      <c r="HZE308" s="36"/>
      <c r="HZF308" s="205"/>
      <c r="HZG308" s="33"/>
      <c r="HZH308" s="37"/>
      <c r="HZI308" s="37"/>
      <c r="HZJ308" s="37"/>
      <c r="HZK308" s="37"/>
      <c r="HZL308" s="37"/>
      <c r="HZM308" s="33"/>
      <c r="HZN308" s="206"/>
      <c r="HZO308" s="207"/>
      <c r="HZP308" s="204"/>
      <c r="HZQ308" s="35"/>
      <c r="HZR308" s="202"/>
      <c r="HZS308" s="203"/>
      <c r="HZT308" s="36"/>
      <c r="HZU308" s="36"/>
      <c r="HZV308" s="205"/>
      <c r="HZW308" s="33"/>
      <c r="HZX308" s="37"/>
      <c r="HZY308" s="37"/>
      <c r="HZZ308" s="37"/>
      <c r="IAA308" s="37"/>
      <c r="IAB308" s="37"/>
      <c r="IAC308" s="33"/>
      <c r="IAD308" s="206"/>
      <c r="IAE308" s="207"/>
      <c r="IAF308" s="204"/>
      <c r="IAG308" s="35"/>
      <c r="IAH308" s="202"/>
      <c r="IAI308" s="203"/>
      <c r="IAJ308" s="36"/>
      <c r="IAK308" s="36"/>
      <c r="IAL308" s="205"/>
      <c r="IAM308" s="33"/>
      <c r="IAN308" s="37"/>
      <c r="IAO308" s="37"/>
      <c r="IAP308" s="37"/>
      <c r="IAQ308" s="37"/>
      <c r="IAR308" s="37"/>
      <c r="IAS308" s="33"/>
      <c r="IAT308" s="206"/>
      <c r="IAU308" s="207"/>
      <c r="IAV308" s="204"/>
      <c r="IAW308" s="35"/>
      <c r="IAX308" s="202"/>
      <c r="IAY308" s="203"/>
      <c r="IAZ308" s="36"/>
      <c r="IBA308" s="36"/>
      <c r="IBB308" s="205"/>
      <c r="IBC308" s="33"/>
      <c r="IBD308" s="37"/>
      <c r="IBE308" s="37"/>
      <c r="IBF308" s="37"/>
      <c r="IBG308" s="37"/>
      <c r="IBH308" s="37"/>
      <c r="IBI308" s="33"/>
      <c r="IBJ308" s="206"/>
      <c r="IBK308" s="207"/>
      <c r="IBL308" s="204"/>
      <c r="IBM308" s="35"/>
      <c r="IBN308" s="202"/>
      <c r="IBO308" s="203"/>
      <c r="IBP308" s="36"/>
      <c r="IBQ308" s="36"/>
      <c r="IBR308" s="205"/>
      <c r="IBS308" s="33"/>
      <c r="IBT308" s="37"/>
      <c r="IBU308" s="37"/>
      <c r="IBV308" s="37"/>
      <c r="IBW308" s="37"/>
      <c r="IBX308" s="37"/>
      <c r="IBY308" s="33"/>
      <c r="IBZ308" s="206"/>
      <c r="ICA308" s="207"/>
      <c r="ICB308" s="204"/>
      <c r="ICC308" s="35"/>
      <c r="ICD308" s="202"/>
      <c r="ICE308" s="203"/>
      <c r="ICF308" s="36"/>
      <c r="ICG308" s="36"/>
      <c r="ICH308" s="205"/>
      <c r="ICI308" s="33"/>
      <c r="ICJ308" s="37"/>
      <c r="ICK308" s="37"/>
      <c r="ICL308" s="37"/>
      <c r="ICM308" s="37"/>
      <c r="ICN308" s="37"/>
      <c r="ICO308" s="33"/>
      <c r="ICP308" s="206"/>
      <c r="ICQ308" s="207"/>
      <c r="ICR308" s="204"/>
      <c r="ICS308" s="35"/>
      <c r="ICT308" s="202"/>
      <c r="ICU308" s="203"/>
      <c r="ICV308" s="36"/>
      <c r="ICW308" s="36"/>
      <c r="ICX308" s="205"/>
      <c r="ICY308" s="33"/>
      <c r="ICZ308" s="37"/>
      <c r="IDA308" s="37"/>
      <c r="IDB308" s="37"/>
      <c r="IDC308" s="37"/>
      <c r="IDD308" s="37"/>
      <c r="IDE308" s="33"/>
      <c r="IDF308" s="206"/>
      <c r="IDG308" s="207"/>
      <c r="IDH308" s="204"/>
      <c r="IDI308" s="35"/>
      <c r="IDJ308" s="202"/>
      <c r="IDK308" s="203"/>
      <c r="IDL308" s="36"/>
      <c r="IDM308" s="36"/>
      <c r="IDN308" s="205"/>
      <c r="IDO308" s="33"/>
      <c r="IDP308" s="37"/>
      <c r="IDQ308" s="37"/>
      <c r="IDR308" s="37"/>
      <c r="IDS308" s="37"/>
      <c r="IDT308" s="37"/>
      <c r="IDU308" s="33"/>
      <c r="IDV308" s="206"/>
      <c r="IDW308" s="207"/>
      <c r="IDX308" s="204"/>
      <c r="IDY308" s="35"/>
      <c r="IDZ308" s="202"/>
      <c r="IEA308" s="203"/>
      <c r="IEB308" s="36"/>
      <c r="IEC308" s="36"/>
      <c r="IED308" s="205"/>
      <c r="IEE308" s="33"/>
      <c r="IEF308" s="37"/>
      <c r="IEG308" s="37"/>
      <c r="IEH308" s="37"/>
      <c r="IEI308" s="37"/>
      <c r="IEJ308" s="37"/>
      <c r="IEK308" s="33"/>
      <c r="IEL308" s="206"/>
      <c r="IEM308" s="207"/>
      <c r="IEN308" s="204"/>
      <c r="IEO308" s="35"/>
      <c r="IEP308" s="202"/>
      <c r="IEQ308" s="203"/>
      <c r="IER308" s="36"/>
      <c r="IES308" s="36"/>
      <c r="IET308" s="205"/>
      <c r="IEU308" s="33"/>
      <c r="IEV308" s="37"/>
      <c r="IEW308" s="37"/>
      <c r="IEX308" s="37"/>
      <c r="IEY308" s="37"/>
      <c r="IEZ308" s="37"/>
      <c r="IFA308" s="33"/>
      <c r="IFB308" s="206"/>
      <c r="IFC308" s="207"/>
      <c r="IFD308" s="204"/>
      <c r="IFE308" s="35"/>
      <c r="IFF308" s="202"/>
      <c r="IFG308" s="203"/>
      <c r="IFH308" s="36"/>
      <c r="IFI308" s="36"/>
      <c r="IFJ308" s="205"/>
      <c r="IFK308" s="33"/>
      <c r="IFL308" s="37"/>
      <c r="IFM308" s="37"/>
      <c r="IFN308" s="37"/>
      <c r="IFO308" s="37"/>
      <c r="IFP308" s="37"/>
      <c r="IFQ308" s="33"/>
      <c r="IFR308" s="206"/>
      <c r="IFS308" s="207"/>
      <c r="IFT308" s="204"/>
      <c r="IFU308" s="35"/>
      <c r="IFV308" s="202"/>
      <c r="IFW308" s="203"/>
      <c r="IFX308" s="36"/>
      <c r="IFY308" s="36"/>
      <c r="IFZ308" s="205"/>
      <c r="IGA308" s="33"/>
      <c r="IGB308" s="37"/>
      <c r="IGC308" s="37"/>
      <c r="IGD308" s="37"/>
      <c r="IGE308" s="37"/>
      <c r="IGF308" s="37"/>
      <c r="IGG308" s="33"/>
      <c r="IGH308" s="206"/>
      <c r="IGI308" s="207"/>
      <c r="IGJ308" s="204"/>
      <c r="IGK308" s="35"/>
      <c r="IGL308" s="202"/>
      <c r="IGM308" s="203"/>
      <c r="IGN308" s="36"/>
      <c r="IGO308" s="36"/>
      <c r="IGP308" s="205"/>
      <c r="IGQ308" s="33"/>
      <c r="IGR308" s="37"/>
      <c r="IGS308" s="37"/>
      <c r="IGT308" s="37"/>
      <c r="IGU308" s="37"/>
      <c r="IGV308" s="37"/>
      <c r="IGW308" s="33"/>
      <c r="IGX308" s="206"/>
      <c r="IGY308" s="207"/>
      <c r="IGZ308" s="204"/>
      <c r="IHA308" s="35"/>
      <c r="IHB308" s="202"/>
      <c r="IHC308" s="203"/>
      <c r="IHD308" s="36"/>
      <c r="IHE308" s="36"/>
      <c r="IHF308" s="205"/>
      <c r="IHG308" s="33"/>
      <c r="IHH308" s="37"/>
      <c r="IHI308" s="37"/>
      <c r="IHJ308" s="37"/>
      <c r="IHK308" s="37"/>
      <c r="IHL308" s="37"/>
      <c r="IHM308" s="33"/>
      <c r="IHN308" s="206"/>
      <c r="IHO308" s="207"/>
      <c r="IHP308" s="204"/>
      <c r="IHQ308" s="35"/>
      <c r="IHR308" s="202"/>
      <c r="IHS308" s="203"/>
      <c r="IHT308" s="36"/>
      <c r="IHU308" s="36"/>
      <c r="IHV308" s="205"/>
      <c r="IHW308" s="33"/>
      <c r="IHX308" s="37"/>
      <c r="IHY308" s="37"/>
      <c r="IHZ308" s="37"/>
      <c r="IIA308" s="37"/>
      <c r="IIB308" s="37"/>
      <c r="IIC308" s="33"/>
      <c r="IID308" s="206"/>
      <c r="IIE308" s="207"/>
      <c r="IIF308" s="204"/>
      <c r="IIG308" s="35"/>
      <c r="IIH308" s="202"/>
      <c r="III308" s="203"/>
      <c r="IIJ308" s="36"/>
      <c r="IIK308" s="36"/>
      <c r="IIL308" s="205"/>
      <c r="IIM308" s="33"/>
      <c r="IIN308" s="37"/>
      <c r="IIO308" s="37"/>
      <c r="IIP308" s="37"/>
      <c r="IIQ308" s="37"/>
      <c r="IIR308" s="37"/>
      <c r="IIS308" s="33"/>
      <c r="IIT308" s="206"/>
      <c r="IIU308" s="207"/>
      <c r="IIV308" s="204"/>
      <c r="IIW308" s="35"/>
      <c r="IIX308" s="202"/>
      <c r="IIY308" s="203"/>
      <c r="IIZ308" s="36"/>
      <c r="IJA308" s="36"/>
      <c r="IJB308" s="205"/>
      <c r="IJC308" s="33"/>
      <c r="IJD308" s="37"/>
      <c r="IJE308" s="37"/>
      <c r="IJF308" s="37"/>
      <c r="IJG308" s="37"/>
      <c r="IJH308" s="37"/>
      <c r="IJI308" s="33"/>
      <c r="IJJ308" s="206"/>
      <c r="IJK308" s="207"/>
      <c r="IJL308" s="204"/>
      <c r="IJM308" s="35"/>
      <c r="IJN308" s="202"/>
      <c r="IJO308" s="203"/>
      <c r="IJP308" s="36"/>
      <c r="IJQ308" s="36"/>
      <c r="IJR308" s="205"/>
      <c r="IJS308" s="33"/>
      <c r="IJT308" s="37"/>
      <c r="IJU308" s="37"/>
      <c r="IJV308" s="37"/>
      <c r="IJW308" s="37"/>
      <c r="IJX308" s="37"/>
      <c r="IJY308" s="33"/>
      <c r="IJZ308" s="206"/>
      <c r="IKA308" s="207"/>
      <c r="IKB308" s="204"/>
      <c r="IKC308" s="35"/>
      <c r="IKD308" s="202"/>
      <c r="IKE308" s="203"/>
      <c r="IKF308" s="36"/>
      <c r="IKG308" s="36"/>
      <c r="IKH308" s="205"/>
      <c r="IKI308" s="33"/>
      <c r="IKJ308" s="37"/>
      <c r="IKK308" s="37"/>
      <c r="IKL308" s="37"/>
      <c r="IKM308" s="37"/>
      <c r="IKN308" s="37"/>
      <c r="IKO308" s="33"/>
      <c r="IKP308" s="206"/>
      <c r="IKQ308" s="207"/>
      <c r="IKR308" s="204"/>
      <c r="IKS308" s="35"/>
      <c r="IKT308" s="202"/>
      <c r="IKU308" s="203"/>
      <c r="IKV308" s="36"/>
      <c r="IKW308" s="36"/>
      <c r="IKX308" s="205"/>
      <c r="IKY308" s="33"/>
      <c r="IKZ308" s="37"/>
      <c r="ILA308" s="37"/>
      <c r="ILB308" s="37"/>
      <c r="ILC308" s="37"/>
      <c r="ILD308" s="37"/>
      <c r="ILE308" s="33"/>
      <c r="ILF308" s="206"/>
      <c r="ILG308" s="207"/>
      <c r="ILH308" s="204"/>
      <c r="ILI308" s="35"/>
      <c r="ILJ308" s="202"/>
      <c r="ILK308" s="203"/>
      <c r="ILL308" s="36"/>
      <c r="ILM308" s="36"/>
      <c r="ILN308" s="205"/>
      <c r="ILO308" s="33"/>
      <c r="ILP308" s="37"/>
      <c r="ILQ308" s="37"/>
      <c r="ILR308" s="37"/>
      <c r="ILS308" s="37"/>
      <c r="ILT308" s="37"/>
      <c r="ILU308" s="33"/>
      <c r="ILV308" s="206"/>
      <c r="ILW308" s="207"/>
      <c r="ILX308" s="204"/>
      <c r="ILY308" s="35"/>
      <c r="ILZ308" s="202"/>
      <c r="IMA308" s="203"/>
      <c r="IMB308" s="36"/>
      <c r="IMC308" s="36"/>
      <c r="IMD308" s="205"/>
      <c r="IME308" s="33"/>
      <c r="IMF308" s="37"/>
      <c r="IMG308" s="37"/>
      <c r="IMH308" s="37"/>
      <c r="IMI308" s="37"/>
      <c r="IMJ308" s="37"/>
      <c r="IMK308" s="33"/>
      <c r="IML308" s="206"/>
      <c r="IMM308" s="207"/>
      <c r="IMN308" s="204"/>
      <c r="IMO308" s="35"/>
      <c r="IMP308" s="202"/>
      <c r="IMQ308" s="203"/>
      <c r="IMR308" s="36"/>
      <c r="IMS308" s="36"/>
      <c r="IMT308" s="205"/>
      <c r="IMU308" s="33"/>
      <c r="IMV308" s="37"/>
      <c r="IMW308" s="37"/>
      <c r="IMX308" s="37"/>
      <c r="IMY308" s="37"/>
      <c r="IMZ308" s="37"/>
      <c r="INA308" s="33"/>
      <c r="INB308" s="206"/>
      <c r="INC308" s="207"/>
      <c r="IND308" s="204"/>
      <c r="INE308" s="35"/>
      <c r="INF308" s="202"/>
      <c r="ING308" s="203"/>
      <c r="INH308" s="36"/>
      <c r="INI308" s="36"/>
      <c r="INJ308" s="205"/>
      <c r="INK308" s="33"/>
      <c r="INL308" s="37"/>
      <c r="INM308" s="37"/>
      <c r="INN308" s="37"/>
      <c r="INO308" s="37"/>
      <c r="INP308" s="37"/>
      <c r="INQ308" s="33"/>
      <c r="INR308" s="206"/>
      <c r="INS308" s="207"/>
      <c r="INT308" s="204"/>
      <c r="INU308" s="35"/>
      <c r="INV308" s="202"/>
      <c r="INW308" s="203"/>
      <c r="INX308" s="36"/>
      <c r="INY308" s="36"/>
      <c r="INZ308" s="205"/>
      <c r="IOA308" s="33"/>
      <c r="IOB308" s="37"/>
      <c r="IOC308" s="37"/>
      <c r="IOD308" s="37"/>
      <c r="IOE308" s="37"/>
      <c r="IOF308" s="37"/>
      <c r="IOG308" s="33"/>
      <c r="IOH308" s="206"/>
      <c r="IOI308" s="207"/>
      <c r="IOJ308" s="204"/>
      <c r="IOK308" s="35"/>
      <c r="IOL308" s="202"/>
      <c r="IOM308" s="203"/>
      <c r="ION308" s="36"/>
      <c r="IOO308" s="36"/>
      <c r="IOP308" s="205"/>
      <c r="IOQ308" s="33"/>
      <c r="IOR308" s="37"/>
      <c r="IOS308" s="37"/>
      <c r="IOT308" s="37"/>
      <c r="IOU308" s="37"/>
      <c r="IOV308" s="37"/>
      <c r="IOW308" s="33"/>
      <c r="IOX308" s="206"/>
      <c r="IOY308" s="207"/>
      <c r="IOZ308" s="204"/>
      <c r="IPA308" s="35"/>
      <c r="IPB308" s="202"/>
      <c r="IPC308" s="203"/>
      <c r="IPD308" s="36"/>
      <c r="IPE308" s="36"/>
      <c r="IPF308" s="205"/>
      <c r="IPG308" s="33"/>
      <c r="IPH308" s="37"/>
      <c r="IPI308" s="37"/>
      <c r="IPJ308" s="37"/>
      <c r="IPK308" s="37"/>
      <c r="IPL308" s="37"/>
      <c r="IPM308" s="33"/>
      <c r="IPN308" s="206"/>
      <c r="IPO308" s="207"/>
      <c r="IPP308" s="204"/>
      <c r="IPQ308" s="35"/>
      <c r="IPR308" s="202"/>
      <c r="IPS308" s="203"/>
      <c r="IPT308" s="36"/>
      <c r="IPU308" s="36"/>
      <c r="IPV308" s="205"/>
      <c r="IPW308" s="33"/>
      <c r="IPX308" s="37"/>
      <c r="IPY308" s="37"/>
      <c r="IPZ308" s="37"/>
      <c r="IQA308" s="37"/>
      <c r="IQB308" s="37"/>
      <c r="IQC308" s="33"/>
      <c r="IQD308" s="206"/>
      <c r="IQE308" s="207"/>
      <c r="IQF308" s="204"/>
      <c r="IQG308" s="35"/>
      <c r="IQH308" s="202"/>
      <c r="IQI308" s="203"/>
      <c r="IQJ308" s="36"/>
      <c r="IQK308" s="36"/>
      <c r="IQL308" s="205"/>
      <c r="IQM308" s="33"/>
      <c r="IQN308" s="37"/>
      <c r="IQO308" s="37"/>
      <c r="IQP308" s="37"/>
      <c r="IQQ308" s="37"/>
      <c r="IQR308" s="37"/>
      <c r="IQS308" s="33"/>
      <c r="IQT308" s="206"/>
      <c r="IQU308" s="207"/>
      <c r="IQV308" s="204"/>
      <c r="IQW308" s="35"/>
      <c r="IQX308" s="202"/>
      <c r="IQY308" s="203"/>
      <c r="IQZ308" s="36"/>
      <c r="IRA308" s="36"/>
      <c r="IRB308" s="205"/>
      <c r="IRC308" s="33"/>
      <c r="IRD308" s="37"/>
      <c r="IRE308" s="37"/>
      <c r="IRF308" s="37"/>
      <c r="IRG308" s="37"/>
      <c r="IRH308" s="37"/>
      <c r="IRI308" s="33"/>
      <c r="IRJ308" s="206"/>
      <c r="IRK308" s="207"/>
      <c r="IRL308" s="204"/>
      <c r="IRM308" s="35"/>
      <c r="IRN308" s="202"/>
      <c r="IRO308" s="203"/>
      <c r="IRP308" s="36"/>
      <c r="IRQ308" s="36"/>
      <c r="IRR308" s="205"/>
      <c r="IRS308" s="33"/>
      <c r="IRT308" s="37"/>
      <c r="IRU308" s="37"/>
      <c r="IRV308" s="37"/>
      <c r="IRW308" s="37"/>
      <c r="IRX308" s="37"/>
      <c r="IRY308" s="33"/>
      <c r="IRZ308" s="206"/>
      <c r="ISA308" s="207"/>
      <c r="ISB308" s="204"/>
      <c r="ISC308" s="35"/>
      <c r="ISD308" s="202"/>
      <c r="ISE308" s="203"/>
      <c r="ISF308" s="36"/>
      <c r="ISG308" s="36"/>
      <c r="ISH308" s="205"/>
      <c r="ISI308" s="33"/>
      <c r="ISJ308" s="37"/>
      <c r="ISK308" s="37"/>
      <c r="ISL308" s="37"/>
      <c r="ISM308" s="37"/>
      <c r="ISN308" s="37"/>
      <c r="ISO308" s="33"/>
      <c r="ISP308" s="206"/>
      <c r="ISQ308" s="207"/>
      <c r="ISR308" s="204"/>
      <c r="ISS308" s="35"/>
      <c r="IST308" s="202"/>
      <c r="ISU308" s="203"/>
      <c r="ISV308" s="36"/>
      <c r="ISW308" s="36"/>
      <c r="ISX308" s="205"/>
      <c r="ISY308" s="33"/>
      <c r="ISZ308" s="37"/>
      <c r="ITA308" s="37"/>
      <c r="ITB308" s="37"/>
      <c r="ITC308" s="37"/>
      <c r="ITD308" s="37"/>
      <c r="ITE308" s="33"/>
      <c r="ITF308" s="206"/>
      <c r="ITG308" s="207"/>
      <c r="ITH308" s="204"/>
      <c r="ITI308" s="35"/>
      <c r="ITJ308" s="202"/>
      <c r="ITK308" s="203"/>
      <c r="ITL308" s="36"/>
      <c r="ITM308" s="36"/>
      <c r="ITN308" s="205"/>
      <c r="ITO308" s="33"/>
      <c r="ITP308" s="37"/>
      <c r="ITQ308" s="37"/>
      <c r="ITR308" s="37"/>
      <c r="ITS308" s="37"/>
      <c r="ITT308" s="37"/>
      <c r="ITU308" s="33"/>
      <c r="ITV308" s="206"/>
      <c r="ITW308" s="207"/>
      <c r="ITX308" s="204"/>
      <c r="ITY308" s="35"/>
      <c r="ITZ308" s="202"/>
      <c r="IUA308" s="203"/>
      <c r="IUB308" s="36"/>
      <c r="IUC308" s="36"/>
      <c r="IUD308" s="205"/>
      <c r="IUE308" s="33"/>
      <c r="IUF308" s="37"/>
      <c r="IUG308" s="37"/>
      <c r="IUH308" s="37"/>
      <c r="IUI308" s="37"/>
      <c r="IUJ308" s="37"/>
      <c r="IUK308" s="33"/>
      <c r="IUL308" s="206"/>
      <c r="IUM308" s="207"/>
      <c r="IUN308" s="204"/>
      <c r="IUO308" s="35"/>
      <c r="IUP308" s="202"/>
      <c r="IUQ308" s="203"/>
      <c r="IUR308" s="36"/>
      <c r="IUS308" s="36"/>
      <c r="IUT308" s="205"/>
      <c r="IUU308" s="33"/>
      <c r="IUV308" s="37"/>
      <c r="IUW308" s="37"/>
      <c r="IUX308" s="37"/>
      <c r="IUY308" s="37"/>
      <c r="IUZ308" s="37"/>
      <c r="IVA308" s="33"/>
      <c r="IVB308" s="206"/>
      <c r="IVC308" s="207"/>
      <c r="IVD308" s="204"/>
      <c r="IVE308" s="35"/>
      <c r="IVF308" s="202"/>
      <c r="IVG308" s="203"/>
      <c r="IVH308" s="36"/>
      <c r="IVI308" s="36"/>
      <c r="IVJ308" s="205"/>
      <c r="IVK308" s="33"/>
      <c r="IVL308" s="37"/>
      <c r="IVM308" s="37"/>
      <c r="IVN308" s="37"/>
      <c r="IVO308" s="37"/>
      <c r="IVP308" s="37"/>
      <c r="IVQ308" s="33"/>
      <c r="IVR308" s="206"/>
      <c r="IVS308" s="207"/>
      <c r="IVT308" s="204"/>
      <c r="IVU308" s="35"/>
      <c r="IVV308" s="202"/>
      <c r="IVW308" s="203"/>
      <c r="IVX308" s="36"/>
      <c r="IVY308" s="36"/>
      <c r="IVZ308" s="205"/>
      <c r="IWA308" s="33"/>
      <c r="IWB308" s="37"/>
      <c r="IWC308" s="37"/>
      <c r="IWD308" s="37"/>
      <c r="IWE308" s="37"/>
      <c r="IWF308" s="37"/>
      <c r="IWG308" s="33"/>
      <c r="IWH308" s="206"/>
      <c r="IWI308" s="207"/>
      <c r="IWJ308" s="204"/>
      <c r="IWK308" s="35"/>
      <c r="IWL308" s="202"/>
      <c r="IWM308" s="203"/>
      <c r="IWN308" s="36"/>
      <c r="IWO308" s="36"/>
      <c r="IWP308" s="205"/>
      <c r="IWQ308" s="33"/>
      <c r="IWR308" s="37"/>
      <c r="IWS308" s="37"/>
      <c r="IWT308" s="37"/>
      <c r="IWU308" s="37"/>
      <c r="IWV308" s="37"/>
      <c r="IWW308" s="33"/>
      <c r="IWX308" s="206"/>
      <c r="IWY308" s="207"/>
      <c r="IWZ308" s="204"/>
      <c r="IXA308" s="35"/>
      <c r="IXB308" s="202"/>
      <c r="IXC308" s="203"/>
      <c r="IXD308" s="36"/>
      <c r="IXE308" s="36"/>
      <c r="IXF308" s="205"/>
      <c r="IXG308" s="33"/>
      <c r="IXH308" s="37"/>
      <c r="IXI308" s="37"/>
      <c r="IXJ308" s="37"/>
      <c r="IXK308" s="37"/>
      <c r="IXL308" s="37"/>
      <c r="IXM308" s="33"/>
      <c r="IXN308" s="206"/>
      <c r="IXO308" s="207"/>
      <c r="IXP308" s="204"/>
      <c r="IXQ308" s="35"/>
      <c r="IXR308" s="202"/>
      <c r="IXS308" s="203"/>
      <c r="IXT308" s="36"/>
      <c r="IXU308" s="36"/>
      <c r="IXV308" s="205"/>
      <c r="IXW308" s="33"/>
      <c r="IXX308" s="37"/>
      <c r="IXY308" s="37"/>
      <c r="IXZ308" s="37"/>
      <c r="IYA308" s="37"/>
      <c r="IYB308" s="37"/>
      <c r="IYC308" s="33"/>
      <c r="IYD308" s="206"/>
      <c r="IYE308" s="207"/>
      <c r="IYF308" s="204"/>
      <c r="IYG308" s="35"/>
      <c r="IYH308" s="202"/>
      <c r="IYI308" s="203"/>
      <c r="IYJ308" s="36"/>
      <c r="IYK308" s="36"/>
      <c r="IYL308" s="205"/>
      <c r="IYM308" s="33"/>
      <c r="IYN308" s="37"/>
      <c r="IYO308" s="37"/>
      <c r="IYP308" s="37"/>
      <c r="IYQ308" s="37"/>
      <c r="IYR308" s="37"/>
      <c r="IYS308" s="33"/>
      <c r="IYT308" s="206"/>
      <c r="IYU308" s="207"/>
      <c r="IYV308" s="204"/>
      <c r="IYW308" s="35"/>
      <c r="IYX308" s="202"/>
      <c r="IYY308" s="203"/>
      <c r="IYZ308" s="36"/>
      <c r="IZA308" s="36"/>
      <c r="IZB308" s="205"/>
      <c r="IZC308" s="33"/>
      <c r="IZD308" s="37"/>
      <c r="IZE308" s="37"/>
      <c r="IZF308" s="37"/>
      <c r="IZG308" s="37"/>
      <c r="IZH308" s="37"/>
      <c r="IZI308" s="33"/>
      <c r="IZJ308" s="206"/>
      <c r="IZK308" s="207"/>
      <c r="IZL308" s="204"/>
      <c r="IZM308" s="35"/>
      <c r="IZN308" s="202"/>
      <c r="IZO308" s="203"/>
      <c r="IZP308" s="36"/>
      <c r="IZQ308" s="36"/>
      <c r="IZR308" s="205"/>
      <c r="IZS308" s="33"/>
      <c r="IZT308" s="37"/>
      <c r="IZU308" s="37"/>
      <c r="IZV308" s="37"/>
      <c r="IZW308" s="37"/>
      <c r="IZX308" s="37"/>
      <c r="IZY308" s="33"/>
      <c r="IZZ308" s="206"/>
      <c r="JAA308" s="207"/>
      <c r="JAB308" s="204"/>
      <c r="JAC308" s="35"/>
      <c r="JAD308" s="202"/>
      <c r="JAE308" s="203"/>
      <c r="JAF308" s="36"/>
      <c r="JAG308" s="36"/>
      <c r="JAH308" s="205"/>
      <c r="JAI308" s="33"/>
      <c r="JAJ308" s="37"/>
      <c r="JAK308" s="37"/>
      <c r="JAL308" s="37"/>
      <c r="JAM308" s="37"/>
      <c r="JAN308" s="37"/>
      <c r="JAO308" s="33"/>
      <c r="JAP308" s="206"/>
      <c r="JAQ308" s="207"/>
      <c r="JAR308" s="204"/>
      <c r="JAS308" s="35"/>
      <c r="JAT308" s="202"/>
      <c r="JAU308" s="203"/>
      <c r="JAV308" s="36"/>
      <c r="JAW308" s="36"/>
      <c r="JAX308" s="205"/>
      <c r="JAY308" s="33"/>
      <c r="JAZ308" s="37"/>
      <c r="JBA308" s="37"/>
      <c r="JBB308" s="37"/>
      <c r="JBC308" s="37"/>
      <c r="JBD308" s="37"/>
      <c r="JBE308" s="33"/>
      <c r="JBF308" s="206"/>
      <c r="JBG308" s="207"/>
      <c r="JBH308" s="204"/>
      <c r="JBI308" s="35"/>
      <c r="JBJ308" s="202"/>
      <c r="JBK308" s="203"/>
      <c r="JBL308" s="36"/>
      <c r="JBM308" s="36"/>
      <c r="JBN308" s="205"/>
      <c r="JBO308" s="33"/>
      <c r="JBP308" s="37"/>
      <c r="JBQ308" s="37"/>
      <c r="JBR308" s="37"/>
      <c r="JBS308" s="37"/>
      <c r="JBT308" s="37"/>
      <c r="JBU308" s="33"/>
      <c r="JBV308" s="206"/>
      <c r="JBW308" s="207"/>
      <c r="JBX308" s="204"/>
      <c r="JBY308" s="35"/>
      <c r="JBZ308" s="202"/>
      <c r="JCA308" s="203"/>
      <c r="JCB308" s="36"/>
      <c r="JCC308" s="36"/>
      <c r="JCD308" s="205"/>
      <c r="JCE308" s="33"/>
      <c r="JCF308" s="37"/>
      <c r="JCG308" s="37"/>
      <c r="JCH308" s="37"/>
      <c r="JCI308" s="37"/>
      <c r="JCJ308" s="37"/>
      <c r="JCK308" s="33"/>
      <c r="JCL308" s="206"/>
      <c r="JCM308" s="207"/>
      <c r="JCN308" s="204"/>
      <c r="JCO308" s="35"/>
      <c r="JCP308" s="202"/>
      <c r="JCQ308" s="203"/>
      <c r="JCR308" s="36"/>
      <c r="JCS308" s="36"/>
      <c r="JCT308" s="205"/>
      <c r="JCU308" s="33"/>
      <c r="JCV308" s="37"/>
      <c r="JCW308" s="37"/>
      <c r="JCX308" s="37"/>
      <c r="JCY308" s="37"/>
      <c r="JCZ308" s="37"/>
      <c r="JDA308" s="33"/>
      <c r="JDB308" s="206"/>
      <c r="JDC308" s="207"/>
      <c r="JDD308" s="204"/>
      <c r="JDE308" s="35"/>
      <c r="JDF308" s="202"/>
      <c r="JDG308" s="203"/>
      <c r="JDH308" s="36"/>
      <c r="JDI308" s="36"/>
      <c r="JDJ308" s="205"/>
      <c r="JDK308" s="33"/>
      <c r="JDL308" s="37"/>
      <c r="JDM308" s="37"/>
      <c r="JDN308" s="37"/>
      <c r="JDO308" s="37"/>
      <c r="JDP308" s="37"/>
      <c r="JDQ308" s="33"/>
      <c r="JDR308" s="206"/>
      <c r="JDS308" s="207"/>
      <c r="JDT308" s="204"/>
      <c r="JDU308" s="35"/>
      <c r="JDV308" s="202"/>
      <c r="JDW308" s="203"/>
      <c r="JDX308" s="36"/>
      <c r="JDY308" s="36"/>
      <c r="JDZ308" s="205"/>
      <c r="JEA308" s="33"/>
      <c r="JEB308" s="37"/>
      <c r="JEC308" s="37"/>
      <c r="JED308" s="37"/>
      <c r="JEE308" s="37"/>
      <c r="JEF308" s="37"/>
      <c r="JEG308" s="33"/>
      <c r="JEH308" s="206"/>
      <c r="JEI308" s="207"/>
      <c r="JEJ308" s="204"/>
      <c r="JEK308" s="35"/>
      <c r="JEL308" s="202"/>
      <c r="JEM308" s="203"/>
      <c r="JEN308" s="36"/>
      <c r="JEO308" s="36"/>
      <c r="JEP308" s="205"/>
      <c r="JEQ308" s="33"/>
      <c r="JER308" s="37"/>
      <c r="JES308" s="37"/>
      <c r="JET308" s="37"/>
      <c r="JEU308" s="37"/>
      <c r="JEV308" s="37"/>
      <c r="JEW308" s="33"/>
      <c r="JEX308" s="206"/>
      <c r="JEY308" s="207"/>
      <c r="JEZ308" s="204"/>
      <c r="JFA308" s="35"/>
      <c r="JFB308" s="202"/>
      <c r="JFC308" s="203"/>
      <c r="JFD308" s="36"/>
      <c r="JFE308" s="36"/>
      <c r="JFF308" s="205"/>
      <c r="JFG308" s="33"/>
      <c r="JFH308" s="37"/>
      <c r="JFI308" s="37"/>
      <c r="JFJ308" s="37"/>
      <c r="JFK308" s="37"/>
      <c r="JFL308" s="37"/>
      <c r="JFM308" s="33"/>
      <c r="JFN308" s="206"/>
      <c r="JFO308" s="207"/>
      <c r="JFP308" s="204"/>
      <c r="JFQ308" s="35"/>
      <c r="JFR308" s="202"/>
      <c r="JFS308" s="203"/>
      <c r="JFT308" s="36"/>
      <c r="JFU308" s="36"/>
      <c r="JFV308" s="205"/>
      <c r="JFW308" s="33"/>
      <c r="JFX308" s="37"/>
      <c r="JFY308" s="37"/>
      <c r="JFZ308" s="37"/>
      <c r="JGA308" s="37"/>
      <c r="JGB308" s="37"/>
      <c r="JGC308" s="33"/>
      <c r="JGD308" s="206"/>
      <c r="JGE308" s="207"/>
      <c r="JGF308" s="204"/>
      <c r="JGG308" s="35"/>
      <c r="JGH308" s="202"/>
      <c r="JGI308" s="203"/>
      <c r="JGJ308" s="36"/>
      <c r="JGK308" s="36"/>
      <c r="JGL308" s="205"/>
      <c r="JGM308" s="33"/>
      <c r="JGN308" s="37"/>
      <c r="JGO308" s="37"/>
      <c r="JGP308" s="37"/>
      <c r="JGQ308" s="37"/>
      <c r="JGR308" s="37"/>
      <c r="JGS308" s="33"/>
      <c r="JGT308" s="206"/>
      <c r="JGU308" s="207"/>
      <c r="JGV308" s="204"/>
      <c r="JGW308" s="35"/>
      <c r="JGX308" s="202"/>
      <c r="JGY308" s="203"/>
      <c r="JGZ308" s="36"/>
      <c r="JHA308" s="36"/>
      <c r="JHB308" s="205"/>
      <c r="JHC308" s="33"/>
      <c r="JHD308" s="37"/>
      <c r="JHE308" s="37"/>
      <c r="JHF308" s="37"/>
      <c r="JHG308" s="37"/>
      <c r="JHH308" s="37"/>
      <c r="JHI308" s="33"/>
      <c r="JHJ308" s="206"/>
      <c r="JHK308" s="207"/>
      <c r="JHL308" s="204"/>
      <c r="JHM308" s="35"/>
      <c r="JHN308" s="202"/>
      <c r="JHO308" s="203"/>
      <c r="JHP308" s="36"/>
      <c r="JHQ308" s="36"/>
      <c r="JHR308" s="205"/>
      <c r="JHS308" s="33"/>
      <c r="JHT308" s="37"/>
      <c r="JHU308" s="37"/>
      <c r="JHV308" s="37"/>
      <c r="JHW308" s="37"/>
      <c r="JHX308" s="37"/>
      <c r="JHY308" s="33"/>
      <c r="JHZ308" s="206"/>
      <c r="JIA308" s="207"/>
      <c r="JIB308" s="204"/>
      <c r="JIC308" s="35"/>
      <c r="JID308" s="202"/>
      <c r="JIE308" s="203"/>
      <c r="JIF308" s="36"/>
      <c r="JIG308" s="36"/>
      <c r="JIH308" s="205"/>
      <c r="JII308" s="33"/>
      <c r="JIJ308" s="37"/>
      <c r="JIK308" s="37"/>
      <c r="JIL308" s="37"/>
      <c r="JIM308" s="37"/>
      <c r="JIN308" s="37"/>
      <c r="JIO308" s="33"/>
      <c r="JIP308" s="206"/>
      <c r="JIQ308" s="207"/>
      <c r="JIR308" s="204"/>
      <c r="JIS308" s="35"/>
      <c r="JIT308" s="202"/>
      <c r="JIU308" s="203"/>
      <c r="JIV308" s="36"/>
      <c r="JIW308" s="36"/>
      <c r="JIX308" s="205"/>
      <c r="JIY308" s="33"/>
      <c r="JIZ308" s="37"/>
      <c r="JJA308" s="37"/>
      <c r="JJB308" s="37"/>
      <c r="JJC308" s="37"/>
      <c r="JJD308" s="37"/>
      <c r="JJE308" s="33"/>
      <c r="JJF308" s="206"/>
      <c r="JJG308" s="207"/>
      <c r="JJH308" s="204"/>
      <c r="JJI308" s="35"/>
      <c r="JJJ308" s="202"/>
      <c r="JJK308" s="203"/>
      <c r="JJL308" s="36"/>
      <c r="JJM308" s="36"/>
      <c r="JJN308" s="205"/>
      <c r="JJO308" s="33"/>
      <c r="JJP308" s="37"/>
      <c r="JJQ308" s="37"/>
      <c r="JJR308" s="37"/>
      <c r="JJS308" s="37"/>
      <c r="JJT308" s="37"/>
      <c r="JJU308" s="33"/>
      <c r="JJV308" s="206"/>
      <c r="JJW308" s="207"/>
      <c r="JJX308" s="204"/>
      <c r="JJY308" s="35"/>
      <c r="JJZ308" s="202"/>
      <c r="JKA308" s="203"/>
      <c r="JKB308" s="36"/>
      <c r="JKC308" s="36"/>
      <c r="JKD308" s="205"/>
      <c r="JKE308" s="33"/>
      <c r="JKF308" s="37"/>
      <c r="JKG308" s="37"/>
      <c r="JKH308" s="37"/>
      <c r="JKI308" s="37"/>
      <c r="JKJ308" s="37"/>
      <c r="JKK308" s="33"/>
      <c r="JKL308" s="206"/>
      <c r="JKM308" s="207"/>
      <c r="JKN308" s="204"/>
      <c r="JKO308" s="35"/>
      <c r="JKP308" s="202"/>
      <c r="JKQ308" s="203"/>
      <c r="JKR308" s="36"/>
      <c r="JKS308" s="36"/>
      <c r="JKT308" s="205"/>
      <c r="JKU308" s="33"/>
      <c r="JKV308" s="37"/>
      <c r="JKW308" s="37"/>
      <c r="JKX308" s="37"/>
      <c r="JKY308" s="37"/>
      <c r="JKZ308" s="37"/>
      <c r="JLA308" s="33"/>
      <c r="JLB308" s="206"/>
      <c r="JLC308" s="207"/>
      <c r="JLD308" s="204"/>
      <c r="JLE308" s="35"/>
      <c r="JLF308" s="202"/>
      <c r="JLG308" s="203"/>
      <c r="JLH308" s="36"/>
      <c r="JLI308" s="36"/>
      <c r="JLJ308" s="205"/>
      <c r="JLK308" s="33"/>
      <c r="JLL308" s="37"/>
      <c r="JLM308" s="37"/>
      <c r="JLN308" s="37"/>
      <c r="JLO308" s="37"/>
      <c r="JLP308" s="37"/>
      <c r="JLQ308" s="33"/>
      <c r="JLR308" s="206"/>
      <c r="JLS308" s="207"/>
      <c r="JLT308" s="204"/>
      <c r="JLU308" s="35"/>
      <c r="JLV308" s="202"/>
      <c r="JLW308" s="203"/>
      <c r="JLX308" s="36"/>
      <c r="JLY308" s="36"/>
      <c r="JLZ308" s="205"/>
      <c r="JMA308" s="33"/>
      <c r="JMB308" s="37"/>
      <c r="JMC308" s="37"/>
      <c r="JMD308" s="37"/>
      <c r="JME308" s="37"/>
      <c r="JMF308" s="37"/>
      <c r="JMG308" s="33"/>
      <c r="JMH308" s="206"/>
      <c r="JMI308" s="207"/>
      <c r="JMJ308" s="204"/>
      <c r="JMK308" s="35"/>
      <c r="JML308" s="202"/>
      <c r="JMM308" s="203"/>
      <c r="JMN308" s="36"/>
      <c r="JMO308" s="36"/>
      <c r="JMP308" s="205"/>
      <c r="JMQ308" s="33"/>
      <c r="JMR308" s="37"/>
      <c r="JMS308" s="37"/>
      <c r="JMT308" s="37"/>
      <c r="JMU308" s="37"/>
      <c r="JMV308" s="37"/>
      <c r="JMW308" s="33"/>
      <c r="JMX308" s="206"/>
      <c r="JMY308" s="207"/>
      <c r="JMZ308" s="204"/>
      <c r="JNA308" s="35"/>
      <c r="JNB308" s="202"/>
      <c r="JNC308" s="203"/>
      <c r="JND308" s="36"/>
      <c r="JNE308" s="36"/>
      <c r="JNF308" s="205"/>
      <c r="JNG308" s="33"/>
      <c r="JNH308" s="37"/>
      <c r="JNI308" s="37"/>
      <c r="JNJ308" s="37"/>
      <c r="JNK308" s="37"/>
      <c r="JNL308" s="37"/>
      <c r="JNM308" s="33"/>
      <c r="JNN308" s="206"/>
      <c r="JNO308" s="207"/>
      <c r="JNP308" s="204"/>
      <c r="JNQ308" s="35"/>
      <c r="JNR308" s="202"/>
      <c r="JNS308" s="203"/>
      <c r="JNT308" s="36"/>
      <c r="JNU308" s="36"/>
      <c r="JNV308" s="205"/>
      <c r="JNW308" s="33"/>
      <c r="JNX308" s="37"/>
      <c r="JNY308" s="37"/>
      <c r="JNZ308" s="37"/>
      <c r="JOA308" s="37"/>
      <c r="JOB308" s="37"/>
      <c r="JOC308" s="33"/>
      <c r="JOD308" s="206"/>
      <c r="JOE308" s="207"/>
      <c r="JOF308" s="204"/>
      <c r="JOG308" s="35"/>
      <c r="JOH308" s="202"/>
      <c r="JOI308" s="203"/>
      <c r="JOJ308" s="36"/>
      <c r="JOK308" s="36"/>
      <c r="JOL308" s="205"/>
      <c r="JOM308" s="33"/>
      <c r="JON308" s="37"/>
      <c r="JOO308" s="37"/>
      <c r="JOP308" s="37"/>
      <c r="JOQ308" s="37"/>
      <c r="JOR308" s="37"/>
      <c r="JOS308" s="33"/>
      <c r="JOT308" s="206"/>
      <c r="JOU308" s="207"/>
      <c r="JOV308" s="204"/>
      <c r="JOW308" s="35"/>
      <c r="JOX308" s="202"/>
      <c r="JOY308" s="203"/>
      <c r="JOZ308" s="36"/>
      <c r="JPA308" s="36"/>
      <c r="JPB308" s="205"/>
      <c r="JPC308" s="33"/>
      <c r="JPD308" s="37"/>
      <c r="JPE308" s="37"/>
      <c r="JPF308" s="37"/>
      <c r="JPG308" s="37"/>
      <c r="JPH308" s="37"/>
      <c r="JPI308" s="33"/>
      <c r="JPJ308" s="206"/>
      <c r="JPK308" s="207"/>
      <c r="JPL308" s="204"/>
      <c r="JPM308" s="35"/>
      <c r="JPN308" s="202"/>
      <c r="JPO308" s="203"/>
      <c r="JPP308" s="36"/>
      <c r="JPQ308" s="36"/>
      <c r="JPR308" s="205"/>
      <c r="JPS308" s="33"/>
      <c r="JPT308" s="37"/>
      <c r="JPU308" s="37"/>
      <c r="JPV308" s="37"/>
      <c r="JPW308" s="37"/>
      <c r="JPX308" s="37"/>
      <c r="JPY308" s="33"/>
      <c r="JPZ308" s="206"/>
      <c r="JQA308" s="207"/>
      <c r="JQB308" s="204"/>
      <c r="JQC308" s="35"/>
      <c r="JQD308" s="202"/>
      <c r="JQE308" s="203"/>
      <c r="JQF308" s="36"/>
      <c r="JQG308" s="36"/>
      <c r="JQH308" s="205"/>
      <c r="JQI308" s="33"/>
      <c r="JQJ308" s="37"/>
      <c r="JQK308" s="37"/>
      <c r="JQL308" s="37"/>
      <c r="JQM308" s="37"/>
      <c r="JQN308" s="37"/>
      <c r="JQO308" s="33"/>
      <c r="JQP308" s="206"/>
      <c r="JQQ308" s="207"/>
      <c r="JQR308" s="204"/>
      <c r="JQS308" s="35"/>
      <c r="JQT308" s="202"/>
      <c r="JQU308" s="203"/>
      <c r="JQV308" s="36"/>
      <c r="JQW308" s="36"/>
      <c r="JQX308" s="205"/>
      <c r="JQY308" s="33"/>
      <c r="JQZ308" s="37"/>
      <c r="JRA308" s="37"/>
      <c r="JRB308" s="37"/>
      <c r="JRC308" s="37"/>
      <c r="JRD308" s="37"/>
      <c r="JRE308" s="33"/>
      <c r="JRF308" s="206"/>
      <c r="JRG308" s="207"/>
      <c r="JRH308" s="204"/>
      <c r="JRI308" s="35"/>
      <c r="JRJ308" s="202"/>
      <c r="JRK308" s="203"/>
      <c r="JRL308" s="36"/>
      <c r="JRM308" s="36"/>
      <c r="JRN308" s="205"/>
      <c r="JRO308" s="33"/>
      <c r="JRP308" s="37"/>
      <c r="JRQ308" s="37"/>
      <c r="JRR308" s="37"/>
      <c r="JRS308" s="37"/>
      <c r="JRT308" s="37"/>
      <c r="JRU308" s="33"/>
      <c r="JRV308" s="206"/>
      <c r="JRW308" s="207"/>
      <c r="JRX308" s="204"/>
      <c r="JRY308" s="35"/>
      <c r="JRZ308" s="202"/>
      <c r="JSA308" s="203"/>
      <c r="JSB308" s="36"/>
      <c r="JSC308" s="36"/>
      <c r="JSD308" s="205"/>
      <c r="JSE308" s="33"/>
      <c r="JSF308" s="37"/>
      <c r="JSG308" s="37"/>
      <c r="JSH308" s="37"/>
      <c r="JSI308" s="37"/>
      <c r="JSJ308" s="37"/>
      <c r="JSK308" s="33"/>
      <c r="JSL308" s="206"/>
      <c r="JSM308" s="207"/>
      <c r="JSN308" s="204"/>
      <c r="JSO308" s="35"/>
      <c r="JSP308" s="202"/>
      <c r="JSQ308" s="203"/>
      <c r="JSR308" s="36"/>
      <c r="JSS308" s="36"/>
      <c r="JST308" s="205"/>
      <c r="JSU308" s="33"/>
      <c r="JSV308" s="37"/>
      <c r="JSW308" s="37"/>
      <c r="JSX308" s="37"/>
      <c r="JSY308" s="37"/>
      <c r="JSZ308" s="37"/>
      <c r="JTA308" s="33"/>
      <c r="JTB308" s="206"/>
      <c r="JTC308" s="207"/>
      <c r="JTD308" s="204"/>
      <c r="JTE308" s="35"/>
      <c r="JTF308" s="202"/>
      <c r="JTG308" s="203"/>
      <c r="JTH308" s="36"/>
      <c r="JTI308" s="36"/>
      <c r="JTJ308" s="205"/>
      <c r="JTK308" s="33"/>
      <c r="JTL308" s="37"/>
      <c r="JTM308" s="37"/>
      <c r="JTN308" s="37"/>
      <c r="JTO308" s="37"/>
      <c r="JTP308" s="37"/>
      <c r="JTQ308" s="33"/>
      <c r="JTR308" s="206"/>
      <c r="JTS308" s="207"/>
      <c r="JTT308" s="204"/>
      <c r="JTU308" s="35"/>
      <c r="JTV308" s="202"/>
      <c r="JTW308" s="203"/>
      <c r="JTX308" s="36"/>
      <c r="JTY308" s="36"/>
      <c r="JTZ308" s="205"/>
      <c r="JUA308" s="33"/>
      <c r="JUB308" s="37"/>
      <c r="JUC308" s="37"/>
      <c r="JUD308" s="37"/>
      <c r="JUE308" s="37"/>
      <c r="JUF308" s="37"/>
      <c r="JUG308" s="33"/>
      <c r="JUH308" s="206"/>
      <c r="JUI308" s="207"/>
      <c r="JUJ308" s="204"/>
      <c r="JUK308" s="35"/>
      <c r="JUL308" s="202"/>
      <c r="JUM308" s="203"/>
      <c r="JUN308" s="36"/>
      <c r="JUO308" s="36"/>
      <c r="JUP308" s="205"/>
      <c r="JUQ308" s="33"/>
      <c r="JUR308" s="37"/>
      <c r="JUS308" s="37"/>
      <c r="JUT308" s="37"/>
      <c r="JUU308" s="37"/>
      <c r="JUV308" s="37"/>
      <c r="JUW308" s="33"/>
      <c r="JUX308" s="206"/>
      <c r="JUY308" s="207"/>
      <c r="JUZ308" s="204"/>
      <c r="JVA308" s="35"/>
      <c r="JVB308" s="202"/>
      <c r="JVC308" s="203"/>
      <c r="JVD308" s="36"/>
      <c r="JVE308" s="36"/>
      <c r="JVF308" s="205"/>
      <c r="JVG308" s="33"/>
      <c r="JVH308" s="37"/>
      <c r="JVI308" s="37"/>
      <c r="JVJ308" s="37"/>
      <c r="JVK308" s="37"/>
      <c r="JVL308" s="37"/>
      <c r="JVM308" s="33"/>
      <c r="JVN308" s="206"/>
      <c r="JVO308" s="207"/>
      <c r="JVP308" s="204"/>
      <c r="JVQ308" s="35"/>
      <c r="JVR308" s="202"/>
      <c r="JVS308" s="203"/>
      <c r="JVT308" s="36"/>
      <c r="JVU308" s="36"/>
      <c r="JVV308" s="205"/>
      <c r="JVW308" s="33"/>
      <c r="JVX308" s="37"/>
      <c r="JVY308" s="37"/>
      <c r="JVZ308" s="37"/>
      <c r="JWA308" s="37"/>
      <c r="JWB308" s="37"/>
      <c r="JWC308" s="33"/>
      <c r="JWD308" s="206"/>
      <c r="JWE308" s="207"/>
      <c r="JWF308" s="204"/>
      <c r="JWG308" s="35"/>
      <c r="JWH308" s="202"/>
      <c r="JWI308" s="203"/>
      <c r="JWJ308" s="36"/>
      <c r="JWK308" s="36"/>
      <c r="JWL308" s="205"/>
      <c r="JWM308" s="33"/>
      <c r="JWN308" s="37"/>
      <c r="JWO308" s="37"/>
      <c r="JWP308" s="37"/>
      <c r="JWQ308" s="37"/>
      <c r="JWR308" s="37"/>
      <c r="JWS308" s="33"/>
      <c r="JWT308" s="206"/>
      <c r="JWU308" s="207"/>
      <c r="JWV308" s="204"/>
      <c r="JWW308" s="35"/>
      <c r="JWX308" s="202"/>
      <c r="JWY308" s="203"/>
      <c r="JWZ308" s="36"/>
      <c r="JXA308" s="36"/>
      <c r="JXB308" s="205"/>
      <c r="JXC308" s="33"/>
      <c r="JXD308" s="37"/>
      <c r="JXE308" s="37"/>
      <c r="JXF308" s="37"/>
      <c r="JXG308" s="37"/>
      <c r="JXH308" s="37"/>
      <c r="JXI308" s="33"/>
      <c r="JXJ308" s="206"/>
      <c r="JXK308" s="207"/>
      <c r="JXL308" s="204"/>
      <c r="JXM308" s="35"/>
      <c r="JXN308" s="202"/>
      <c r="JXO308" s="203"/>
      <c r="JXP308" s="36"/>
      <c r="JXQ308" s="36"/>
      <c r="JXR308" s="205"/>
      <c r="JXS308" s="33"/>
      <c r="JXT308" s="37"/>
      <c r="JXU308" s="37"/>
      <c r="JXV308" s="37"/>
      <c r="JXW308" s="37"/>
      <c r="JXX308" s="37"/>
      <c r="JXY308" s="33"/>
      <c r="JXZ308" s="206"/>
      <c r="JYA308" s="207"/>
      <c r="JYB308" s="204"/>
      <c r="JYC308" s="35"/>
      <c r="JYD308" s="202"/>
      <c r="JYE308" s="203"/>
      <c r="JYF308" s="36"/>
      <c r="JYG308" s="36"/>
      <c r="JYH308" s="205"/>
      <c r="JYI308" s="33"/>
      <c r="JYJ308" s="37"/>
      <c r="JYK308" s="37"/>
      <c r="JYL308" s="37"/>
      <c r="JYM308" s="37"/>
      <c r="JYN308" s="37"/>
      <c r="JYO308" s="33"/>
      <c r="JYP308" s="206"/>
      <c r="JYQ308" s="207"/>
      <c r="JYR308" s="204"/>
      <c r="JYS308" s="35"/>
      <c r="JYT308" s="202"/>
      <c r="JYU308" s="203"/>
      <c r="JYV308" s="36"/>
      <c r="JYW308" s="36"/>
      <c r="JYX308" s="205"/>
      <c r="JYY308" s="33"/>
      <c r="JYZ308" s="37"/>
      <c r="JZA308" s="37"/>
      <c r="JZB308" s="37"/>
      <c r="JZC308" s="37"/>
      <c r="JZD308" s="37"/>
      <c r="JZE308" s="33"/>
      <c r="JZF308" s="206"/>
      <c r="JZG308" s="207"/>
      <c r="JZH308" s="204"/>
      <c r="JZI308" s="35"/>
      <c r="JZJ308" s="202"/>
      <c r="JZK308" s="203"/>
      <c r="JZL308" s="36"/>
      <c r="JZM308" s="36"/>
      <c r="JZN308" s="205"/>
      <c r="JZO308" s="33"/>
      <c r="JZP308" s="37"/>
      <c r="JZQ308" s="37"/>
      <c r="JZR308" s="37"/>
      <c r="JZS308" s="37"/>
      <c r="JZT308" s="37"/>
      <c r="JZU308" s="33"/>
      <c r="JZV308" s="206"/>
      <c r="JZW308" s="207"/>
      <c r="JZX308" s="204"/>
      <c r="JZY308" s="35"/>
      <c r="JZZ308" s="202"/>
      <c r="KAA308" s="203"/>
      <c r="KAB308" s="36"/>
      <c r="KAC308" s="36"/>
      <c r="KAD308" s="205"/>
      <c r="KAE308" s="33"/>
      <c r="KAF308" s="37"/>
      <c r="KAG308" s="37"/>
      <c r="KAH308" s="37"/>
      <c r="KAI308" s="37"/>
      <c r="KAJ308" s="37"/>
      <c r="KAK308" s="33"/>
      <c r="KAL308" s="206"/>
      <c r="KAM308" s="207"/>
      <c r="KAN308" s="204"/>
      <c r="KAO308" s="35"/>
      <c r="KAP308" s="202"/>
      <c r="KAQ308" s="203"/>
      <c r="KAR308" s="36"/>
      <c r="KAS308" s="36"/>
      <c r="KAT308" s="205"/>
      <c r="KAU308" s="33"/>
      <c r="KAV308" s="37"/>
      <c r="KAW308" s="37"/>
      <c r="KAX308" s="37"/>
      <c r="KAY308" s="37"/>
      <c r="KAZ308" s="37"/>
      <c r="KBA308" s="33"/>
      <c r="KBB308" s="206"/>
      <c r="KBC308" s="207"/>
      <c r="KBD308" s="204"/>
      <c r="KBE308" s="35"/>
      <c r="KBF308" s="202"/>
      <c r="KBG308" s="203"/>
      <c r="KBH308" s="36"/>
      <c r="KBI308" s="36"/>
      <c r="KBJ308" s="205"/>
      <c r="KBK308" s="33"/>
      <c r="KBL308" s="37"/>
      <c r="KBM308" s="37"/>
      <c r="KBN308" s="37"/>
      <c r="KBO308" s="37"/>
      <c r="KBP308" s="37"/>
      <c r="KBQ308" s="33"/>
      <c r="KBR308" s="206"/>
      <c r="KBS308" s="207"/>
      <c r="KBT308" s="204"/>
      <c r="KBU308" s="35"/>
      <c r="KBV308" s="202"/>
      <c r="KBW308" s="203"/>
      <c r="KBX308" s="36"/>
      <c r="KBY308" s="36"/>
      <c r="KBZ308" s="205"/>
      <c r="KCA308" s="33"/>
      <c r="KCB308" s="37"/>
      <c r="KCC308" s="37"/>
      <c r="KCD308" s="37"/>
      <c r="KCE308" s="37"/>
      <c r="KCF308" s="37"/>
      <c r="KCG308" s="33"/>
      <c r="KCH308" s="206"/>
      <c r="KCI308" s="207"/>
      <c r="KCJ308" s="204"/>
      <c r="KCK308" s="35"/>
      <c r="KCL308" s="202"/>
      <c r="KCM308" s="203"/>
      <c r="KCN308" s="36"/>
      <c r="KCO308" s="36"/>
      <c r="KCP308" s="205"/>
      <c r="KCQ308" s="33"/>
      <c r="KCR308" s="37"/>
      <c r="KCS308" s="37"/>
      <c r="KCT308" s="37"/>
      <c r="KCU308" s="37"/>
      <c r="KCV308" s="37"/>
      <c r="KCW308" s="33"/>
      <c r="KCX308" s="206"/>
      <c r="KCY308" s="207"/>
      <c r="KCZ308" s="204"/>
      <c r="KDA308" s="35"/>
      <c r="KDB308" s="202"/>
      <c r="KDC308" s="203"/>
      <c r="KDD308" s="36"/>
      <c r="KDE308" s="36"/>
      <c r="KDF308" s="205"/>
      <c r="KDG308" s="33"/>
      <c r="KDH308" s="37"/>
      <c r="KDI308" s="37"/>
      <c r="KDJ308" s="37"/>
      <c r="KDK308" s="37"/>
      <c r="KDL308" s="37"/>
      <c r="KDM308" s="33"/>
      <c r="KDN308" s="206"/>
      <c r="KDO308" s="207"/>
      <c r="KDP308" s="204"/>
      <c r="KDQ308" s="35"/>
      <c r="KDR308" s="202"/>
      <c r="KDS308" s="203"/>
      <c r="KDT308" s="36"/>
      <c r="KDU308" s="36"/>
      <c r="KDV308" s="205"/>
      <c r="KDW308" s="33"/>
      <c r="KDX308" s="37"/>
      <c r="KDY308" s="37"/>
      <c r="KDZ308" s="37"/>
      <c r="KEA308" s="37"/>
      <c r="KEB308" s="37"/>
      <c r="KEC308" s="33"/>
      <c r="KED308" s="206"/>
      <c r="KEE308" s="207"/>
      <c r="KEF308" s="204"/>
      <c r="KEG308" s="35"/>
      <c r="KEH308" s="202"/>
      <c r="KEI308" s="203"/>
      <c r="KEJ308" s="36"/>
      <c r="KEK308" s="36"/>
      <c r="KEL308" s="205"/>
      <c r="KEM308" s="33"/>
      <c r="KEN308" s="37"/>
      <c r="KEO308" s="37"/>
      <c r="KEP308" s="37"/>
      <c r="KEQ308" s="37"/>
      <c r="KER308" s="37"/>
      <c r="KES308" s="33"/>
      <c r="KET308" s="206"/>
      <c r="KEU308" s="207"/>
      <c r="KEV308" s="204"/>
      <c r="KEW308" s="35"/>
      <c r="KEX308" s="202"/>
      <c r="KEY308" s="203"/>
      <c r="KEZ308" s="36"/>
      <c r="KFA308" s="36"/>
      <c r="KFB308" s="205"/>
      <c r="KFC308" s="33"/>
      <c r="KFD308" s="37"/>
      <c r="KFE308" s="37"/>
      <c r="KFF308" s="37"/>
      <c r="KFG308" s="37"/>
      <c r="KFH308" s="37"/>
      <c r="KFI308" s="33"/>
      <c r="KFJ308" s="206"/>
      <c r="KFK308" s="207"/>
      <c r="KFL308" s="204"/>
      <c r="KFM308" s="35"/>
      <c r="KFN308" s="202"/>
      <c r="KFO308" s="203"/>
      <c r="KFP308" s="36"/>
      <c r="KFQ308" s="36"/>
      <c r="KFR308" s="205"/>
      <c r="KFS308" s="33"/>
      <c r="KFT308" s="37"/>
      <c r="KFU308" s="37"/>
      <c r="KFV308" s="37"/>
      <c r="KFW308" s="37"/>
      <c r="KFX308" s="37"/>
      <c r="KFY308" s="33"/>
      <c r="KFZ308" s="206"/>
      <c r="KGA308" s="207"/>
      <c r="KGB308" s="204"/>
      <c r="KGC308" s="35"/>
      <c r="KGD308" s="202"/>
      <c r="KGE308" s="203"/>
      <c r="KGF308" s="36"/>
      <c r="KGG308" s="36"/>
      <c r="KGH308" s="205"/>
      <c r="KGI308" s="33"/>
      <c r="KGJ308" s="37"/>
      <c r="KGK308" s="37"/>
      <c r="KGL308" s="37"/>
      <c r="KGM308" s="37"/>
      <c r="KGN308" s="37"/>
      <c r="KGO308" s="33"/>
      <c r="KGP308" s="206"/>
      <c r="KGQ308" s="207"/>
      <c r="KGR308" s="204"/>
      <c r="KGS308" s="35"/>
      <c r="KGT308" s="202"/>
      <c r="KGU308" s="203"/>
      <c r="KGV308" s="36"/>
      <c r="KGW308" s="36"/>
      <c r="KGX308" s="205"/>
      <c r="KGY308" s="33"/>
      <c r="KGZ308" s="37"/>
      <c r="KHA308" s="37"/>
      <c r="KHB308" s="37"/>
      <c r="KHC308" s="37"/>
      <c r="KHD308" s="37"/>
      <c r="KHE308" s="33"/>
      <c r="KHF308" s="206"/>
      <c r="KHG308" s="207"/>
      <c r="KHH308" s="204"/>
      <c r="KHI308" s="35"/>
      <c r="KHJ308" s="202"/>
      <c r="KHK308" s="203"/>
      <c r="KHL308" s="36"/>
      <c r="KHM308" s="36"/>
      <c r="KHN308" s="205"/>
      <c r="KHO308" s="33"/>
      <c r="KHP308" s="37"/>
      <c r="KHQ308" s="37"/>
      <c r="KHR308" s="37"/>
      <c r="KHS308" s="37"/>
      <c r="KHT308" s="37"/>
      <c r="KHU308" s="33"/>
      <c r="KHV308" s="206"/>
      <c r="KHW308" s="207"/>
      <c r="KHX308" s="204"/>
      <c r="KHY308" s="35"/>
      <c r="KHZ308" s="202"/>
      <c r="KIA308" s="203"/>
      <c r="KIB308" s="36"/>
      <c r="KIC308" s="36"/>
      <c r="KID308" s="205"/>
      <c r="KIE308" s="33"/>
      <c r="KIF308" s="37"/>
      <c r="KIG308" s="37"/>
      <c r="KIH308" s="37"/>
      <c r="KII308" s="37"/>
      <c r="KIJ308" s="37"/>
      <c r="KIK308" s="33"/>
      <c r="KIL308" s="206"/>
      <c r="KIM308" s="207"/>
      <c r="KIN308" s="204"/>
      <c r="KIO308" s="35"/>
      <c r="KIP308" s="202"/>
      <c r="KIQ308" s="203"/>
      <c r="KIR308" s="36"/>
      <c r="KIS308" s="36"/>
      <c r="KIT308" s="205"/>
      <c r="KIU308" s="33"/>
      <c r="KIV308" s="37"/>
      <c r="KIW308" s="37"/>
      <c r="KIX308" s="37"/>
      <c r="KIY308" s="37"/>
      <c r="KIZ308" s="37"/>
      <c r="KJA308" s="33"/>
      <c r="KJB308" s="206"/>
      <c r="KJC308" s="207"/>
      <c r="KJD308" s="204"/>
      <c r="KJE308" s="35"/>
      <c r="KJF308" s="202"/>
      <c r="KJG308" s="203"/>
      <c r="KJH308" s="36"/>
      <c r="KJI308" s="36"/>
      <c r="KJJ308" s="205"/>
      <c r="KJK308" s="33"/>
      <c r="KJL308" s="37"/>
      <c r="KJM308" s="37"/>
      <c r="KJN308" s="37"/>
      <c r="KJO308" s="37"/>
      <c r="KJP308" s="37"/>
      <c r="KJQ308" s="33"/>
      <c r="KJR308" s="206"/>
      <c r="KJS308" s="207"/>
      <c r="KJT308" s="204"/>
      <c r="KJU308" s="35"/>
      <c r="KJV308" s="202"/>
      <c r="KJW308" s="203"/>
      <c r="KJX308" s="36"/>
      <c r="KJY308" s="36"/>
      <c r="KJZ308" s="205"/>
      <c r="KKA308" s="33"/>
      <c r="KKB308" s="37"/>
      <c r="KKC308" s="37"/>
      <c r="KKD308" s="37"/>
      <c r="KKE308" s="37"/>
      <c r="KKF308" s="37"/>
      <c r="KKG308" s="33"/>
      <c r="KKH308" s="206"/>
      <c r="KKI308" s="207"/>
      <c r="KKJ308" s="204"/>
      <c r="KKK308" s="35"/>
      <c r="KKL308" s="202"/>
      <c r="KKM308" s="203"/>
      <c r="KKN308" s="36"/>
      <c r="KKO308" s="36"/>
      <c r="KKP308" s="205"/>
      <c r="KKQ308" s="33"/>
      <c r="KKR308" s="37"/>
      <c r="KKS308" s="37"/>
      <c r="KKT308" s="37"/>
      <c r="KKU308" s="37"/>
      <c r="KKV308" s="37"/>
      <c r="KKW308" s="33"/>
      <c r="KKX308" s="206"/>
      <c r="KKY308" s="207"/>
      <c r="KKZ308" s="204"/>
      <c r="KLA308" s="35"/>
      <c r="KLB308" s="202"/>
      <c r="KLC308" s="203"/>
      <c r="KLD308" s="36"/>
      <c r="KLE308" s="36"/>
      <c r="KLF308" s="205"/>
      <c r="KLG308" s="33"/>
      <c r="KLH308" s="37"/>
      <c r="KLI308" s="37"/>
      <c r="KLJ308" s="37"/>
      <c r="KLK308" s="37"/>
      <c r="KLL308" s="37"/>
      <c r="KLM308" s="33"/>
      <c r="KLN308" s="206"/>
      <c r="KLO308" s="207"/>
      <c r="KLP308" s="204"/>
      <c r="KLQ308" s="35"/>
      <c r="KLR308" s="202"/>
      <c r="KLS308" s="203"/>
      <c r="KLT308" s="36"/>
      <c r="KLU308" s="36"/>
      <c r="KLV308" s="205"/>
      <c r="KLW308" s="33"/>
      <c r="KLX308" s="37"/>
      <c r="KLY308" s="37"/>
      <c r="KLZ308" s="37"/>
      <c r="KMA308" s="37"/>
      <c r="KMB308" s="37"/>
      <c r="KMC308" s="33"/>
      <c r="KMD308" s="206"/>
      <c r="KME308" s="207"/>
      <c r="KMF308" s="204"/>
      <c r="KMG308" s="35"/>
      <c r="KMH308" s="202"/>
      <c r="KMI308" s="203"/>
      <c r="KMJ308" s="36"/>
      <c r="KMK308" s="36"/>
      <c r="KML308" s="205"/>
      <c r="KMM308" s="33"/>
      <c r="KMN308" s="37"/>
      <c r="KMO308" s="37"/>
      <c r="KMP308" s="37"/>
      <c r="KMQ308" s="37"/>
      <c r="KMR308" s="37"/>
      <c r="KMS308" s="33"/>
      <c r="KMT308" s="206"/>
      <c r="KMU308" s="207"/>
      <c r="KMV308" s="204"/>
      <c r="KMW308" s="35"/>
      <c r="KMX308" s="202"/>
      <c r="KMY308" s="203"/>
      <c r="KMZ308" s="36"/>
      <c r="KNA308" s="36"/>
      <c r="KNB308" s="205"/>
      <c r="KNC308" s="33"/>
      <c r="KND308" s="37"/>
      <c r="KNE308" s="37"/>
      <c r="KNF308" s="37"/>
      <c r="KNG308" s="37"/>
      <c r="KNH308" s="37"/>
      <c r="KNI308" s="33"/>
      <c r="KNJ308" s="206"/>
      <c r="KNK308" s="207"/>
      <c r="KNL308" s="204"/>
      <c r="KNM308" s="35"/>
      <c r="KNN308" s="202"/>
      <c r="KNO308" s="203"/>
      <c r="KNP308" s="36"/>
      <c r="KNQ308" s="36"/>
      <c r="KNR308" s="205"/>
      <c r="KNS308" s="33"/>
      <c r="KNT308" s="37"/>
      <c r="KNU308" s="37"/>
      <c r="KNV308" s="37"/>
      <c r="KNW308" s="37"/>
      <c r="KNX308" s="37"/>
      <c r="KNY308" s="33"/>
      <c r="KNZ308" s="206"/>
      <c r="KOA308" s="207"/>
      <c r="KOB308" s="204"/>
      <c r="KOC308" s="35"/>
      <c r="KOD308" s="202"/>
      <c r="KOE308" s="203"/>
      <c r="KOF308" s="36"/>
      <c r="KOG308" s="36"/>
      <c r="KOH308" s="205"/>
      <c r="KOI308" s="33"/>
      <c r="KOJ308" s="37"/>
      <c r="KOK308" s="37"/>
      <c r="KOL308" s="37"/>
      <c r="KOM308" s="37"/>
      <c r="KON308" s="37"/>
      <c r="KOO308" s="33"/>
      <c r="KOP308" s="206"/>
      <c r="KOQ308" s="207"/>
      <c r="KOR308" s="204"/>
      <c r="KOS308" s="35"/>
      <c r="KOT308" s="202"/>
      <c r="KOU308" s="203"/>
      <c r="KOV308" s="36"/>
      <c r="KOW308" s="36"/>
      <c r="KOX308" s="205"/>
      <c r="KOY308" s="33"/>
      <c r="KOZ308" s="37"/>
      <c r="KPA308" s="37"/>
      <c r="KPB308" s="37"/>
      <c r="KPC308" s="37"/>
      <c r="KPD308" s="37"/>
      <c r="KPE308" s="33"/>
      <c r="KPF308" s="206"/>
      <c r="KPG308" s="207"/>
      <c r="KPH308" s="204"/>
      <c r="KPI308" s="35"/>
      <c r="KPJ308" s="202"/>
      <c r="KPK308" s="203"/>
      <c r="KPL308" s="36"/>
      <c r="KPM308" s="36"/>
      <c r="KPN308" s="205"/>
      <c r="KPO308" s="33"/>
      <c r="KPP308" s="37"/>
      <c r="KPQ308" s="37"/>
      <c r="KPR308" s="37"/>
      <c r="KPS308" s="37"/>
      <c r="KPT308" s="37"/>
      <c r="KPU308" s="33"/>
      <c r="KPV308" s="206"/>
      <c r="KPW308" s="207"/>
      <c r="KPX308" s="204"/>
      <c r="KPY308" s="35"/>
      <c r="KPZ308" s="202"/>
      <c r="KQA308" s="203"/>
      <c r="KQB308" s="36"/>
      <c r="KQC308" s="36"/>
      <c r="KQD308" s="205"/>
      <c r="KQE308" s="33"/>
      <c r="KQF308" s="37"/>
      <c r="KQG308" s="37"/>
      <c r="KQH308" s="37"/>
      <c r="KQI308" s="37"/>
      <c r="KQJ308" s="37"/>
      <c r="KQK308" s="33"/>
      <c r="KQL308" s="206"/>
      <c r="KQM308" s="207"/>
      <c r="KQN308" s="204"/>
      <c r="KQO308" s="35"/>
      <c r="KQP308" s="202"/>
      <c r="KQQ308" s="203"/>
      <c r="KQR308" s="36"/>
      <c r="KQS308" s="36"/>
      <c r="KQT308" s="205"/>
      <c r="KQU308" s="33"/>
      <c r="KQV308" s="37"/>
      <c r="KQW308" s="37"/>
      <c r="KQX308" s="37"/>
      <c r="KQY308" s="37"/>
      <c r="KQZ308" s="37"/>
      <c r="KRA308" s="33"/>
      <c r="KRB308" s="206"/>
      <c r="KRC308" s="207"/>
      <c r="KRD308" s="204"/>
      <c r="KRE308" s="35"/>
      <c r="KRF308" s="202"/>
      <c r="KRG308" s="203"/>
      <c r="KRH308" s="36"/>
      <c r="KRI308" s="36"/>
      <c r="KRJ308" s="205"/>
      <c r="KRK308" s="33"/>
      <c r="KRL308" s="37"/>
      <c r="KRM308" s="37"/>
      <c r="KRN308" s="37"/>
      <c r="KRO308" s="37"/>
      <c r="KRP308" s="37"/>
      <c r="KRQ308" s="33"/>
      <c r="KRR308" s="206"/>
      <c r="KRS308" s="207"/>
      <c r="KRT308" s="204"/>
      <c r="KRU308" s="35"/>
      <c r="KRV308" s="202"/>
      <c r="KRW308" s="203"/>
      <c r="KRX308" s="36"/>
      <c r="KRY308" s="36"/>
      <c r="KRZ308" s="205"/>
      <c r="KSA308" s="33"/>
      <c r="KSB308" s="37"/>
      <c r="KSC308" s="37"/>
      <c r="KSD308" s="37"/>
      <c r="KSE308" s="37"/>
      <c r="KSF308" s="37"/>
      <c r="KSG308" s="33"/>
      <c r="KSH308" s="206"/>
      <c r="KSI308" s="207"/>
      <c r="KSJ308" s="204"/>
      <c r="KSK308" s="35"/>
      <c r="KSL308" s="202"/>
      <c r="KSM308" s="203"/>
      <c r="KSN308" s="36"/>
      <c r="KSO308" s="36"/>
      <c r="KSP308" s="205"/>
      <c r="KSQ308" s="33"/>
      <c r="KSR308" s="37"/>
      <c r="KSS308" s="37"/>
      <c r="KST308" s="37"/>
      <c r="KSU308" s="37"/>
      <c r="KSV308" s="37"/>
      <c r="KSW308" s="33"/>
      <c r="KSX308" s="206"/>
      <c r="KSY308" s="207"/>
      <c r="KSZ308" s="204"/>
      <c r="KTA308" s="35"/>
      <c r="KTB308" s="202"/>
      <c r="KTC308" s="203"/>
      <c r="KTD308" s="36"/>
      <c r="KTE308" s="36"/>
      <c r="KTF308" s="205"/>
      <c r="KTG308" s="33"/>
      <c r="KTH308" s="37"/>
      <c r="KTI308" s="37"/>
      <c r="KTJ308" s="37"/>
      <c r="KTK308" s="37"/>
      <c r="KTL308" s="37"/>
      <c r="KTM308" s="33"/>
      <c r="KTN308" s="206"/>
      <c r="KTO308" s="207"/>
      <c r="KTP308" s="204"/>
      <c r="KTQ308" s="35"/>
      <c r="KTR308" s="202"/>
      <c r="KTS308" s="203"/>
      <c r="KTT308" s="36"/>
      <c r="KTU308" s="36"/>
      <c r="KTV308" s="205"/>
      <c r="KTW308" s="33"/>
      <c r="KTX308" s="37"/>
      <c r="KTY308" s="37"/>
      <c r="KTZ308" s="37"/>
      <c r="KUA308" s="37"/>
      <c r="KUB308" s="37"/>
      <c r="KUC308" s="33"/>
      <c r="KUD308" s="206"/>
      <c r="KUE308" s="207"/>
      <c r="KUF308" s="204"/>
      <c r="KUG308" s="35"/>
      <c r="KUH308" s="202"/>
      <c r="KUI308" s="203"/>
      <c r="KUJ308" s="36"/>
      <c r="KUK308" s="36"/>
      <c r="KUL308" s="205"/>
      <c r="KUM308" s="33"/>
      <c r="KUN308" s="37"/>
      <c r="KUO308" s="37"/>
      <c r="KUP308" s="37"/>
      <c r="KUQ308" s="37"/>
      <c r="KUR308" s="37"/>
      <c r="KUS308" s="33"/>
      <c r="KUT308" s="206"/>
      <c r="KUU308" s="207"/>
      <c r="KUV308" s="204"/>
      <c r="KUW308" s="35"/>
      <c r="KUX308" s="202"/>
      <c r="KUY308" s="203"/>
      <c r="KUZ308" s="36"/>
      <c r="KVA308" s="36"/>
      <c r="KVB308" s="205"/>
      <c r="KVC308" s="33"/>
      <c r="KVD308" s="37"/>
      <c r="KVE308" s="37"/>
      <c r="KVF308" s="37"/>
      <c r="KVG308" s="37"/>
      <c r="KVH308" s="37"/>
      <c r="KVI308" s="33"/>
      <c r="KVJ308" s="206"/>
      <c r="KVK308" s="207"/>
      <c r="KVL308" s="204"/>
      <c r="KVM308" s="35"/>
      <c r="KVN308" s="202"/>
      <c r="KVO308" s="203"/>
      <c r="KVP308" s="36"/>
      <c r="KVQ308" s="36"/>
      <c r="KVR308" s="205"/>
      <c r="KVS308" s="33"/>
      <c r="KVT308" s="37"/>
      <c r="KVU308" s="37"/>
      <c r="KVV308" s="37"/>
      <c r="KVW308" s="37"/>
      <c r="KVX308" s="37"/>
      <c r="KVY308" s="33"/>
      <c r="KVZ308" s="206"/>
      <c r="KWA308" s="207"/>
      <c r="KWB308" s="204"/>
      <c r="KWC308" s="35"/>
      <c r="KWD308" s="202"/>
      <c r="KWE308" s="203"/>
      <c r="KWF308" s="36"/>
      <c r="KWG308" s="36"/>
      <c r="KWH308" s="205"/>
      <c r="KWI308" s="33"/>
      <c r="KWJ308" s="37"/>
      <c r="KWK308" s="37"/>
      <c r="KWL308" s="37"/>
      <c r="KWM308" s="37"/>
      <c r="KWN308" s="37"/>
      <c r="KWO308" s="33"/>
      <c r="KWP308" s="206"/>
      <c r="KWQ308" s="207"/>
      <c r="KWR308" s="204"/>
      <c r="KWS308" s="35"/>
      <c r="KWT308" s="202"/>
      <c r="KWU308" s="203"/>
      <c r="KWV308" s="36"/>
      <c r="KWW308" s="36"/>
      <c r="KWX308" s="205"/>
      <c r="KWY308" s="33"/>
      <c r="KWZ308" s="37"/>
      <c r="KXA308" s="37"/>
      <c r="KXB308" s="37"/>
      <c r="KXC308" s="37"/>
      <c r="KXD308" s="37"/>
      <c r="KXE308" s="33"/>
      <c r="KXF308" s="206"/>
      <c r="KXG308" s="207"/>
      <c r="KXH308" s="204"/>
      <c r="KXI308" s="35"/>
      <c r="KXJ308" s="202"/>
      <c r="KXK308" s="203"/>
      <c r="KXL308" s="36"/>
      <c r="KXM308" s="36"/>
      <c r="KXN308" s="205"/>
      <c r="KXO308" s="33"/>
      <c r="KXP308" s="37"/>
      <c r="KXQ308" s="37"/>
      <c r="KXR308" s="37"/>
      <c r="KXS308" s="37"/>
      <c r="KXT308" s="37"/>
      <c r="KXU308" s="33"/>
      <c r="KXV308" s="206"/>
      <c r="KXW308" s="207"/>
      <c r="KXX308" s="204"/>
      <c r="KXY308" s="35"/>
      <c r="KXZ308" s="202"/>
      <c r="KYA308" s="203"/>
      <c r="KYB308" s="36"/>
      <c r="KYC308" s="36"/>
      <c r="KYD308" s="205"/>
      <c r="KYE308" s="33"/>
      <c r="KYF308" s="37"/>
      <c r="KYG308" s="37"/>
      <c r="KYH308" s="37"/>
      <c r="KYI308" s="37"/>
      <c r="KYJ308" s="37"/>
      <c r="KYK308" s="33"/>
      <c r="KYL308" s="206"/>
      <c r="KYM308" s="207"/>
      <c r="KYN308" s="204"/>
      <c r="KYO308" s="35"/>
      <c r="KYP308" s="202"/>
      <c r="KYQ308" s="203"/>
      <c r="KYR308" s="36"/>
      <c r="KYS308" s="36"/>
      <c r="KYT308" s="205"/>
      <c r="KYU308" s="33"/>
      <c r="KYV308" s="37"/>
      <c r="KYW308" s="37"/>
      <c r="KYX308" s="37"/>
      <c r="KYY308" s="37"/>
      <c r="KYZ308" s="37"/>
      <c r="KZA308" s="33"/>
      <c r="KZB308" s="206"/>
      <c r="KZC308" s="207"/>
      <c r="KZD308" s="204"/>
      <c r="KZE308" s="35"/>
      <c r="KZF308" s="202"/>
      <c r="KZG308" s="203"/>
      <c r="KZH308" s="36"/>
      <c r="KZI308" s="36"/>
      <c r="KZJ308" s="205"/>
      <c r="KZK308" s="33"/>
      <c r="KZL308" s="37"/>
      <c r="KZM308" s="37"/>
      <c r="KZN308" s="37"/>
      <c r="KZO308" s="37"/>
      <c r="KZP308" s="37"/>
      <c r="KZQ308" s="33"/>
      <c r="KZR308" s="206"/>
      <c r="KZS308" s="207"/>
      <c r="KZT308" s="204"/>
      <c r="KZU308" s="35"/>
      <c r="KZV308" s="202"/>
      <c r="KZW308" s="203"/>
      <c r="KZX308" s="36"/>
      <c r="KZY308" s="36"/>
      <c r="KZZ308" s="205"/>
      <c r="LAA308" s="33"/>
      <c r="LAB308" s="37"/>
      <c r="LAC308" s="37"/>
      <c r="LAD308" s="37"/>
      <c r="LAE308" s="37"/>
      <c r="LAF308" s="37"/>
      <c r="LAG308" s="33"/>
      <c r="LAH308" s="206"/>
      <c r="LAI308" s="207"/>
      <c r="LAJ308" s="204"/>
      <c r="LAK308" s="35"/>
      <c r="LAL308" s="202"/>
      <c r="LAM308" s="203"/>
      <c r="LAN308" s="36"/>
      <c r="LAO308" s="36"/>
      <c r="LAP308" s="205"/>
      <c r="LAQ308" s="33"/>
      <c r="LAR308" s="37"/>
      <c r="LAS308" s="37"/>
      <c r="LAT308" s="37"/>
      <c r="LAU308" s="37"/>
      <c r="LAV308" s="37"/>
      <c r="LAW308" s="33"/>
      <c r="LAX308" s="206"/>
      <c r="LAY308" s="207"/>
      <c r="LAZ308" s="204"/>
      <c r="LBA308" s="35"/>
      <c r="LBB308" s="202"/>
      <c r="LBC308" s="203"/>
      <c r="LBD308" s="36"/>
      <c r="LBE308" s="36"/>
      <c r="LBF308" s="205"/>
      <c r="LBG308" s="33"/>
      <c r="LBH308" s="37"/>
      <c r="LBI308" s="37"/>
      <c r="LBJ308" s="37"/>
      <c r="LBK308" s="37"/>
      <c r="LBL308" s="37"/>
      <c r="LBM308" s="33"/>
      <c r="LBN308" s="206"/>
      <c r="LBO308" s="207"/>
      <c r="LBP308" s="204"/>
      <c r="LBQ308" s="35"/>
      <c r="LBR308" s="202"/>
      <c r="LBS308" s="203"/>
      <c r="LBT308" s="36"/>
      <c r="LBU308" s="36"/>
      <c r="LBV308" s="205"/>
      <c r="LBW308" s="33"/>
      <c r="LBX308" s="37"/>
      <c r="LBY308" s="37"/>
      <c r="LBZ308" s="37"/>
      <c r="LCA308" s="37"/>
      <c r="LCB308" s="37"/>
      <c r="LCC308" s="33"/>
      <c r="LCD308" s="206"/>
      <c r="LCE308" s="207"/>
      <c r="LCF308" s="204"/>
      <c r="LCG308" s="35"/>
      <c r="LCH308" s="202"/>
      <c r="LCI308" s="203"/>
      <c r="LCJ308" s="36"/>
      <c r="LCK308" s="36"/>
      <c r="LCL308" s="205"/>
      <c r="LCM308" s="33"/>
      <c r="LCN308" s="37"/>
      <c r="LCO308" s="37"/>
      <c r="LCP308" s="37"/>
      <c r="LCQ308" s="37"/>
      <c r="LCR308" s="37"/>
      <c r="LCS308" s="33"/>
      <c r="LCT308" s="206"/>
      <c r="LCU308" s="207"/>
      <c r="LCV308" s="204"/>
      <c r="LCW308" s="35"/>
      <c r="LCX308" s="202"/>
      <c r="LCY308" s="203"/>
      <c r="LCZ308" s="36"/>
      <c r="LDA308" s="36"/>
      <c r="LDB308" s="205"/>
      <c r="LDC308" s="33"/>
      <c r="LDD308" s="37"/>
      <c r="LDE308" s="37"/>
      <c r="LDF308" s="37"/>
      <c r="LDG308" s="37"/>
      <c r="LDH308" s="37"/>
      <c r="LDI308" s="33"/>
      <c r="LDJ308" s="206"/>
      <c r="LDK308" s="207"/>
      <c r="LDL308" s="204"/>
      <c r="LDM308" s="35"/>
      <c r="LDN308" s="202"/>
      <c r="LDO308" s="203"/>
      <c r="LDP308" s="36"/>
      <c r="LDQ308" s="36"/>
      <c r="LDR308" s="205"/>
      <c r="LDS308" s="33"/>
      <c r="LDT308" s="37"/>
      <c r="LDU308" s="37"/>
      <c r="LDV308" s="37"/>
      <c r="LDW308" s="37"/>
      <c r="LDX308" s="37"/>
      <c r="LDY308" s="33"/>
      <c r="LDZ308" s="206"/>
      <c r="LEA308" s="207"/>
      <c r="LEB308" s="204"/>
      <c r="LEC308" s="35"/>
      <c r="LED308" s="202"/>
      <c r="LEE308" s="203"/>
      <c r="LEF308" s="36"/>
      <c r="LEG308" s="36"/>
      <c r="LEH308" s="205"/>
      <c r="LEI308" s="33"/>
      <c r="LEJ308" s="37"/>
      <c r="LEK308" s="37"/>
      <c r="LEL308" s="37"/>
      <c r="LEM308" s="37"/>
      <c r="LEN308" s="37"/>
      <c r="LEO308" s="33"/>
      <c r="LEP308" s="206"/>
      <c r="LEQ308" s="207"/>
      <c r="LER308" s="204"/>
      <c r="LES308" s="35"/>
      <c r="LET308" s="202"/>
      <c r="LEU308" s="203"/>
      <c r="LEV308" s="36"/>
      <c r="LEW308" s="36"/>
      <c r="LEX308" s="205"/>
      <c r="LEY308" s="33"/>
      <c r="LEZ308" s="37"/>
      <c r="LFA308" s="37"/>
      <c r="LFB308" s="37"/>
      <c r="LFC308" s="37"/>
      <c r="LFD308" s="37"/>
      <c r="LFE308" s="33"/>
      <c r="LFF308" s="206"/>
      <c r="LFG308" s="207"/>
      <c r="LFH308" s="204"/>
      <c r="LFI308" s="35"/>
      <c r="LFJ308" s="202"/>
      <c r="LFK308" s="203"/>
      <c r="LFL308" s="36"/>
      <c r="LFM308" s="36"/>
      <c r="LFN308" s="205"/>
      <c r="LFO308" s="33"/>
      <c r="LFP308" s="37"/>
      <c r="LFQ308" s="37"/>
      <c r="LFR308" s="37"/>
      <c r="LFS308" s="37"/>
      <c r="LFT308" s="37"/>
      <c r="LFU308" s="33"/>
      <c r="LFV308" s="206"/>
      <c r="LFW308" s="207"/>
      <c r="LFX308" s="204"/>
      <c r="LFY308" s="35"/>
      <c r="LFZ308" s="202"/>
      <c r="LGA308" s="203"/>
      <c r="LGB308" s="36"/>
      <c r="LGC308" s="36"/>
      <c r="LGD308" s="205"/>
      <c r="LGE308" s="33"/>
      <c r="LGF308" s="37"/>
      <c r="LGG308" s="37"/>
      <c r="LGH308" s="37"/>
      <c r="LGI308" s="37"/>
      <c r="LGJ308" s="37"/>
      <c r="LGK308" s="33"/>
      <c r="LGL308" s="206"/>
      <c r="LGM308" s="207"/>
      <c r="LGN308" s="204"/>
      <c r="LGO308" s="35"/>
      <c r="LGP308" s="202"/>
      <c r="LGQ308" s="203"/>
      <c r="LGR308" s="36"/>
      <c r="LGS308" s="36"/>
      <c r="LGT308" s="205"/>
      <c r="LGU308" s="33"/>
      <c r="LGV308" s="37"/>
      <c r="LGW308" s="37"/>
      <c r="LGX308" s="37"/>
      <c r="LGY308" s="37"/>
      <c r="LGZ308" s="37"/>
      <c r="LHA308" s="33"/>
      <c r="LHB308" s="206"/>
      <c r="LHC308" s="207"/>
      <c r="LHD308" s="204"/>
      <c r="LHE308" s="35"/>
      <c r="LHF308" s="202"/>
      <c r="LHG308" s="203"/>
      <c r="LHH308" s="36"/>
      <c r="LHI308" s="36"/>
      <c r="LHJ308" s="205"/>
      <c r="LHK308" s="33"/>
      <c r="LHL308" s="37"/>
      <c r="LHM308" s="37"/>
      <c r="LHN308" s="37"/>
      <c r="LHO308" s="37"/>
      <c r="LHP308" s="37"/>
      <c r="LHQ308" s="33"/>
      <c r="LHR308" s="206"/>
      <c r="LHS308" s="207"/>
      <c r="LHT308" s="204"/>
      <c r="LHU308" s="35"/>
      <c r="LHV308" s="202"/>
      <c r="LHW308" s="203"/>
      <c r="LHX308" s="36"/>
      <c r="LHY308" s="36"/>
      <c r="LHZ308" s="205"/>
      <c r="LIA308" s="33"/>
      <c r="LIB308" s="37"/>
      <c r="LIC308" s="37"/>
      <c r="LID308" s="37"/>
      <c r="LIE308" s="37"/>
      <c r="LIF308" s="37"/>
      <c r="LIG308" s="33"/>
      <c r="LIH308" s="206"/>
      <c r="LII308" s="207"/>
      <c r="LIJ308" s="204"/>
      <c r="LIK308" s="35"/>
      <c r="LIL308" s="202"/>
      <c r="LIM308" s="203"/>
      <c r="LIN308" s="36"/>
      <c r="LIO308" s="36"/>
      <c r="LIP308" s="205"/>
      <c r="LIQ308" s="33"/>
      <c r="LIR308" s="37"/>
      <c r="LIS308" s="37"/>
      <c r="LIT308" s="37"/>
      <c r="LIU308" s="37"/>
      <c r="LIV308" s="37"/>
      <c r="LIW308" s="33"/>
      <c r="LIX308" s="206"/>
      <c r="LIY308" s="207"/>
      <c r="LIZ308" s="204"/>
      <c r="LJA308" s="35"/>
      <c r="LJB308" s="202"/>
      <c r="LJC308" s="203"/>
      <c r="LJD308" s="36"/>
      <c r="LJE308" s="36"/>
      <c r="LJF308" s="205"/>
      <c r="LJG308" s="33"/>
      <c r="LJH308" s="37"/>
      <c r="LJI308" s="37"/>
      <c r="LJJ308" s="37"/>
      <c r="LJK308" s="37"/>
      <c r="LJL308" s="37"/>
      <c r="LJM308" s="33"/>
      <c r="LJN308" s="206"/>
      <c r="LJO308" s="207"/>
      <c r="LJP308" s="204"/>
      <c r="LJQ308" s="35"/>
      <c r="LJR308" s="202"/>
      <c r="LJS308" s="203"/>
      <c r="LJT308" s="36"/>
      <c r="LJU308" s="36"/>
      <c r="LJV308" s="205"/>
      <c r="LJW308" s="33"/>
      <c r="LJX308" s="37"/>
      <c r="LJY308" s="37"/>
      <c r="LJZ308" s="37"/>
      <c r="LKA308" s="37"/>
      <c r="LKB308" s="37"/>
      <c r="LKC308" s="33"/>
      <c r="LKD308" s="206"/>
      <c r="LKE308" s="207"/>
      <c r="LKF308" s="204"/>
      <c r="LKG308" s="35"/>
      <c r="LKH308" s="202"/>
      <c r="LKI308" s="203"/>
      <c r="LKJ308" s="36"/>
      <c r="LKK308" s="36"/>
      <c r="LKL308" s="205"/>
      <c r="LKM308" s="33"/>
      <c r="LKN308" s="37"/>
      <c r="LKO308" s="37"/>
      <c r="LKP308" s="37"/>
      <c r="LKQ308" s="37"/>
      <c r="LKR308" s="37"/>
      <c r="LKS308" s="33"/>
      <c r="LKT308" s="206"/>
      <c r="LKU308" s="207"/>
      <c r="LKV308" s="204"/>
      <c r="LKW308" s="35"/>
      <c r="LKX308" s="202"/>
      <c r="LKY308" s="203"/>
      <c r="LKZ308" s="36"/>
      <c r="LLA308" s="36"/>
      <c r="LLB308" s="205"/>
      <c r="LLC308" s="33"/>
      <c r="LLD308" s="37"/>
      <c r="LLE308" s="37"/>
      <c r="LLF308" s="37"/>
      <c r="LLG308" s="37"/>
      <c r="LLH308" s="37"/>
      <c r="LLI308" s="33"/>
      <c r="LLJ308" s="206"/>
      <c r="LLK308" s="207"/>
      <c r="LLL308" s="204"/>
      <c r="LLM308" s="35"/>
      <c r="LLN308" s="202"/>
      <c r="LLO308" s="203"/>
      <c r="LLP308" s="36"/>
      <c r="LLQ308" s="36"/>
      <c r="LLR308" s="205"/>
      <c r="LLS308" s="33"/>
      <c r="LLT308" s="37"/>
      <c r="LLU308" s="37"/>
      <c r="LLV308" s="37"/>
      <c r="LLW308" s="37"/>
      <c r="LLX308" s="37"/>
      <c r="LLY308" s="33"/>
      <c r="LLZ308" s="206"/>
      <c r="LMA308" s="207"/>
      <c r="LMB308" s="204"/>
      <c r="LMC308" s="35"/>
      <c r="LMD308" s="202"/>
      <c r="LME308" s="203"/>
      <c r="LMF308" s="36"/>
      <c r="LMG308" s="36"/>
      <c r="LMH308" s="205"/>
      <c r="LMI308" s="33"/>
      <c r="LMJ308" s="37"/>
      <c r="LMK308" s="37"/>
      <c r="LML308" s="37"/>
      <c r="LMM308" s="37"/>
      <c r="LMN308" s="37"/>
      <c r="LMO308" s="33"/>
      <c r="LMP308" s="206"/>
      <c r="LMQ308" s="207"/>
      <c r="LMR308" s="204"/>
      <c r="LMS308" s="35"/>
      <c r="LMT308" s="202"/>
      <c r="LMU308" s="203"/>
      <c r="LMV308" s="36"/>
      <c r="LMW308" s="36"/>
      <c r="LMX308" s="205"/>
      <c r="LMY308" s="33"/>
      <c r="LMZ308" s="37"/>
      <c r="LNA308" s="37"/>
      <c r="LNB308" s="37"/>
      <c r="LNC308" s="37"/>
      <c r="LND308" s="37"/>
      <c r="LNE308" s="33"/>
      <c r="LNF308" s="206"/>
      <c r="LNG308" s="207"/>
      <c r="LNH308" s="204"/>
      <c r="LNI308" s="35"/>
      <c r="LNJ308" s="202"/>
      <c r="LNK308" s="203"/>
      <c r="LNL308" s="36"/>
      <c r="LNM308" s="36"/>
      <c r="LNN308" s="205"/>
      <c r="LNO308" s="33"/>
      <c r="LNP308" s="37"/>
      <c r="LNQ308" s="37"/>
      <c r="LNR308" s="37"/>
      <c r="LNS308" s="37"/>
      <c r="LNT308" s="37"/>
      <c r="LNU308" s="33"/>
      <c r="LNV308" s="206"/>
      <c r="LNW308" s="207"/>
      <c r="LNX308" s="204"/>
      <c r="LNY308" s="35"/>
      <c r="LNZ308" s="202"/>
      <c r="LOA308" s="203"/>
      <c r="LOB308" s="36"/>
      <c r="LOC308" s="36"/>
      <c r="LOD308" s="205"/>
      <c r="LOE308" s="33"/>
      <c r="LOF308" s="37"/>
      <c r="LOG308" s="37"/>
      <c r="LOH308" s="37"/>
      <c r="LOI308" s="37"/>
      <c r="LOJ308" s="37"/>
      <c r="LOK308" s="33"/>
      <c r="LOL308" s="206"/>
      <c r="LOM308" s="207"/>
      <c r="LON308" s="204"/>
      <c r="LOO308" s="35"/>
      <c r="LOP308" s="202"/>
      <c r="LOQ308" s="203"/>
      <c r="LOR308" s="36"/>
      <c r="LOS308" s="36"/>
      <c r="LOT308" s="205"/>
      <c r="LOU308" s="33"/>
      <c r="LOV308" s="37"/>
      <c r="LOW308" s="37"/>
      <c r="LOX308" s="37"/>
      <c r="LOY308" s="37"/>
      <c r="LOZ308" s="37"/>
      <c r="LPA308" s="33"/>
      <c r="LPB308" s="206"/>
      <c r="LPC308" s="207"/>
      <c r="LPD308" s="204"/>
      <c r="LPE308" s="35"/>
      <c r="LPF308" s="202"/>
      <c r="LPG308" s="203"/>
      <c r="LPH308" s="36"/>
      <c r="LPI308" s="36"/>
      <c r="LPJ308" s="205"/>
      <c r="LPK308" s="33"/>
      <c r="LPL308" s="37"/>
      <c r="LPM308" s="37"/>
      <c r="LPN308" s="37"/>
      <c r="LPO308" s="37"/>
      <c r="LPP308" s="37"/>
      <c r="LPQ308" s="33"/>
      <c r="LPR308" s="206"/>
      <c r="LPS308" s="207"/>
      <c r="LPT308" s="204"/>
      <c r="LPU308" s="35"/>
      <c r="LPV308" s="202"/>
      <c r="LPW308" s="203"/>
      <c r="LPX308" s="36"/>
      <c r="LPY308" s="36"/>
      <c r="LPZ308" s="205"/>
      <c r="LQA308" s="33"/>
      <c r="LQB308" s="37"/>
      <c r="LQC308" s="37"/>
      <c r="LQD308" s="37"/>
      <c r="LQE308" s="37"/>
      <c r="LQF308" s="37"/>
      <c r="LQG308" s="33"/>
      <c r="LQH308" s="206"/>
      <c r="LQI308" s="207"/>
      <c r="LQJ308" s="204"/>
      <c r="LQK308" s="35"/>
      <c r="LQL308" s="202"/>
      <c r="LQM308" s="203"/>
      <c r="LQN308" s="36"/>
      <c r="LQO308" s="36"/>
      <c r="LQP308" s="205"/>
      <c r="LQQ308" s="33"/>
      <c r="LQR308" s="37"/>
      <c r="LQS308" s="37"/>
      <c r="LQT308" s="37"/>
      <c r="LQU308" s="37"/>
      <c r="LQV308" s="37"/>
      <c r="LQW308" s="33"/>
      <c r="LQX308" s="206"/>
      <c r="LQY308" s="207"/>
      <c r="LQZ308" s="204"/>
      <c r="LRA308" s="35"/>
      <c r="LRB308" s="202"/>
      <c r="LRC308" s="203"/>
      <c r="LRD308" s="36"/>
      <c r="LRE308" s="36"/>
      <c r="LRF308" s="205"/>
      <c r="LRG308" s="33"/>
      <c r="LRH308" s="37"/>
      <c r="LRI308" s="37"/>
      <c r="LRJ308" s="37"/>
      <c r="LRK308" s="37"/>
      <c r="LRL308" s="37"/>
      <c r="LRM308" s="33"/>
      <c r="LRN308" s="206"/>
      <c r="LRO308" s="207"/>
      <c r="LRP308" s="204"/>
      <c r="LRQ308" s="35"/>
      <c r="LRR308" s="202"/>
      <c r="LRS308" s="203"/>
      <c r="LRT308" s="36"/>
      <c r="LRU308" s="36"/>
      <c r="LRV308" s="205"/>
      <c r="LRW308" s="33"/>
      <c r="LRX308" s="37"/>
      <c r="LRY308" s="37"/>
      <c r="LRZ308" s="37"/>
      <c r="LSA308" s="37"/>
      <c r="LSB308" s="37"/>
      <c r="LSC308" s="33"/>
      <c r="LSD308" s="206"/>
      <c r="LSE308" s="207"/>
      <c r="LSF308" s="204"/>
      <c r="LSG308" s="35"/>
      <c r="LSH308" s="202"/>
      <c r="LSI308" s="203"/>
      <c r="LSJ308" s="36"/>
      <c r="LSK308" s="36"/>
      <c r="LSL308" s="205"/>
      <c r="LSM308" s="33"/>
      <c r="LSN308" s="37"/>
      <c r="LSO308" s="37"/>
      <c r="LSP308" s="37"/>
      <c r="LSQ308" s="37"/>
      <c r="LSR308" s="37"/>
      <c r="LSS308" s="33"/>
      <c r="LST308" s="206"/>
      <c r="LSU308" s="207"/>
      <c r="LSV308" s="204"/>
      <c r="LSW308" s="35"/>
      <c r="LSX308" s="202"/>
      <c r="LSY308" s="203"/>
      <c r="LSZ308" s="36"/>
      <c r="LTA308" s="36"/>
      <c r="LTB308" s="205"/>
      <c r="LTC308" s="33"/>
      <c r="LTD308" s="37"/>
      <c r="LTE308" s="37"/>
      <c r="LTF308" s="37"/>
      <c r="LTG308" s="37"/>
      <c r="LTH308" s="37"/>
      <c r="LTI308" s="33"/>
      <c r="LTJ308" s="206"/>
      <c r="LTK308" s="207"/>
      <c r="LTL308" s="204"/>
      <c r="LTM308" s="35"/>
      <c r="LTN308" s="202"/>
      <c r="LTO308" s="203"/>
      <c r="LTP308" s="36"/>
      <c r="LTQ308" s="36"/>
      <c r="LTR308" s="205"/>
      <c r="LTS308" s="33"/>
      <c r="LTT308" s="37"/>
      <c r="LTU308" s="37"/>
      <c r="LTV308" s="37"/>
      <c r="LTW308" s="37"/>
      <c r="LTX308" s="37"/>
      <c r="LTY308" s="33"/>
      <c r="LTZ308" s="206"/>
      <c r="LUA308" s="207"/>
      <c r="LUB308" s="204"/>
      <c r="LUC308" s="35"/>
      <c r="LUD308" s="202"/>
      <c r="LUE308" s="203"/>
      <c r="LUF308" s="36"/>
      <c r="LUG308" s="36"/>
      <c r="LUH308" s="205"/>
      <c r="LUI308" s="33"/>
      <c r="LUJ308" s="37"/>
      <c r="LUK308" s="37"/>
      <c r="LUL308" s="37"/>
      <c r="LUM308" s="37"/>
      <c r="LUN308" s="37"/>
      <c r="LUO308" s="33"/>
      <c r="LUP308" s="206"/>
      <c r="LUQ308" s="207"/>
      <c r="LUR308" s="204"/>
      <c r="LUS308" s="35"/>
      <c r="LUT308" s="202"/>
      <c r="LUU308" s="203"/>
      <c r="LUV308" s="36"/>
      <c r="LUW308" s="36"/>
      <c r="LUX308" s="205"/>
      <c r="LUY308" s="33"/>
      <c r="LUZ308" s="37"/>
      <c r="LVA308" s="37"/>
      <c r="LVB308" s="37"/>
      <c r="LVC308" s="37"/>
      <c r="LVD308" s="37"/>
      <c r="LVE308" s="33"/>
      <c r="LVF308" s="206"/>
      <c r="LVG308" s="207"/>
      <c r="LVH308" s="204"/>
      <c r="LVI308" s="35"/>
      <c r="LVJ308" s="202"/>
      <c r="LVK308" s="203"/>
      <c r="LVL308" s="36"/>
      <c r="LVM308" s="36"/>
      <c r="LVN308" s="205"/>
      <c r="LVO308" s="33"/>
      <c r="LVP308" s="37"/>
      <c r="LVQ308" s="37"/>
      <c r="LVR308" s="37"/>
      <c r="LVS308" s="37"/>
      <c r="LVT308" s="37"/>
      <c r="LVU308" s="33"/>
      <c r="LVV308" s="206"/>
      <c r="LVW308" s="207"/>
      <c r="LVX308" s="204"/>
      <c r="LVY308" s="35"/>
      <c r="LVZ308" s="202"/>
      <c r="LWA308" s="203"/>
      <c r="LWB308" s="36"/>
      <c r="LWC308" s="36"/>
      <c r="LWD308" s="205"/>
      <c r="LWE308" s="33"/>
      <c r="LWF308" s="37"/>
      <c r="LWG308" s="37"/>
      <c r="LWH308" s="37"/>
      <c r="LWI308" s="37"/>
      <c r="LWJ308" s="37"/>
      <c r="LWK308" s="33"/>
      <c r="LWL308" s="206"/>
      <c r="LWM308" s="207"/>
      <c r="LWN308" s="204"/>
      <c r="LWO308" s="35"/>
      <c r="LWP308" s="202"/>
      <c r="LWQ308" s="203"/>
      <c r="LWR308" s="36"/>
      <c r="LWS308" s="36"/>
      <c r="LWT308" s="205"/>
      <c r="LWU308" s="33"/>
      <c r="LWV308" s="37"/>
      <c r="LWW308" s="37"/>
      <c r="LWX308" s="37"/>
      <c r="LWY308" s="37"/>
      <c r="LWZ308" s="37"/>
      <c r="LXA308" s="33"/>
      <c r="LXB308" s="206"/>
      <c r="LXC308" s="207"/>
      <c r="LXD308" s="204"/>
      <c r="LXE308" s="35"/>
      <c r="LXF308" s="202"/>
      <c r="LXG308" s="203"/>
      <c r="LXH308" s="36"/>
      <c r="LXI308" s="36"/>
      <c r="LXJ308" s="205"/>
      <c r="LXK308" s="33"/>
      <c r="LXL308" s="37"/>
      <c r="LXM308" s="37"/>
      <c r="LXN308" s="37"/>
      <c r="LXO308" s="37"/>
      <c r="LXP308" s="37"/>
      <c r="LXQ308" s="33"/>
      <c r="LXR308" s="206"/>
      <c r="LXS308" s="207"/>
      <c r="LXT308" s="204"/>
      <c r="LXU308" s="35"/>
      <c r="LXV308" s="202"/>
      <c r="LXW308" s="203"/>
      <c r="LXX308" s="36"/>
      <c r="LXY308" s="36"/>
      <c r="LXZ308" s="205"/>
      <c r="LYA308" s="33"/>
      <c r="LYB308" s="37"/>
      <c r="LYC308" s="37"/>
      <c r="LYD308" s="37"/>
      <c r="LYE308" s="37"/>
      <c r="LYF308" s="37"/>
      <c r="LYG308" s="33"/>
      <c r="LYH308" s="206"/>
      <c r="LYI308" s="207"/>
      <c r="LYJ308" s="204"/>
      <c r="LYK308" s="35"/>
      <c r="LYL308" s="202"/>
      <c r="LYM308" s="203"/>
      <c r="LYN308" s="36"/>
      <c r="LYO308" s="36"/>
      <c r="LYP308" s="205"/>
      <c r="LYQ308" s="33"/>
      <c r="LYR308" s="37"/>
      <c r="LYS308" s="37"/>
      <c r="LYT308" s="37"/>
      <c r="LYU308" s="37"/>
      <c r="LYV308" s="37"/>
      <c r="LYW308" s="33"/>
      <c r="LYX308" s="206"/>
      <c r="LYY308" s="207"/>
      <c r="LYZ308" s="204"/>
      <c r="LZA308" s="35"/>
      <c r="LZB308" s="202"/>
      <c r="LZC308" s="203"/>
      <c r="LZD308" s="36"/>
      <c r="LZE308" s="36"/>
      <c r="LZF308" s="205"/>
      <c r="LZG308" s="33"/>
      <c r="LZH308" s="37"/>
      <c r="LZI308" s="37"/>
      <c r="LZJ308" s="37"/>
      <c r="LZK308" s="37"/>
      <c r="LZL308" s="37"/>
      <c r="LZM308" s="33"/>
      <c r="LZN308" s="206"/>
      <c r="LZO308" s="207"/>
      <c r="LZP308" s="204"/>
      <c r="LZQ308" s="35"/>
      <c r="LZR308" s="202"/>
      <c r="LZS308" s="203"/>
      <c r="LZT308" s="36"/>
      <c r="LZU308" s="36"/>
      <c r="LZV308" s="205"/>
      <c r="LZW308" s="33"/>
      <c r="LZX308" s="37"/>
      <c r="LZY308" s="37"/>
      <c r="LZZ308" s="37"/>
      <c r="MAA308" s="37"/>
      <c r="MAB308" s="37"/>
      <c r="MAC308" s="33"/>
      <c r="MAD308" s="206"/>
      <c r="MAE308" s="207"/>
      <c r="MAF308" s="204"/>
      <c r="MAG308" s="35"/>
      <c r="MAH308" s="202"/>
      <c r="MAI308" s="203"/>
      <c r="MAJ308" s="36"/>
      <c r="MAK308" s="36"/>
      <c r="MAL308" s="205"/>
      <c r="MAM308" s="33"/>
      <c r="MAN308" s="37"/>
      <c r="MAO308" s="37"/>
      <c r="MAP308" s="37"/>
      <c r="MAQ308" s="37"/>
      <c r="MAR308" s="37"/>
      <c r="MAS308" s="33"/>
      <c r="MAT308" s="206"/>
      <c r="MAU308" s="207"/>
      <c r="MAV308" s="204"/>
      <c r="MAW308" s="35"/>
      <c r="MAX308" s="202"/>
      <c r="MAY308" s="203"/>
      <c r="MAZ308" s="36"/>
      <c r="MBA308" s="36"/>
      <c r="MBB308" s="205"/>
      <c r="MBC308" s="33"/>
      <c r="MBD308" s="37"/>
      <c r="MBE308" s="37"/>
      <c r="MBF308" s="37"/>
      <c r="MBG308" s="37"/>
      <c r="MBH308" s="37"/>
      <c r="MBI308" s="33"/>
      <c r="MBJ308" s="206"/>
      <c r="MBK308" s="207"/>
      <c r="MBL308" s="204"/>
      <c r="MBM308" s="35"/>
      <c r="MBN308" s="202"/>
      <c r="MBO308" s="203"/>
      <c r="MBP308" s="36"/>
      <c r="MBQ308" s="36"/>
      <c r="MBR308" s="205"/>
      <c r="MBS308" s="33"/>
      <c r="MBT308" s="37"/>
      <c r="MBU308" s="37"/>
      <c r="MBV308" s="37"/>
      <c r="MBW308" s="37"/>
      <c r="MBX308" s="37"/>
      <c r="MBY308" s="33"/>
      <c r="MBZ308" s="206"/>
      <c r="MCA308" s="207"/>
      <c r="MCB308" s="204"/>
      <c r="MCC308" s="35"/>
      <c r="MCD308" s="202"/>
      <c r="MCE308" s="203"/>
      <c r="MCF308" s="36"/>
      <c r="MCG308" s="36"/>
      <c r="MCH308" s="205"/>
      <c r="MCI308" s="33"/>
      <c r="MCJ308" s="37"/>
      <c r="MCK308" s="37"/>
      <c r="MCL308" s="37"/>
      <c r="MCM308" s="37"/>
      <c r="MCN308" s="37"/>
      <c r="MCO308" s="33"/>
      <c r="MCP308" s="206"/>
      <c r="MCQ308" s="207"/>
      <c r="MCR308" s="204"/>
      <c r="MCS308" s="35"/>
      <c r="MCT308" s="202"/>
      <c r="MCU308" s="203"/>
      <c r="MCV308" s="36"/>
      <c r="MCW308" s="36"/>
      <c r="MCX308" s="205"/>
      <c r="MCY308" s="33"/>
      <c r="MCZ308" s="37"/>
      <c r="MDA308" s="37"/>
      <c r="MDB308" s="37"/>
      <c r="MDC308" s="37"/>
      <c r="MDD308" s="37"/>
      <c r="MDE308" s="33"/>
      <c r="MDF308" s="206"/>
      <c r="MDG308" s="207"/>
      <c r="MDH308" s="204"/>
      <c r="MDI308" s="35"/>
      <c r="MDJ308" s="202"/>
      <c r="MDK308" s="203"/>
      <c r="MDL308" s="36"/>
      <c r="MDM308" s="36"/>
      <c r="MDN308" s="205"/>
      <c r="MDO308" s="33"/>
      <c r="MDP308" s="37"/>
      <c r="MDQ308" s="37"/>
      <c r="MDR308" s="37"/>
      <c r="MDS308" s="37"/>
      <c r="MDT308" s="37"/>
      <c r="MDU308" s="33"/>
      <c r="MDV308" s="206"/>
      <c r="MDW308" s="207"/>
      <c r="MDX308" s="204"/>
      <c r="MDY308" s="35"/>
      <c r="MDZ308" s="202"/>
      <c r="MEA308" s="203"/>
      <c r="MEB308" s="36"/>
      <c r="MEC308" s="36"/>
      <c r="MED308" s="205"/>
      <c r="MEE308" s="33"/>
      <c r="MEF308" s="37"/>
      <c r="MEG308" s="37"/>
      <c r="MEH308" s="37"/>
      <c r="MEI308" s="37"/>
      <c r="MEJ308" s="37"/>
      <c r="MEK308" s="33"/>
      <c r="MEL308" s="206"/>
      <c r="MEM308" s="207"/>
      <c r="MEN308" s="204"/>
      <c r="MEO308" s="35"/>
      <c r="MEP308" s="202"/>
      <c r="MEQ308" s="203"/>
      <c r="MER308" s="36"/>
      <c r="MES308" s="36"/>
      <c r="MET308" s="205"/>
      <c r="MEU308" s="33"/>
      <c r="MEV308" s="37"/>
      <c r="MEW308" s="37"/>
      <c r="MEX308" s="37"/>
      <c r="MEY308" s="37"/>
      <c r="MEZ308" s="37"/>
      <c r="MFA308" s="33"/>
      <c r="MFB308" s="206"/>
      <c r="MFC308" s="207"/>
      <c r="MFD308" s="204"/>
      <c r="MFE308" s="35"/>
      <c r="MFF308" s="202"/>
      <c r="MFG308" s="203"/>
      <c r="MFH308" s="36"/>
      <c r="MFI308" s="36"/>
      <c r="MFJ308" s="205"/>
      <c r="MFK308" s="33"/>
      <c r="MFL308" s="37"/>
      <c r="MFM308" s="37"/>
      <c r="MFN308" s="37"/>
      <c r="MFO308" s="37"/>
      <c r="MFP308" s="37"/>
      <c r="MFQ308" s="33"/>
      <c r="MFR308" s="206"/>
      <c r="MFS308" s="207"/>
      <c r="MFT308" s="204"/>
      <c r="MFU308" s="35"/>
      <c r="MFV308" s="202"/>
      <c r="MFW308" s="203"/>
      <c r="MFX308" s="36"/>
      <c r="MFY308" s="36"/>
      <c r="MFZ308" s="205"/>
      <c r="MGA308" s="33"/>
      <c r="MGB308" s="37"/>
      <c r="MGC308" s="37"/>
      <c r="MGD308" s="37"/>
      <c r="MGE308" s="37"/>
      <c r="MGF308" s="37"/>
      <c r="MGG308" s="33"/>
      <c r="MGH308" s="206"/>
      <c r="MGI308" s="207"/>
      <c r="MGJ308" s="204"/>
      <c r="MGK308" s="35"/>
      <c r="MGL308" s="202"/>
      <c r="MGM308" s="203"/>
      <c r="MGN308" s="36"/>
      <c r="MGO308" s="36"/>
      <c r="MGP308" s="205"/>
      <c r="MGQ308" s="33"/>
      <c r="MGR308" s="37"/>
      <c r="MGS308" s="37"/>
      <c r="MGT308" s="37"/>
      <c r="MGU308" s="37"/>
      <c r="MGV308" s="37"/>
      <c r="MGW308" s="33"/>
      <c r="MGX308" s="206"/>
      <c r="MGY308" s="207"/>
      <c r="MGZ308" s="204"/>
      <c r="MHA308" s="35"/>
      <c r="MHB308" s="202"/>
      <c r="MHC308" s="203"/>
      <c r="MHD308" s="36"/>
      <c r="MHE308" s="36"/>
      <c r="MHF308" s="205"/>
      <c r="MHG308" s="33"/>
      <c r="MHH308" s="37"/>
      <c r="MHI308" s="37"/>
      <c r="MHJ308" s="37"/>
      <c r="MHK308" s="37"/>
      <c r="MHL308" s="37"/>
      <c r="MHM308" s="33"/>
      <c r="MHN308" s="206"/>
      <c r="MHO308" s="207"/>
      <c r="MHP308" s="204"/>
      <c r="MHQ308" s="35"/>
      <c r="MHR308" s="202"/>
      <c r="MHS308" s="203"/>
      <c r="MHT308" s="36"/>
      <c r="MHU308" s="36"/>
      <c r="MHV308" s="205"/>
      <c r="MHW308" s="33"/>
      <c r="MHX308" s="37"/>
      <c r="MHY308" s="37"/>
      <c r="MHZ308" s="37"/>
      <c r="MIA308" s="37"/>
      <c r="MIB308" s="37"/>
      <c r="MIC308" s="33"/>
      <c r="MID308" s="206"/>
      <c r="MIE308" s="207"/>
      <c r="MIF308" s="204"/>
      <c r="MIG308" s="35"/>
      <c r="MIH308" s="202"/>
      <c r="MII308" s="203"/>
      <c r="MIJ308" s="36"/>
      <c r="MIK308" s="36"/>
      <c r="MIL308" s="205"/>
      <c r="MIM308" s="33"/>
      <c r="MIN308" s="37"/>
      <c r="MIO308" s="37"/>
      <c r="MIP308" s="37"/>
      <c r="MIQ308" s="37"/>
      <c r="MIR308" s="37"/>
      <c r="MIS308" s="33"/>
      <c r="MIT308" s="206"/>
      <c r="MIU308" s="207"/>
      <c r="MIV308" s="204"/>
      <c r="MIW308" s="35"/>
      <c r="MIX308" s="202"/>
      <c r="MIY308" s="203"/>
      <c r="MIZ308" s="36"/>
      <c r="MJA308" s="36"/>
      <c r="MJB308" s="205"/>
      <c r="MJC308" s="33"/>
      <c r="MJD308" s="37"/>
      <c r="MJE308" s="37"/>
      <c r="MJF308" s="37"/>
      <c r="MJG308" s="37"/>
      <c r="MJH308" s="37"/>
      <c r="MJI308" s="33"/>
      <c r="MJJ308" s="206"/>
      <c r="MJK308" s="207"/>
      <c r="MJL308" s="204"/>
      <c r="MJM308" s="35"/>
      <c r="MJN308" s="202"/>
      <c r="MJO308" s="203"/>
      <c r="MJP308" s="36"/>
      <c r="MJQ308" s="36"/>
      <c r="MJR308" s="205"/>
      <c r="MJS308" s="33"/>
      <c r="MJT308" s="37"/>
      <c r="MJU308" s="37"/>
      <c r="MJV308" s="37"/>
      <c r="MJW308" s="37"/>
      <c r="MJX308" s="37"/>
      <c r="MJY308" s="33"/>
      <c r="MJZ308" s="206"/>
      <c r="MKA308" s="207"/>
      <c r="MKB308" s="204"/>
      <c r="MKC308" s="35"/>
      <c r="MKD308" s="202"/>
      <c r="MKE308" s="203"/>
      <c r="MKF308" s="36"/>
      <c r="MKG308" s="36"/>
      <c r="MKH308" s="205"/>
      <c r="MKI308" s="33"/>
      <c r="MKJ308" s="37"/>
      <c r="MKK308" s="37"/>
      <c r="MKL308" s="37"/>
      <c r="MKM308" s="37"/>
      <c r="MKN308" s="37"/>
      <c r="MKO308" s="33"/>
      <c r="MKP308" s="206"/>
      <c r="MKQ308" s="207"/>
      <c r="MKR308" s="204"/>
      <c r="MKS308" s="35"/>
      <c r="MKT308" s="202"/>
      <c r="MKU308" s="203"/>
      <c r="MKV308" s="36"/>
      <c r="MKW308" s="36"/>
      <c r="MKX308" s="205"/>
      <c r="MKY308" s="33"/>
      <c r="MKZ308" s="37"/>
      <c r="MLA308" s="37"/>
      <c r="MLB308" s="37"/>
      <c r="MLC308" s="37"/>
      <c r="MLD308" s="37"/>
      <c r="MLE308" s="33"/>
      <c r="MLF308" s="206"/>
      <c r="MLG308" s="207"/>
      <c r="MLH308" s="204"/>
      <c r="MLI308" s="35"/>
      <c r="MLJ308" s="202"/>
      <c r="MLK308" s="203"/>
      <c r="MLL308" s="36"/>
      <c r="MLM308" s="36"/>
      <c r="MLN308" s="205"/>
      <c r="MLO308" s="33"/>
      <c r="MLP308" s="37"/>
      <c r="MLQ308" s="37"/>
      <c r="MLR308" s="37"/>
      <c r="MLS308" s="37"/>
      <c r="MLT308" s="37"/>
      <c r="MLU308" s="33"/>
      <c r="MLV308" s="206"/>
      <c r="MLW308" s="207"/>
      <c r="MLX308" s="204"/>
      <c r="MLY308" s="35"/>
      <c r="MLZ308" s="202"/>
      <c r="MMA308" s="203"/>
      <c r="MMB308" s="36"/>
      <c r="MMC308" s="36"/>
      <c r="MMD308" s="205"/>
      <c r="MME308" s="33"/>
      <c r="MMF308" s="37"/>
      <c r="MMG308" s="37"/>
      <c r="MMH308" s="37"/>
      <c r="MMI308" s="37"/>
      <c r="MMJ308" s="37"/>
      <c r="MMK308" s="33"/>
      <c r="MML308" s="206"/>
      <c r="MMM308" s="207"/>
      <c r="MMN308" s="204"/>
      <c r="MMO308" s="35"/>
      <c r="MMP308" s="202"/>
      <c r="MMQ308" s="203"/>
      <c r="MMR308" s="36"/>
      <c r="MMS308" s="36"/>
      <c r="MMT308" s="205"/>
      <c r="MMU308" s="33"/>
      <c r="MMV308" s="37"/>
      <c r="MMW308" s="37"/>
      <c r="MMX308" s="37"/>
      <c r="MMY308" s="37"/>
      <c r="MMZ308" s="37"/>
      <c r="MNA308" s="33"/>
      <c r="MNB308" s="206"/>
      <c r="MNC308" s="207"/>
      <c r="MND308" s="204"/>
      <c r="MNE308" s="35"/>
      <c r="MNF308" s="202"/>
      <c r="MNG308" s="203"/>
      <c r="MNH308" s="36"/>
      <c r="MNI308" s="36"/>
      <c r="MNJ308" s="205"/>
      <c r="MNK308" s="33"/>
      <c r="MNL308" s="37"/>
      <c r="MNM308" s="37"/>
      <c r="MNN308" s="37"/>
      <c r="MNO308" s="37"/>
      <c r="MNP308" s="37"/>
      <c r="MNQ308" s="33"/>
      <c r="MNR308" s="206"/>
      <c r="MNS308" s="207"/>
      <c r="MNT308" s="204"/>
      <c r="MNU308" s="35"/>
      <c r="MNV308" s="202"/>
      <c r="MNW308" s="203"/>
      <c r="MNX308" s="36"/>
      <c r="MNY308" s="36"/>
      <c r="MNZ308" s="205"/>
      <c r="MOA308" s="33"/>
      <c r="MOB308" s="37"/>
      <c r="MOC308" s="37"/>
      <c r="MOD308" s="37"/>
      <c r="MOE308" s="37"/>
      <c r="MOF308" s="37"/>
      <c r="MOG308" s="33"/>
      <c r="MOH308" s="206"/>
      <c r="MOI308" s="207"/>
      <c r="MOJ308" s="204"/>
      <c r="MOK308" s="35"/>
      <c r="MOL308" s="202"/>
      <c r="MOM308" s="203"/>
      <c r="MON308" s="36"/>
      <c r="MOO308" s="36"/>
      <c r="MOP308" s="205"/>
      <c r="MOQ308" s="33"/>
      <c r="MOR308" s="37"/>
      <c r="MOS308" s="37"/>
      <c r="MOT308" s="37"/>
      <c r="MOU308" s="37"/>
      <c r="MOV308" s="37"/>
      <c r="MOW308" s="33"/>
      <c r="MOX308" s="206"/>
      <c r="MOY308" s="207"/>
      <c r="MOZ308" s="204"/>
      <c r="MPA308" s="35"/>
      <c r="MPB308" s="202"/>
      <c r="MPC308" s="203"/>
      <c r="MPD308" s="36"/>
      <c r="MPE308" s="36"/>
      <c r="MPF308" s="205"/>
      <c r="MPG308" s="33"/>
      <c r="MPH308" s="37"/>
      <c r="MPI308" s="37"/>
      <c r="MPJ308" s="37"/>
      <c r="MPK308" s="37"/>
      <c r="MPL308" s="37"/>
      <c r="MPM308" s="33"/>
      <c r="MPN308" s="206"/>
      <c r="MPO308" s="207"/>
      <c r="MPP308" s="204"/>
      <c r="MPQ308" s="35"/>
      <c r="MPR308" s="202"/>
      <c r="MPS308" s="203"/>
      <c r="MPT308" s="36"/>
      <c r="MPU308" s="36"/>
      <c r="MPV308" s="205"/>
      <c r="MPW308" s="33"/>
      <c r="MPX308" s="37"/>
      <c r="MPY308" s="37"/>
      <c r="MPZ308" s="37"/>
      <c r="MQA308" s="37"/>
      <c r="MQB308" s="37"/>
      <c r="MQC308" s="33"/>
      <c r="MQD308" s="206"/>
      <c r="MQE308" s="207"/>
      <c r="MQF308" s="204"/>
      <c r="MQG308" s="35"/>
      <c r="MQH308" s="202"/>
      <c r="MQI308" s="203"/>
      <c r="MQJ308" s="36"/>
      <c r="MQK308" s="36"/>
      <c r="MQL308" s="205"/>
      <c r="MQM308" s="33"/>
      <c r="MQN308" s="37"/>
      <c r="MQO308" s="37"/>
      <c r="MQP308" s="37"/>
      <c r="MQQ308" s="37"/>
      <c r="MQR308" s="37"/>
      <c r="MQS308" s="33"/>
      <c r="MQT308" s="206"/>
      <c r="MQU308" s="207"/>
      <c r="MQV308" s="204"/>
      <c r="MQW308" s="35"/>
      <c r="MQX308" s="202"/>
      <c r="MQY308" s="203"/>
      <c r="MQZ308" s="36"/>
      <c r="MRA308" s="36"/>
      <c r="MRB308" s="205"/>
      <c r="MRC308" s="33"/>
      <c r="MRD308" s="37"/>
      <c r="MRE308" s="37"/>
      <c r="MRF308" s="37"/>
      <c r="MRG308" s="37"/>
      <c r="MRH308" s="37"/>
      <c r="MRI308" s="33"/>
      <c r="MRJ308" s="206"/>
      <c r="MRK308" s="207"/>
      <c r="MRL308" s="204"/>
      <c r="MRM308" s="35"/>
      <c r="MRN308" s="202"/>
      <c r="MRO308" s="203"/>
      <c r="MRP308" s="36"/>
      <c r="MRQ308" s="36"/>
      <c r="MRR308" s="205"/>
      <c r="MRS308" s="33"/>
      <c r="MRT308" s="37"/>
      <c r="MRU308" s="37"/>
      <c r="MRV308" s="37"/>
      <c r="MRW308" s="37"/>
      <c r="MRX308" s="37"/>
      <c r="MRY308" s="33"/>
      <c r="MRZ308" s="206"/>
      <c r="MSA308" s="207"/>
      <c r="MSB308" s="204"/>
      <c r="MSC308" s="35"/>
      <c r="MSD308" s="202"/>
      <c r="MSE308" s="203"/>
      <c r="MSF308" s="36"/>
      <c r="MSG308" s="36"/>
      <c r="MSH308" s="205"/>
      <c r="MSI308" s="33"/>
      <c r="MSJ308" s="37"/>
      <c r="MSK308" s="37"/>
      <c r="MSL308" s="37"/>
      <c r="MSM308" s="37"/>
      <c r="MSN308" s="37"/>
      <c r="MSO308" s="33"/>
      <c r="MSP308" s="206"/>
      <c r="MSQ308" s="207"/>
      <c r="MSR308" s="204"/>
      <c r="MSS308" s="35"/>
      <c r="MST308" s="202"/>
      <c r="MSU308" s="203"/>
      <c r="MSV308" s="36"/>
      <c r="MSW308" s="36"/>
      <c r="MSX308" s="205"/>
      <c r="MSY308" s="33"/>
      <c r="MSZ308" s="37"/>
      <c r="MTA308" s="37"/>
      <c r="MTB308" s="37"/>
      <c r="MTC308" s="37"/>
      <c r="MTD308" s="37"/>
      <c r="MTE308" s="33"/>
      <c r="MTF308" s="206"/>
      <c r="MTG308" s="207"/>
      <c r="MTH308" s="204"/>
      <c r="MTI308" s="35"/>
      <c r="MTJ308" s="202"/>
      <c r="MTK308" s="203"/>
      <c r="MTL308" s="36"/>
      <c r="MTM308" s="36"/>
      <c r="MTN308" s="205"/>
      <c r="MTO308" s="33"/>
      <c r="MTP308" s="37"/>
      <c r="MTQ308" s="37"/>
      <c r="MTR308" s="37"/>
      <c r="MTS308" s="37"/>
      <c r="MTT308" s="37"/>
      <c r="MTU308" s="33"/>
      <c r="MTV308" s="206"/>
      <c r="MTW308" s="207"/>
      <c r="MTX308" s="204"/>
      <c r="MTY308" s="35"/>
      <c r="MTZ308" s="202"/>
      <c r="MUA308" s="203"/>
      <c r="MUB308" s="36"/>
      <c r="MUC308" s="36"/>
      <c r="MUD308" s="205"/>
      <c r="MUE308" s="33"/>
      <c r="MUF308" s="37"/>
      <c r="MUG308" s="37"/>
      <c r="MUH308" s="37"/>
      <c r="MUI308" s="37"/>
      <c r="MUJ308" s="37"/>
      <c r="MUK308" s="33"/>
      <c r="MUL308" s="206"/>
      <c r="MUM308" s="207"/>
      <c r="MUN308" s="204"/>
      <c r="MUO308" s="35"/>
      <c r="MUP308" s="202"/>
      <c r="MUQ308" s="203"/>
      <c r="MUR308" s="36"/>
      <c r="MUS308" s="36"/>
      <c r="MUT308" s="205"/>
      <c r="MUU308" s="33"/>
      <c r="MUV308" s="37"/>
      <c r="MUW308" s="37"/>
      <c r="MUX308" s="37"/>
      <c r="MUY308" s="37"/>
      <c r="MUZ308" s="37"/>
      <c r="MVA308" s="33"/>
      <c r="MVB308" s="206"/>
      <c r="MVC308" s="207"/>
      <c r="MVD308" s="204"/>
      <c r="MVE308" s="35"/>
      <c r="MVF308" s="202"/>
      <c r="MVG308" s="203"/>
      <c r="MVH308" s="36"/>
      <c r="MVI308" s="36"/>
      <c r="MVJ308" s="205"/>
      <c r="MVK308" s="33"/>
      <c r="MVL308" s="37"/>
      <c r="MVM308" s="37"/>
      <c r="MVN308" s="37"/>
      <c r="MVO308" s="37"/>
      <c r="MVP308" s="37"/>
      <c r="MVQ308" s="33"/>
      <c r="MVR308" s="206"/>
      <c r="MVS308" s="207"/>
      <c r="MVT308" s="204"/>
      <c r="MVU308" s="35"/>
      <c r="MVV308" s="202"/>
      <c r="MVW308" s="203"/>
      <c r="MVX308" s="36"/>
      <c r="MVY308" s="36"/>
      <c r="MVZ308" s="205"/>
      <c r="MWA308" s="33"/>
      <c r="MWB308" s="37"/>
      <c r="MWC308" s="37"/>
      <c r="MWD308" s="37"/>
      <c r="MWE308" s="37"/>
      <c r="MWF308" s="37"/>
      <c r="MWG308" s="33"/>
      <c r="MWH308" s="206"/>
      <c r="MWI308" s="207"/>
      <c r="MWJ308" s="204"/>
      <c r="MWK308" s="35"/>
      <c r="MWL308" s="202"/>
      <c r="MWM308" s="203"/>
      <c r="MWN308" s="36"/>
      <c r="MWO308" s="36"/>
      <c r="MWP308" s="205"/>
      <c r="MWQ308" s="33"/>
      <c r="MWR308" s="37"/>
      <c r="MWS308" s="37"/>
      <c r="MWT308" s="37"/>
      <c r="MWU308" s="37"/>
      <c r="MWV308" s="37"/>
      <c r="MWW308" s="33"/>
      <c r="MWX308" s="206"/>
      <c r="MWY308" s="207"/>
      <c r="MWZ308" s="204"/>
      <c r="MXA308" s="35"/>
      <c r="MXB308" s="202"/>
      <c r="MXC308" s="203"/>
      <c r="MXD308" s="36"/>
      <c r="MXE308" s="36"/>
      <c r="MXF308" s="205"/>
      <c r="MXG308" s="33"/>
      <c r="MXH308" s="37"/>
      <c r="MXI308" s="37"/>
      <c r="MXJ308" s="37"/>
      <c r="MXK308" s="37"/>
      <c r="MXL308" s="37"/>
      <c r="MXM308" s="33"/>
      <c r="MXN308" s="206"/>
      <c r="MXO308" s="207"/>
      <c r="MXP308" s="204"/>
      <c r="MXQ308" s="35"/>
      <c r="MXR308" s="202"/>
      <c r="MXS308" s="203"/>
      <c r="MXT308" s="36"/>
      <c r="MXU308" s="36"/>
      <c r="MXV308" s="205"/>
      <c r="MXW308" s="33"/>
      <c r="MXX308" s="37"/>
      <c r="MXY308" s="37"/>
      <c r="MXZ308" s="37"/>
      <c r="MYA308" s="37"/>
      <c r="MYB308" s="37"/>
      <c r="MYC308" s="33"/>
      <c r="MYD308" s="206"/>
      <c r="MYE308" s="207"/>
      <c r="MYF308" s="204"/>
      <c r="MYG308" s="35"/>
      <c r="MYH308" s="202"/>
      <c r="MYI308" s="203"/>
      <c r="MYJ308" s="36"/>
      <c r="MYK308" s="36"/>
      <c r="MYL308" s="205"/>
      <c r="MYM308" s="33"/>
      <c r="MYN308" s="37"/>
      <c r="MYO308" s="37"/>
      <c r="MYP308" s="37"/>
      <c r="MYQ308" s="37"/>
      <c r="MYR308" s="37"/>
      <c r="MYS308" s="33"/>
      <c r="MYT308" s="206"/>
      <c r="MYU308" s="207"/>
      <c r="MYV308" s="204"/>
      <c r="MYW308" s="35"/>
      <c r="MYX308" s="202"/>
      <c r="MYY308" s="203"/>
      <c r="MYZ308" s="36"/>
      <c r="MZA308" s="36"/>
      <c r="MZB308" s="205"/>
      <c r="MZC308" s="33"/>
      <c r="MZD308" s="37"/>
      <c r="MZE308" s="37"/>
      <c r="MZF308" s="37"/>
      <c r="MZG308" s="37"/>
      <c r="MZH308" s="37"/>
      <c r="MZI308" s="33"/>
      <c r="MZJ308" s="206"/>
      <c r="MZK308" s="207"/>
      <c r="MZL308" s="204"/>
      <c r="MZM308" s="35"/>
      <c r="MZN308" s="202"/>
      <c r="MZO308" s="203"/>
      <c r="MZP308" s="36"/>
      <c r="MZQ308" s="36"/>
      <c r="MZR308" s="205"/>
      <c r="MZS308" s="33"/>
      <c r="MZT308" s="37"/>
      <c r="MZU308" s="37"/>
      <c r="MZV308" s="37"/>
      <c r="MZW308" s="37"/>
      <c r="MZX308" s="37"/>
      <c r="MZY308" s="33"/>
      <c r="MZZ308" s="206"/>
      <c r="NAA308" s="207"/>
      <c r="NAB308" s="204"/>
      <c r="NAC308" s="35"/>
      <c r="NAD308" s="202"/>
      <c r="NAE308" s="203"/>
      <c r="NAF308" s="36"/>
      <c r="NAG308" s="36"/>
      <c r="NAH308" s="205"/>
      <c r="NAI308" s="33"/>
      <c r="NAJ308" s="37"/>
      <c r="NAK308" s="37"/>
      <c r="NAL308" s="37"/>
      <c r="NAM308" s="37"/>
      <c r="NAN308" s="37"/>
      <c r="NAO308" s="33"/>
      <c r="NAP308" s="206"/>
      <c r="NAQ308" s="207"/>
      <c r="NAR308" s="204"/>
      <c r="NAS308" s="35"/>
      <c r="NAT308" s="202"/>
      <c r="NAU308" s="203"/>
      <c r="NAV308" s="36"/>
      <c r="NAW308" s="36"/>
      <c r="NAX308" s="205"/>
      <c r="NAY308" s="33"/>
      <c r="NAZ308" s="37"/>
      <c r="NBA308" s="37"/>
      <c r="NBB308" s="37"/>
      <c r="NBC308" s="37"/>
      <c r="NBD308" s="37"/>
      <c r="NBE308" s="33"/>
      <c r="NBF308" s="206"/>
      <c r="NBG308" s="207"/>
      <c r="NBH308" s="204"/>
      <c r="NBI308" s="35"/>
      <c r="NBJ308" s="202"/>
      <c r="NBK308" s="203"/>
      <c r="NBL308" s="36"/>
      <c r="NBM308" s="36"/>
      <c r="NBN308" s="205"/>
      <c r="NBO308" s="33"/>
      <c r="NBP308" s="37"/>
      <c r="NBQ308" s="37"/>
      <c r="NBR308" s="37"/>
      <c r="NBS308" s="37"/>
      <c r="NBT308" s="37"/>
      <c r="NBU308" s="33"/>
      <c r="NBV308" s="206"/>
      <c r="NBW308" s="207"/>
      <c r="NBX308" s="204"/>
      <c r="NBY308" s="35"/>
      <c r="NBZ308" s="202"/>
      <c r="NCA308" s="203"/>
      <c r="NCB308" s="36"/>
      <c r="NCC308" s="36"/>
      <c r="NCD308" s="205"/>
      <c r="NCE308" s="33"/>
      <c r="NCF308" s="37"/>
      <c r="NCG308" s="37"/>
      <c r="NCH308" s="37"/>
      <c r="NCI308" s="37"/>
      <c r="NCJ308" s="37"/>
      <c r="NCK308" s="33"/>
      <c r="NCL308" s="206"/>
      <c r="NCM308" s="207"/>
      <c r="NCN308" s="204"/>
      <c r="NCO308" s="35"/>
      <c r="NCP308" s="202"/>
      <c r="NCQ308" s="203"/>
      <c r="NCR308" s="36"/>
      <c r="NCS308" s="36"/>
      <c r="NCT308" s="205"/>
      <c r="NCU308" s="33"/>
      <c r="NCV308" s="37"/>
      <c r="NCW308" s="37"/>
      <c r="NCX308" s="37"/>
      <c r="NCY308" s="37"/>
      <c r="NCZ308" s="37"/>
      <c r="NDA308" s="33"/>
      <c r="NDB308" s="206"/>
      <c r="NDC308" s="207"/>
      <c r="NDD308" s="204"/>
      <c r="NDE308" s="35"/>
      <c r="NDF308" s="202"/>
      <c r="NDG308" s="203"/>
      <c r="NDH308" s="36"/>
      <c r="NDI308" s="36"/>
      <c r="NDJ308" s="205"/>
      <c r="NDK308" s="33"/>
      <c r="NDL308" s="37"/>
      <c r="NDM308" s="37"/>
      <c r="NDN308" s="37"/>
      <c r="NDO308" s="37"/>
      <c r="NDP308" s="37"/>
      <c r="NDQ308" s="33"/>
      <c r="NDR308" s="206"/>
      <c r="NDS308" s="207"/>
      <c r="NDT308" s="204"/>
      <c r="NDU308" s="35"/>
      <c r="NDV308" s="202"/>
      <c r="NDW308" s="203"/>
      <c r="NDX308" s="36"/>
      <c r="NDY308" s="36"/>
      <c r="NDZ308" s="205"/>
      <c r="NEA308" s="33"/>
      <c r="NEB308" s="37"/>
      <c r="NEC308" s="37"/>
      <c r="NED308" s="37"/>
      <c r="NEE308" s="37"/>
      <c r="NEF308" s="37"/>
      <c r="NEG308" s="33"/>
      <c r="NEH308" s="206"/>
      <c r="NEI308" s="207"/>
      <c r="NEJ308" s="204"/>
      <c r="NEK308" s="35"/>
      <c r="NEL308" s="202"/>
      <c r="NEM308" s="203"/>
      <c r="NEN308" s="36"/>
      <c r="NEO308" s="36"/>
      <c r="NEP308" s="205"/>
      <c r="NEQ308" s="33"/>
      <c r="NER308" s="37"/>
      <c r="NES308" s="37"/>
      <c r="NET308" s="37"/>
      <c r="NEU308" s="37"/>
      <c r="NEV308" s="37"/>
      <c r="NEW308" s="33"/>
      <c r="NEX308" s="206"/>
      <c r="NEY308" s="207"/>
      <c r="NEZ308" s="204"/>
      <c r="NFA308" s="35"/>
      <c r="NFB308" s="202"/>
      <c r="NFC308" s="203"/>
      <c r="NFD308" s="36"/>
      <c r="NFE308" s="36"/>
      <c r="NFF308" s="205"/>
      <c r="NFG308" s="33"/>
      <c r="NFH308" s="37"/>
      <c r="NFI308" s="37"/>
      <c r="NFJ308" s="37"/>
      <c r="NFK308" s="37"/>
      <c r="NFL308" s="37"/>
      <c r="NFM308" s="33"/>
      <c r="NFN308" s="206"/>
      <c r="NFO308" s="207"/>
      <c r="NFP308" s="204"/>
      <c r="NFQ308" s="35"/>
      <c r="NFR308" s="202"/>
      <c r="NFS308" s="203"/>
      <c r="NFT308" s="36"/>
      <c r="NFU308" s="36"/>
      <c r="NFV308" s="205"/>
      <c r="NFW308" s="33"/>
      <c r="NFX308" s="37"/>
      <c r="NFY308" s="37"/>
      <c r="NFZ308" s="37"/>
      <c r="NGA308" s="37"/>
      <c r="NGB308" s="37"/>
      <c r="NGC308" s="33"/>
      <c r="NGD308" s="206"/>
      <c r="NGE308" s="207"/>
      <c r="NGF308" s="204"/>
      <c r="NGG308" s="35"/>
      <c r="NGH308" s="202"/>
      <c r="NGI308" s="203"/>
      <c r="NGJ308" s="36"/>
      <c r="NGK308" s="36"/>
      <c r="NGL308" s="205"/>
      <c r="NGM308" s="33"/>
      <c r="NGN308" s="37"/>
      <c r="NGO308" s="37"/>
      <c r="NGP308" s="37"/>
      <c r="NGQ308" s="37"/>
      <c r="NGR308" s="37"/>
      <c r="NGS308" s="33"/>
      <c r="NGT308" s="206"/>
      <c r="NGU308" s="207"/>
      <c r="NGV308" s="204"/>
      <c r="NGW308" s="35"/>
      <c r="NGX308" s="202"/>
      <c r="NGY308" s="203"/>
      <c r="NGZ308" s="36"/>
      <c r="NHA308" s="36"/>
      <c r="NHB308" s="205"/>
      <c r="NHC308" s="33"/>
      <c r="NHD308" s="37"/>
      <c r="NHE308" s="37"/>
      <c r="NHF308" s="37"/>
      <c r="NHG308" s="37"/>
      <c r="NHH308" s="37"/>
      <c r="NHI308" s="33"/>
      <c r="NHJ308" s="206"/>
      <c r="NHK308" s="207"/>
      <c r="NHL308" s="204"/>
      <c r="NHM308" s="35"/>
      <c r="NHN308" s="202"/>
      <c r="NHO308" s="203"/>
      <c r="NHP308" s="36"/>
      <c r="NHQ308" s="36"/>
      <c r="NHR308" s="205"/>
      <c r="NHS308" s="33"/>
      <c r="NHT308" s="37"/>
      <c r="NHU308" s="37"/>
      <c r="NHV308" s="37"/>
      <c r="NHW308" s="37"/>
      <c r="NHX308" s="37"/>
      <c r="NHY308" s="33"/>
      <c r="NHZ308" s="206"/>
      <c r="NIA308" s="207"/>
      <c r="NIB308" s="204"/>
      <c r="NIC308" s="35"/>
      <c r="NID308" s="202"/>
      <c r="NIE308" s="203"/>
      <c r="NIF308" s="36"/>
      <c r="NIG308" s="36"/>
      <c r="NIH308" s="205"/>
      <c r="NII308" s="33"/>
      <c r="NIJ308" s="37"/>
      <c r="NIK308" s="37"/>
      <c r="NIL308" s="37"/>
      <c r="NIM308" s="37"/>
      <c r="NIN308" s="37"/>
      <c r="NIO308" s="33"/>
      <c r="NIP308" s="206"/>
      <c r="NIQ308" s="207"/>
      <c r="NIR308" s="204"/>
      <c r="NIS308" s="35"/>
      <c r="NIT308" s="202"/>
      <c r="NIU308" s="203"/>
      <c r="NIV308" s="36"/>
      <c r="NIW308" s="36"/>
      <c r="NIX308" s="205"/>
      <c r="NIY308" s="33"/>
      <c r="NIZ308" s="37"/>
      <c r="NJA308" s="37"/>
      <c r="NJB308" s="37"/>
      <c r="NJC308" s="37"/>
      <c r="NJD308" s="37"/>
      <c r="NJE308" s="33"/>
      <c r="NJF308" s="206"/>
      <c r="NJG308" s="207"/>
      <c r="NJH308" s="204"/>
      <c r="NJI308" s="35"/>
      <c r="NJJ308" s="202"/>
      <c r="NJK308" s="203"/>
      <c r="NJL308" s="36"/>
      <c r="NJM308" s="36"/>
      <c r="NJN308" s="205"/>
      <c r="NJO308" s="33"/>
      <c r="NJP308" s="37"/>
      <c r="NJQ308" s="37"/>
      <c r="NJR308" s="37"/>
      <c r="NJS308" s="37"/>
      <c r="NJT308" s="37"/>
      <c r="NJU308" s="33"/>
      <c r="NJV308" s="206"/>
      <c r="NJW308" s="207"/>
      <c r="NJX308" s="204"/>
      <c r="NJY308" s="35"/>
      <c r="NJZ308" s="202"/>
      <c r="NKA308" s="203"/>
      <c r="NKB308" s="36"/>
      <c r="NKC308" s="36"/>
      <c r="NKD308" s="205"/>
      <c r="NKE308" s="33"/>
      <c r="NKF308" s="37"/>
      <c r="NKG308" s="37"/>
      <c r="NKH308" s="37"/>
      <c r="NKI308" s="37"/>
      <c r="NKJ308" s="37"/>
      <c r="NKK308" s="33"/>
      <c r="NKL308" s="206"/>
      <c r="NKM308" s="207"/>
      <c r="NKN308" s="204"/>
      <c r="NKO308" s="35"/>
      <c r="NKP308" s="202"/>
      <c r="NKQ308" s="203"/>
      <c r="NKR308" s="36"/>
      <c r="NKS308" s="36"/>
      <c r="NKT308" s="205"/>
      <c r="NKU308" s="33"/>
      <c r="NKV308" s="37"/>
      <c r="NKW308" s="37"/>
      <c r="NKX308" s="37"/>
      <c r="NKY308" s="37"/>
      <c r="NKZ308" s="37"/>
      <c r="NLA308" s="33"/>
      <c r="NLB308" s="206"/>
      <c r="NLC308" s="207"/>
      <c r="NLD308" s="204"/>
      <c r="NLE308" s="35"/>
      <c r="NLF308" s="202"/>
      <c r="NLG308" s="203"/>
      <c r="NLH308" s="36"/>
      <c r="NLI308" s="36"/>
      <c r="NLJ308" s="205"/>
      <c r="NLK308" s="33"/>
      <c r="NLL308" s="37"/>
      <c r="NLM308" s="37"/>
      <c r="NLN308" s="37"/>
      <c r="NLO308" s="37"/>
      <c r="NLP308" s="37"/>
      <c r="NLQ308" s="33"/>
      <c r="NLR308" s="206"/>
      <c r="NLS308" s="207"/>
      <c r="NLT308" s="204"/>
      <c r="NLU308" s="35"/>
      <c r="NLV308" s="202"/>
      <c r="NLW308" s="203"/>
      <c r="NLX308" s="36"/>
      <c r="NLY308" s="36"/>
      <c r="NLZ308" s="205"/>
      <c r="NMA308" s="33"/>
      <c r="NMB308" s="37"/>
      <c r="NMC308" s="37"/>
      <c r="NMD308" s="37"/>
      <c r="NME308" s="37"/>
      <c r="NMF308" s="37"/>
      <c r="NMG308" s="33"/>
      <c r="NMH308" s="206"/>
      <c r="NMI308" s="207"/>
      <c r="NMJ308" s="204"/>
      <c r="NMK308" s="35"/>
      <c r="NML308" s="202"/>
      <c r="NMM308" s="203"/>
      <c r="NMN308" s="36"/>
      <c r="NMO308" s="36"/>
      <c r="NMP308" s="205"/>
      <c r="NMQ308" s="33"/>
      <c r="NMR308" s="37"/>
      <c r="NMS308" s="37"/>
      <c r="NMT308" s="37"/>
      <c r="NMU308" s="37"/>
      <c r="NMV308" s="37"/>
      <c r="NMW308" s="33"/>
      <c r="NMX308" s="206"/>
      <c r="NMY308" s="207"/>
      <c r="NMZ308" s="204"/>
      <c r="NNA308" s="35"/>
      <c r="NNB308" s="202"/>
      <c r="NNC308" s="203"/>
      <c r="NND308" s="36"/>
      <c r="NNE308" s="36"/>
      <c r="NNF308" s="205"/>
      <c r="NNG308" s="33"/>
      <c r="NNH308" s="37"/>
      <c r="NNI308" s="37"/>
      <c r="NNJ308" s="37"/>
      <c r="NNK308" s="37"/>
      <c r="NNL308" s="37"/>
      <c r="NNM308" s="33"/>
      <c r="NNN308" s="206"/>
      <c r="NNO308" s="207"/>
      <c r="NNP308" s="204"/>
      <c r="NNQ308" s="35"/>
      <c r="NNR308" s="202"/>
      <c r="NNS308" s="203"/>
      <c r="NNT308" s="36"/>
      <c r="NNU308" s="36"/>
      <c r="NNV308" s="205"/>
      <c r="NNW308" s="33"/>
      <c r="NNX308" s="37"/>
      <c r="NNY308" s="37"/>
      <c r="NNZ308" s="37"/>
      <c r="NOA308" s="37"/>
      <c r="NOB308" s="37"/>
      <c r="NOC308" s="33"/>
      <c r="NOD308" s="206"/>
      <c r="NOE308" s="207"/>
      <c r="NOF308" s="204"/>
      <c r="NOG308" s="35"/>
      <c r="NOH308" s="202"/>
      <c r="NOI308" s="203"/>
      <c r="NOJ308" s="36"/>
      <c r="NOK308" s="36"/>
      <c r="NOL308" s="205"/>
      <c r="NOM308" s="33"/>
      <c r="NON308" s="37"/>
      <c r="NOO308" s="37"/>
      <c r="NOP308" s="37"/>
      <c r="NOQ308" s="37"/>
      <c r="NOR308" s="37"/>
      <c r="NOS308" s="33"/>
      <c r="NOT308" s="206"/>
      <c r="NOU308" s="207"/>
      <c r="NOV308" s="204"/>
      <c r="NOW308" s="35"/>
      <c r="NOX308" s="202"/>
      <c r="NOY308" s="203"/>
      <c r="NOZ308" s="36"/>
      <c r="NPA308" s="36"/>
      <c r="NPB308" s="205"/>
      <c r="NPC308" s="33"/>
      <c r="NPD308" s="37"/>
      <c r="NPE308" s="37"/>
      <c r="NPF308" s="37"/>
      <c r="NPG308" s="37"/>
      <c r="NPH308" s="37"/>
      <c r="NPI308" s="33"/>
      <c r="NPJ308" s="206"/>
      <c r="NPK308" s="207"/>
      <c r="NPL308" s="204"/>
      <c r="NPM308" s="35"/>
      <c r="NPN308" s="202"/>
      <c r="NPO308" s="203"/>
      <c r="NPP308" s="36"/>
      <c r="NPQ308" s="36"/>
      <c r="NPR308" s="205"/>
      <c r="NPS308" s="33"/>
      <c r="NPT308" s="37"/>
      <c r="NPU308" s="37"/>
      <c r="NPV308" s="37"/>
      <c r="NPW308" s="37"/>
      <c r="NPX308" s="37"/>
      <c r="NPY308" s="33"/>
      <c r="NPZ308" s="206"/>
      <c r="NQA308" s="207"/>
      <c r="NQB308" s="204"/>
      <c r="NQC308" s="35"/>
      <c r="NQD308" s="202"/>
      <c r="NQE308" s="203"/>
      <c r="NQF308" s="36"/>
      <c r="NQG308" s="36"/>
      <c r="NQH308" s="205"/>
      <c r="NQI308" s="33"/>
      <c r="NQJ308" s="37"/>
      <c r="NQK308" s="37"/>
      <c r="NQL308" s="37"/>
      <c r="NQM308" s="37"/>
      <c r="NQN308" s="37"/>
      <c r="NQO308" s="33"/>
      <c r="NQP308" s="206"/>
      <c r="NQQ308" s="207"/>
      <c r="NQR308" s="204"/>
      <c r="NQS308" s="35"/>
      <c r="NQT308" s="202"/>
      <c r="NQU308" s="203"/>
      <c r="NQV308" s="36"/>
      <c r="NQW308" s="36"/>
      <c r="NQX308" s="205"/>
      <c r="NQY308" s="33"/>
      <c r="NQZ308" s="37"/>
      <c r="NRA308" s="37"/>
      <c r="NRB308" s="37"/>
      <c r="NRC308" s="37"/>
      <c r="NRD308" s="37"/>
      <c r="NRE308" s="33"/>
      <c r="NRF308" s="206"/>
      <c r="NRG308" s="207"/>
      <c r="NRH308" s="204"/>
      <c r="NRI308" s="35"/>
      <c r="NRJ308" s="202"/>
      <c r="NRK308" s="203"/>
      <c r="NRL308" s="36"/>
      <c r="NRM308" s="36"/>
      <c r="NRN308" s="205"/>
      <c r="NRO308" s="33"/>
      <c r="NRP308" s="37"/>
      <c r="NRQ308" s="37"/>
      <c r="NRR308" s="37"/>
      <c r="NRS308" s="37"/>
      <c r="NRT308" s="37"/>
      <c r="NRU308" s="33"/>
      <c r="NRV308" s="206"/>
      <c r="NRW308" s="207"/>
      <c r="NRX308" s="204"/>
      <c r="NRY308" s="35"/>
      <c r="NRZ308" s="202"/>
      <c r="NSA308" s="203"/>
      <c r="NSB308" s="36"/>
      <c r="NSC308" s="36"/>
      <c r="NSD308" s="205"/>
      <c r="NSE308" s="33"/>
      <c r="NSF308" s="37"/>
      <c r="NSG308" s="37"/>
      <c r="NSH308" s="37"/>
      <c r="NSI308" s="37"/>
      <c r="NSJ308" s="37"/>
      <c r="NSK308" s="33"/>
      <c r="NSL308" s="206"/>
      <c r="NSM308" s="207"/>
      <c r="NSN308" s="204"/>
      <c r="NSO308" s="35"/>
      <c r="NSP308" s="202"/>
      <c r="NSQ308" s="203"/>
      <c r="NSR308" s="36"/>
      <c r="NSS308" s="36"/>
      <c r="NST308" s="205"/>
      <c r="NSU308" s="33"/>
      <c r="NSV308" s="37"/>
      <c r="NSW308" s="37"/>
      <c r="NSX308" s="37"/>
      <c r="NSY308" s="37"/>
      <c r="NSZ308" s="37"/>
      <c r="NTA308" s="33"/>
      <c r="NTB308" s="206"/>
      <c r="NTC308" s="207"/>
      <c r="NTD308" s="204"/>
      <c r="NTE308" s="35"/>
      <c r="NTF308" s="202"/>
      <c r="NTG308" s="203"/>
      <c r="NTH308" s="36"/>
      <c r="NTI308" s="36"/>
      <c r="NTJ308" s="205"/>
      <c r="NTK308" s="33"/>
      <c r="NTL308" s="37"/>
      <c r="NTM308" s="37"/>
      <c r="NTN308" s="37"/>
      <c r="NTO308" s="37"/>
      <c r="NTP308" s="37"/>
      <c r="NTQ308" s="33"/>
      <c r="NTR308" s="206"/>
      <c r="NTS308" s="207"/>
      <c r="NTT308" s="204"/>
      <c r="NTU308" s="35"/>
      <c r="NTV308" s="202"/>
      <c r="NTW308" s="203"/>
      <c r="NTX308" s="36"/>
      <c r="NTY308" s="36"/>
      <c r="NTZ308" s="205"/>
      <c r="NUA308" s="33"/>
      <c r="NUB308" s="37"/>
      <c r="NUC308" s="37"/>
      <c r="NUD308" s="37"/>
      <c r="NUE308" s="37"/>
      <c r="NUF308" s="37"/>
      <c r="NUG308" s="33"/>
      <c r="NUH308" s="206"/>
      <c r="NUI308" s="207"/>
      <c r="NUJ308" s="204"/>
      <c r="NUK308" s="35"/>
      <c r="NUL308" s="202"/>
      <c r="NUM308" s="203"/>
      <c r="NUN308" s="36"/>
      <c r="NUO308" s="36"/>
      <c r="NUP308" s="205"/>
      <c r="NUQ308" s="33"/>
      <c r="NUR308" s="37"/>
      <c r="NUS308" s="37"/>
      <c r="NUT308" s="37"/>
      <c r="NUU308" s="37"/>
      <c r="NUV308" s="37"/>
      <c r="NUW308" s="33"/>
      <c r="NUX308" s="206"/>
      <c r="NUY308" s="207"/>
      <c r="NUZ308" s="204"/>
      <c r="NVA308" s="35"/>
      <c r="NVB308" s="202"/>
      <c r="NVC308" s="203"/>
      <c r="NVD308" s="36"/>
      <c r="NVE308" s="36"/>
      <c r="NVF308" s="205"/>
      <c r="NVG308" s="33"/>
      <c r="NVH308" s="37"/>
      <c r="NVI308" s="37"/>
      <c r="NVJ308" s="37"/>
      <c r="NVK308" s="37"/>
      <c r="NVL308" s="37"/>
      <c r="NVM308" s="33"/>
      <c r="NVN308" s="206"/>
      <c r="NVO308" s="207"/>
      <c r="NVP308" s="204"/>
      <c r="NVQ308" s="35"/>
      <c r="NVR308" s="202"/>
      <c r="NVS308" s="203"/>
      <c r="NVT308" s="36"/>
      <c r="NVU308" s="36"/>
      <c r="NVV308" s="205"/>
      <c r="NVW308" s="33"/>
      <c r="NVX308" s="37"/>
      <c r="NVY308" s="37"/>
      <c r="NVZ308" s="37"/>
      <c r="NWA308" s="37"/>
      <c r="NWB308" s="37"/>
      <c r="NWC308" s="33"/>
      <c r="NWD308" s="206"/>
      <c r="NWE308" s="207"/>
      <c r="NWF308" s="204"/>
      <c r="NWG308" s="35"/>
      <c r="NWH308" s="202"/>
      <c r="NWI308" s="203"/>
      <c r="NWJ308" s="36"/>
      <c r="NWK308" s="36"/>
      <c r="NWL308" s="205"/>
      <c r="NWM308" s="33"/>
      <c r="NWN308" s="37"/>
      <c r="NWO308" s="37"/>
      <c r="NWP308" s="37"/>
      <c r="NWQ308" s="37"/>
      <c r="NWR308" s="37"/>
      <c r="NWS308" s="33"/>
      <c r="NWT308" s="206"/>
      <c r="NWU308" s="207"/>
      <c r="NWV308" s="204"/>
      <c r="NWW308" s="35"/>
      <c r="NWX308" s="202"/>
      <c r="NWY308" s="203"/>
      <c r="NWZ308" s="36"/>
      <c r="NXA308" s="36"/>
      <c r="NXB308" s="205"/>
      <c r="NXC308" s="33"/>
      <c r="NXD308" s="37"/>
      <c r="NXE308" s="37"/>
      <c r="NXF308" s="37"/>
      <c r="NXG308" s="37"/>
      <c r="NXH308" s="37"/>
      <c r="NXI308" s="33"/>
      <c r="NXJ308" s="206"/>
      <c r="NXK308" s="207"/>
      <c r="NXL308" s="204"/>
      <c r="NXM308" s="35"/>
      <c r="NXN308" s="202"/>
      <c r="NXO308" s="203"/>
      <c r="NXP308" s="36"/>
      <c r="NXQ308" s="36"/>
      <c r="NXR308" s="205"/>
      <c r="NXS308" s="33"/>
      <c r="NXT308" s="37"/>
      <c r="NXU308" s="37"/>
      <c r="NXV308" s="37"/>
      <c r="NXW308" s="37"/>
      <c r="NXX308" s="37"/>
      <c r="NXY308" s="33"/>
      <c r="NXZ308" s="206"/>
      <c r="NYA308" s="207"/>
      <c r="NYB308" s="204"/>
      <c r="NYC308" s="35"/>
      <c r="NYD308" s="202"/>
      <c r="NYE308" s="203"/>
      <c r="NYF308" s="36"/>
      <c r="NYG308" s="36"/>
      <c r="NYH308" s="205"/>
      <c r="NYI308" s="33"/>
      <c r="NYJ308" s="37"/>
      <c r="NYK308" s="37"/>
      <c r="NYL308" s="37"/>
      <c r="NYM308" s="37"/>
      <c r="NYN308" s="37"/>
      <c r="NYO308" s="33"/>
      <c r="NYP308" s="206"/>
      <c r="NYQ308" s="207"/>
      <c r="NYR308" s="204"/>
      <c r="NYS308" s="35"/>
      <c r="NYT308" s="202"/>
      <c r="NYU308" s="203"/>
      <c r="NYV308" s="36"/>
      <c r="NYW308" s="36"/>
      <c r="NYX308" s="205"/>
      <c r="NYY308" s="33"/>
      <c r="NYZ308" s="37"/>
      <c r="NZA308" s="37"/>
      <c r="NZB308" s="37"/>
      <c r="NZC308" s="37"/>
      <c r="NZD308" s="37"/>
      <c r="NZE308" s="33"/>
      <c r="NZF308" s="206"/>
      <c r="NZG308" s="207"/>
      <c r="NZH308" s="204"/>
      <c r="NZI308" s="35"/>
      <c r="NZJ308" s="202"/>
      <c r="NZK308" s="203"/>
      <c r="NZL308" s="36"/>
      <c r="NZM308" s="36"/>
      <c r="NZN308" s="205"/>
      <c r="NZO308" s="33"/>
      <c r="NZP308" s="37"/>
      <c r="NZQ308" s="37"/>
      <c r="NZR308" s="37"/>
      <c r="NZS308" s="37"/>
      <c r="NZT308" s="37"/>
      <c r="NZU308" s="33"/>
      <c r="NZV308" s="206"/>
      <c r="NZW308" s="207"/>
      <c r="NZX308" s="204"/>
      <c r="NZY308" s="35"/>
      <c r="NZZ308" s="202"/>
      <c r="OAA308" s="203"/>
      <c r="OAB308" s="36"/>
      <c r="OAC308" s="36"/>
      <c r="OAD308" s="205"/>
      <c r="OAE308" s="33"/>
      <c r="OAF308" s="37"/>
      <c r="OAG308" s="37"/>
      <c r="OAH308" s="37"/>
      <c r="OAI308" s="37"/>
      <c r="OAJ308" s="37"/>
      <c r="OAK308" s="33"/>
      <c r="OAL308" s="206"/>
      <c r="OAM308" s="207"/>
      <c r="OAN308" s="204"/>
      <c r="OAO308" s="35"/>
      <c r="OAP308" s="202"/>
      <c r="OAQ308" s="203"/>
      <c r="OAR308" s="36"/>
      <c r="OAS308" s="36"/>
      <c r="OAT308" s="205"/>
      <c r="OAU308" s="33"/>
      <c r="OAV308" s="37"/>
      <c r="OAW308" s="37"/>
      <c r="OAX308" s="37"/>
      <c r="OAY308" s="37"/>
      <c r="OAZ308" s="37"/>
      <c r="OBA308" s="33"/>
      <c r="OBB308" s="206"/>
      <c r="OBC308" s="207"/>
      <c r="OBD308" s="204"/>
      <c r="OBE308" s="35"/>
      <c r="OBF308" s="202"/>
      <c r="OBG308" s="203"/>
      <c r="OBH308" s="36"/>
      <c r="OBI308" s="36"/>
      <c r="OBJ308" s="205"/>
      <c r="OBK308" s="33"/>
      <c r="OBL308" s="37"/>
      <c r="OBM308" s="37"/>
      <c r="OBN308" s="37"/>
      <c r="OBO308" s="37"/>
      <c r="OBP308" s="37"/>
      <c r="OBQ308" s="33"/>
      <c r="OBR308" s="206"/>
      <c r="OBS308" s="207"/>
      <c r="OBT308" s="204"/>
      <c r="OBU308" s="35"/>
      <c r="OBV308" s="202"/>
      <c r="OBW308" s="203"/>
      <c r="OBX308" s="36"/>
      <c r="OBY308" s="36"/>
      <c r="OBZ308" s="205"/>
      <c r="OCA308" s="33"/>
      <c r="OCB308" s="37"/>
      <c r="OCC308" s="37"/>
      <c r="OCD308" s="37"/>
      <c r="OCE308" s="37"/>
      <c r="OCF308" s="37"/>
      <c r="OCG308" s="33"/>
      <c r="OCH308" s="206"/>
      <c r="OCI308" s="207"/>
      <c r="OCJ308" s="204"/>
      <c r="OCK308" s="35"/>
      <c r="OCL308" s="202"/>
      <c r="OCM308" s="203"/>
      <c r="OCN308" s="36"/>
      <c r="OCO308" s="36"/>
      <c r="OCP308" s="205"/>
      <c r="OCQ308" s="33"/>
      <c r="OCR308" s="37"/>
      <c r="OCS308" s="37"/>
      <c r="OCT308" s="37"/>
      <c r="OCU308" s="37"/>
      <c r="OCV308" s="37"/>
      <c r="OCW308" s="33"/>
      <c r="OCX308" s="206"/>
      <c r="OCY308" s="207"/>
      <c r="OCZ308" s="204"/>
      <c r="ODA308" s="35"/>
      <c r="ODB308" s="202"/>
      <c r="ODC308" s="203"/>
      <c r="ODD308" s="36"/>
      <c r="ODE308" s="36"/>
      <c r="ODF308" s="205"/>
      <c r="ODG308" s="33"/>
      <c r="ODH308" s="37"/>
      <c r="ODI308" s="37"/>
      <c r="ODJ308" s="37"/>
      <c r="ODK308" s="37"/>
      <c r="ODL308" s="37"/>
      <c r="ODM308" s="33"/>
      <c r="ODN308" s="206"/>
      <c r="ODO308" s="207"/>
      <c r="ODP308" s="204"/>
      <c r="ODQ308" s="35"/>
      <c r="ODR308" s="202"/>
      <c r="ODS308" s="203"/>
      <c r="ODT308" s="36"/>
      <c r="ODU308" s="36"/>
      <c r="ODV308" s="205"/>
      <c r="ODW308" s="33"/>
      <c r="ODX308" s="37"/>
      <c r="ODY308" s="37"/>
      <c r="ODZ308" s="37"/>
      <c r="OEA308" s="37"/>
      <c r="OEB308" s="37"/>
      <c r="OEC308" s="33"/>
      <c r="OED308" s="206"/>
      <c r="OEE308" s="207"/>
      <c r="OEF308" s="204"/>
      <c r="OEG308" s="35"/>
      <c r="OEH308" s="202"/>
      <c r="OEI308" s="203"/>
      <c r="OEJ308" s="36"/>
      <c r="OEK308" s="36"/>
      <c r="OEL308" s="205"/>
      <c r="OEM308" s="33"/>
      <c r="OEN308" s="37"/>
      <c r="OEO308" s="37"/>
      <c r="OEP308" s="37"/>
      <c r="OEQ308" s="37"/>
      <c r="OER308" s="37"/>
      <c r="OES308" s="33"/>
      <c r="OET308" s="206"/>
      <c r="OEU308" s="207"/>
      <c r="OEV308" s="204"/>
      <c r="OEW308" s="35"/>
      <c r="OEX308" s="202"/>
      <c r="OEY308" s="203"/>
      <c r="OEZ308" s="36"/>
      <c r="OFA308" s="36"/>
      <c r="OFB308" s="205"/>
      <c r="OFC308" s="33"/>
      <c r="OFD308" s="37"/>
      <c r="OFE308" s="37"/>
      <c r="OFF308" s="37"/>
      <c r="OFG308" s="37"/>
      <c r="OFH308" s="37"/>
      <c r="OFI308" s="33"/>
      <c r="OFJ308" s="206"/>
      <c r="OFK308" s="207"/>
      <c r="OFL308" s="204"/>
      <c r="OFM308" s="35"/>
      <c r="OFN308" s="202"/>
      <c r="OFO308" s="203"/>
      <c r="OFP308" s="36"/>
      <c r="OFQ308" s="36"/>
      <c r="OFR308" s="205"/>
      <c r="OFS308" s="33"/>
      <c r="OFT308" s="37"/>
      <c r="OFU308" s="37"/>
      <c r="OFV308" s="37"/>
      <c r="OFW308" s="37"/>
      <c r="OFX308" s="37"/>
      <c r="OFY308" s="33"/>
      <c r="OFZ308" s="206"/>
      <c r="OGA308" s="207"/>
      <c r="OGB308" s="204"/>
      <c r="OGC308" s="35"/>
      <c r="OGD308" s="202"/>
      <c r="OGE308" s="203"/>
      <c r="OGF308" s="36"/>
      <c r="OGG308" s="36"/>
      <c r="OGH308" s="205"/>
      <c r="OGI308" s="33"/>
      <c r="OGJ308" s="37"/>
      <c r="OGK308" s="37"/>
      <c r="OGL308" s="37"/>
      <c r="OGM308" s="37"/>
      <c r="OGN308" s="37"/>
      <c r="OGO308" s="33"/>
      <c r="OGP308" s="206"/>
      <c r="OGQ308" s="207"/>
      <c r="OGR308" s="204"/>
      <c r="OGS308" s="35"/>
      <c r="OGT308" s="202"/>
      <c r="OGU308" s="203"/>
      <c r="OGV308" s="36"/>
      <c r="OGW308" s="36"/>
      <c r="OGX308" s="205"/>
      <c r="OGY308" s="33"/>
      <c r="OGZ308" s="37"/>
      <c r="OHA308" s="37"/>
      <c r="OHB308" s="37"/>
      <c r="OHC308" s="37"/>
      <c r="OHD308" s="37"/>
      <c r="OHE308" s="33"/>
      <c r="OHF308" s="206"/>
      <c r="OHG308" s="207"/>
      <c r="OHH308" s="204"/>
      <c r="OHI308" s="35"/>
      <c r="OHJ308" s="202"/>
      <c r="OHK308" s="203"/>
      <c r="OHL308" s="36"/>
      <c r="OHM308" s="36"/>
      <c r="OHN308" s="205"/>
      <c r="OHO308" s="33"/>
      <c r="OHP308" s="37"/>
      <c r="OHQ308" s="37"/>
      <c r="OHR308" s="37"/>
      <c r="OHS308" s="37"/>
      <c r="OHT308" s="37"/>
      <c r="OHU308" s="33"/>
      <c r="OHV308" s="206"/>
      <c r="OHW308" s="207"/>
      <c r="OHX308" s="204"/>
      <c r="OHY308" s="35"/>
      <c r="OHZ308" s="202"/>
      <c r="OIA308" s="203"/>
      <c r="OIB308" s="36"/>
      <c r="OIC308" s="36"/>
      <c r="OID308" s="205"/>
      <c r="OIE308" s="33"/>
      <c r="OIF308" s="37"/>
      <c r="OIG308" s="37"/>
      <c r="OIH308" s="37"/>
      <c r="OII308" s="37"/>
      <c r="OIJ308" s="37"/>
      <c r="OIK308" s="33"/>
      <c r="OIL308" s="206"/>
      <c r="OIM308" s="207"/>
      <c r="OIN308" s="204"/>
      <c r="OIO308" s="35"/>
      <c r="OIP308" s="202"/>
      <c r="OIQ308" s="203"/>
      <c r="OIR308" s="36"/>
      <c r="OIS308" s="36"/>
      <c r="OIT308" s="205"/>
      <c r="OIU308" s="33"/>
      <c r="OIV308" s="37"/>
      <c r="OIW308" s="37"/>
      <c r="OIX308" s="37"/>
      <c r="OIY308" s="37"/>
      <c r="OIZ308" s="37"/>
      <c r="OJA308" s="33"/>
      <c r="OJB308" s="206"/>
      <c r="OJC308" s="207"/>
      <c r="OJD308" s="204"/>
      <c r="OJE308" s="35"/>
      <c r="OJF308" s="202"/>
      <c r="OJG308" s="203"/>
      <c r="OJH308" s="36"/>
      <c r="OJI308" s="36"/>
      <c r="OJJ308" s="205"/>
      <c r="OJK308" s="33"/>
      <c r="OJL308" s="37"/>
      <c r="OJM308" s="37"/>
      <c r="OJN308" s="37"/>
      <c r="OJO308" s="37"/>
      <c r="OJP308" s="37"/>
      <c r="OJQ308" s="33"/>
      <c r="OJR308" s="206"/>
      <c r="OJS308" s="207"/>
      <c r="OJT308" s="204"/>
      <c r="OJU308" s="35"/>
      <c r="OJV308" s="202"/>
      <c r="OJW308" s="203"/>
      <c r="OJX308" s="36"/>
      <c r="OJY308" s="36"/>
      <c r="OJZ308" s="205"/>
      <c r="OKA308" s="33"/>
      <c r="OKB308" s="37"/>
      <c r="OKC308" s="37"/>
      <c r="OKD308" s="37"/>
      <c r="OKE308" s="37"/>
      <c r="OKF308" s="37"/>
      <c r="OKG308" s="33"/>
      <c r="OKH308" s="206"/>
      <c r="OKI308" s="207"/>
      <c r="OKJ308" s="204"/>
      <c r="OKK308" s="35"/>
      <c r="OKL308" s="202"/>
      <c r="OKM308" s="203"/>
      <c r="OKN308" s="36"/>
      <c r="OKO308" s="36"/>
      <c r="OKP308" s="205"/>
      <c r="OKQ308" s="33"/>
      <c r="OKR308" s="37"/>
      <c r="OKS308" s="37"/>
      <c r="OKT308" s="37"/>
      <c r="OKU308" s="37"/>
      <c r="OKV308" s="37"/>
      <c r="OKW308" s="33"/>
      <c r="OKX308" s="206"/>
      <c r="OKY308" s="207"/>
      <c r="OKZ308" s="204"/>
      <c r="OLA308" s="35"/>
      <c r="OLB308" s="202"/>
      <c r="OLC308" s="203"/>
      <c r="OLD308" s="36"/>
      <c r="OLE308" s="36"/>
      <c r="OLF308" s="205"/>
      <c r="OLG308" s="33"/>
      <c r="OLH308" s="37"/>
      <c r="OLI308" s="37"/>
      <c r="OLJ308" s="37"/>
      <c r="OLK308" s="37"/>
      <c r="OLL308" s="37"/>
      <c r="OLM308" s="33"/>
      <c r="OLN308" s="206"/>
      <c r="OLO308" s="207"/>
      <c r="OLP308" s="204"/>
      <c r="OLQ308" s="35"/>
      <c r="OLR308" s="202"/>
      <c r="OLS308" s="203"/>
      <c r="OLT308" s="36"/>
      <c r="OLU308" s="36"/>
      <c r="OLV308" s="205"/>
      <c r="OLW308" s="33"/>
      <c r="OLX308" s="37"/>
      <c r="OLY308" s="37"/>
      <c r="OLZ308" s="37"/>
      <c r="OMA308" s="37"/>
      <c r="OMB308" s="37"/>
      <c r="OMC308" s="33"/>
      <c r="OMD308" s="206"/>
      <c r="OME308" s="207"/>
      <c r="OMF308" s="204"/>
      <c r="OMG308" s="35"/>
      <c r="OMH308" s="202"/>
      <c r="OMI308" s="203"/>
      <c r="OMJ308" s="36"/>
      <c r="OMK308" s="36"/>
      <c r="OML308" s="205"/>
      <c r="OMM308" s="33"/>
      <c r="OMN308" s="37"/>
      <c r="OMO308" s="37"/>
      <c r="OMP308" s="37"/>
      <c r="OMQ308" s="37"/>
      <c r="OMR308" s="37"/>
      <c r="OMS308" s="33"/>
      <c r="OMT308" s="206"/>
      <c r="OMU308" s="207"/>
      <c r="OMV308" s="204"/>
      <c r="OMW308" s="35"/>
      <c r="OMX308" s="202"/>
      <c r="OMY308" s="203"/>
      <c r="OMZ308" s="36"/>
      <c r="ONA308" s="36"/>
      <c r="ONB308" s="205"/>
      <c r="ONC308" s="33"/>
      <c r="OND308" s="37"/>
      <c r="ONE308" s="37"/>
      <c r="ONF308" s="37"/>
      <c r="ONG308" s="37"/>
      <c r="ONH308" s="37"/>
      <c r="ONI308" s="33"/>
      <c r="ONJ308" s="206"/>
      <c r="ONK308" s="207"/>
      <c r="ONL308" s="204"/>
      <c r="ONM308" s="35"/>
      <c r="ONN308" s="202"/>
      <c r="ONO308" s="203"/>
      <c r="ONP308" s="36"/>
      <c r="ONQ308" s="36"/>
      <c r="ONR308" s="205"/>
      <c r="ONS308" s="33"/>
      <c r="ONT308" s="37"/>
      <c r="ONU308" s="37"/>
      <c r="ONV308" s="37"/>
      <c r="ONW308" s="37"/>
      <c r="ONX308" s="37"/>
      <c r="ONY308" s="33"/>
      <c r="ONZ308" s="206"/>
      <c r="OOA308" s="207"/>
      <c r="OOB308" s="204"/>
      <c r="OOC308" s="35"/>
      <c r="OOD308" s="202"/>
      <c r="OOE308" s="203"/>
      <c r="OOF308" s="36"/>
      <c r="OOG308" s="36"/>
      <c r="OOH308" s="205"/>
      <c r="OOI308" s="33"/>
      <c r="OOJ308" s="37"/>
      <c r="OOK308" s="37"/>
      <c r="OOL308" s="37"/>
      <c r="OOM308" s="37"/>
      <c r="OON308" s="37"/>
      <c r="OOO308" s="33"/>
      <c r="OOP308" s="206"/>
      <c r="OOQ308" s="207"/>
      <c r="OOR308" s="204"/>
      <c r="OOS308" s="35"/>
      <c r="OOT308" s="202"/>
      <c r="OOU308" s="203"/>
      <c r="OOV308" s="36"/>
      <c r="OOW308" s="36"/>
      <c r="OOX308" s="205"/>
      <c r="OOY308" s="33"/>
      <c r="OOZ308" s="37"/>
      <c r="OPA308" s="37"/>
      <c r="OPB308" s="37"/>
      <c r="OPC308" s="37"/>
      <c r="OPD308" s="37"/>
      <c r="OPE308" s="33"/>
      <c r="OPF308" s="206"/>
      <c r="OPG308" s="207"/>
      <c r="OPH308" s="204"/>
      <c r="OPI308" s="35"/>
      <c r="OPJ308" s="202"/>
      <c r="OPK308" s="203"/>
      <c r="OPL308" s="36"/>
      <c r="OPM308" s="36"/>
      <c r="OPN308" s="205"/>
      <c r="OPO308" s="33"/>
      <c r="OPP308" s="37"/>
      <c r="OPQ308" s="37"/>
      <c r="OPR308" s="37"/>
      <c r="OPS308" s="37"/>
      <c r="OPT308" s="37"/>
      <c r="OPU308" s="33"/>
      <c r="OPV308" s="206"/>
      <c r="OPW308" s="207"/>
      <c r="OPX308" s="204"/>
      <c r="OPY308" s="35"/>
      <c r="OPZ308" s="202"/>
      <c r="OQA308" s="203"/>
      <c r="OQB308" s="36"/>
      <c r="OQC308" s="36"/>
      <c r="OQD308" s="205"/>
      <c r="OQE308" s="33"/>
      <c r="OQF308" s="37"/>
      <c r="OQG308" s="37"/>
      <c r="OQH308" s="37"/>
      <c r="OQI308" s="37"/>
      <c r="OQJ308" s="37"/>
      <c r="OQK308" s="33"/>
      <c r="OQL308" s="206"/>
      <c r="OQM308" s="207"/>
      <c r="OQN308" s="204"/>
      <c r="OQO308" s="35"/>
      <c r="OQP308" s="202"/>
      <c r="OQQ308" s="203"/>
      <c r="OQR308" s="36"/>
      <c r="OQS308" s="36"/>
      <c r="OQT308" s="205"/>
      <c r="OQU308" s="33"/>
      <c r="OQV308" s="37"/>
      <c r="OQW308" s="37"/>
      <c r="OQX308" s="37"/>
      <c r="OQY308" s="37"/>
      <c r="OQZ308" s="37"/>
      <c r="ORA308" s="33"/>
      <c r="ORB308" s="206"/>
      <c r="ORC308" s="207"/>
      <c r="ORD308" s="204"/>
      <c r="ORE308" s="35"/>
      <c r="ORF308" s="202"/>
      <c r="ORG308" s="203"/>
      <c r="ORH308" s="36"/>
      <c r="ORI308" s="36"/>
      <c r="ORJ308" s="205"/>
      <c r="ORK308" s="33"/>
      <c r="ORL308" s="37"/>
      <c r="ORM308" s="37"/>
      <c r="ORN308" s="37"/>
      <c r="ORO308" s="37"/>
      <c r="ORP308" s="37"/>
      <c r="ORQ308" s="33"/>
      <c r="ORR308" s="206"/>
      <c r="ORS308" s="207"/>
      <c r="ORT308" s="204"/>
      <c r="ORU308" s="35"/>
      <c r="ORV308" s="202"/>
      <c r="ORW308" s="203"/>
      <c r="ORX308" s="36"/>
      <c r="ORY308" s="36"/>
      <c r="ORZ308" s="205"/>
      <c r="OSA308" s="33"/>
      <c r="OSB308" s="37"/>
      <c r="OSC308" s="37"/>
      <c r="OSD308" s="37"/>
      <c r="OSE308" s="37"/>
      <c r="OSF308" s="37"/>
      <c r="OSG308" s="33"/>
      <c r="OSH308" s="206"/>
      <c r="OSI308" s="207"/>
      <c r="OSJ308" s="204"/>
      <c r="OSK308" s="35"/>
      <c r="OSL308" s="202"/>
      <c r="OSM308" s="203"/>
      <c r="OSN308" s="36"/>
      <c r="OSO308" s="36"/>
      <c r="OSP308" s="205"/>
      <c r="OSQ308" s="33"/>
      <c r="OSR308" s="37"/>
      <c r="OSS308" s="37"/>
      <c r="OST308" s="37"/>
      <c r="OSU308" s="37"/>
      <c r="OSV308" s="37"/>
      <c r="OSW308" s="33"/>
      <c r="OSX308" s="206"/>
      <c r="OSY308" s="207"/>
      <c r="OSZ308" s="204"/>
      <c r="OTA308" s="35"/>
      <c r="OTB308" s="202"/>
      <c r="OTC308" s="203"/>
      <c r="OTD308" s="36"/>
      <c r="OTE308" s="36"/>
      <c r="OTF308" s="205"/>
      <c r="OTG308" s="33"/>
      <c r="OTH308" s="37"/>
      <c r="OTI308" s="37"/>
      <c r="OTJ308" s="37"/>
      <c r="OTK308" s="37"/>
      <c r="OTL308" s="37"/>
      <c r="OTM308" s="33"/>
      <c r="OTN308" s="206"/>
      <c r="OTO308" s="207"/>
      <c r="OTP308" s="204"/>
      <c r="OTQ308" s="35"/>
      <c r="OTR308" s="202"/>
      <c r="OTS308" s="203"/>
      <c r="OTT308" s="36"/>
      <c r="OTU308" s="36"/>
      <c r="OTV308" s="205"/>
      <c r="OTW308" s="33"/>
      <c r="OTX308" s="37"/>
      <c r="OTY308" s="37"/>
      <c r="OTZ308" s="37"/>
      <c r="OUA308" s="37"/>
      <c r="OUB308" s="37"/>
      <c r="OUC308" s="33"/>
      <c r="OUD308" s="206"/>
      <c r="OUE308" s="207"/>
      <c r="OUF308" s="204"/>
      <c r="OUG308" s="35"/>
      <c r="OUH308" s="202"/>
      <c r="OUI308" s="203"/>
      <c r="OUJ308" s="36"/>
      <c r="OUK308" s="36"/>
      <c r="OUL308" s="205"/>
      <c r="OUM308" s="33"/>
      <c r="OUN308" s="37"/>
      <c r="OUO308" s="37"/>
      <c r="OUP308" s="37"/>
      <c r="OUQ308" s="37"/>
      <c r="OUR308" s="37"/>
      <c r="OUS308" s="33"/>
      <c r="OUT308" s="206"/>
      <c r="OUU308" s="207"/>
      <c r="OUV308" s="204"/>
      <c r="OUW308" s="35"/>
      <c r="OUX308" s="202"/>
      <c r="OUY308" s="203"/>
      <c r="OUZ308" s="36"/>
      <c r="OVA308" s="36"/>
      <c r="OVB308" s="205"/>
      <c r="OVC308" s="33"/>
      <c r="OVD308" s="37"/>
      <c r="OVE308" s="37"/>
      <c r="OVF308" s="37"/>
      <c r="OVG308" s="37"/>
      <c r="OVH308" s="37"/>
      <c r="OVI308" s="33"/>
      <c r="OVJ308" s="206"/>
      <c r="OVK308" s="207"/>
      <c r="OVL308" s="204"/>
      <c r="OVM308" s="35"/>
      <c r="OVN308" s="202"/>
      <c r="OVO308" s="203"/>
      <c r="OVP308" s="36"/>
      <c r="OVQ308" s="36"/>
      <c r="OVR308" s="205"/>
      <c r="OVS308" s="33"/>
      <c r="OVT308" s="37"/>
      <c r="OVU308" s="37"/>
      <c r="OVV308" s="37"/>
      <c r="OVW308" s="37"/>
      <c r="OVX308" s="37"/>
      <c r="OVY308" s="33"/>
      <c r="OVZ308" s="206"/>
      <c r="OWA308" s="207"/>
      <c r="OWB308" s="204"/>
      <c r="OWC308" s="35"/>
      <c r="OWD308" s="202"/>
      <c r="OWE308" s="203"/>
      <c r="OWF308" s="36"/>
      <c r="OWG308" s="36"/>
      <c r="OWH308" s="205"/>
      <c r="OWI308" s="33"/>
      <c r="OWJ308" s="37"/>
      <c r="OWK308" s="37"/>
      <c r="OWL308" s="37"/>
      <c r="OWM308" s="37"/>
      <c r="OWN308" s="37"/>
      <c r="OWO308" s="33"/>
      <c r="OWP308" s="206"/>
      <c r="OWQ308" s="207"/>
      <c r="OWR308" s="204"/>
      <c r="OWS308" s="35"/>
      <c r="OWT308" s="202"/>
      <c r="OWU308" s="203"/>
      <c r="OWV308" s="36"/>
      <c r="OWW308" s="36"/>
      <c r="OWX308" s="205"/>
      <c r="OWY308" s="33"/>
      <c r="OWZ308" s="37"/>
      <c r="OXA308" s="37"/>
      <c r="OXB308" s="37"/>
      <c r="OXC308" s="37"/>
      <c r="OXD308" s="37"/>
      <c r="OXE308" s="33"/>
      <c r="OXF308" s="206"/>
      <c r="OXG308" s="207"/>
      <c r="OXH308" s="204"/>
      <c r="OXI308" s="35"/>
      <c r="OXJ308" s="202"/>
      <c r="OXK308" s="203"/>
      <c r="OXL308" s="36"/>
      <c r="OXM308" s="36"/>
      <c r="OXN308" s="205"/>
      <c r="OXO308" s="33"/>
      <c r="OXP308" s="37"/>
      <c r="OXQ308" s="37"/>
      <c r="OXR308" s="37"/>
      <c r="OXS308" s="37"/>
      <c r="OXT308" s="37"/>
      <c r="OXU308" s="33"/>
      <c r="OXV308" s="206"/>
      <c r="OXW308" s="207"/>
      <c r="OXX308" s="204"/>
      <c r="OXY308" s="35"/>
      <c r="OXZ308" s="202"/>
      <c r="OYA308" s="203"/>
      <c r="OYB308" s="36"/>
      <c r="OYC308" s="36"/>
      <c r="OYD308" s="205"/>
      <c r="OYE308" s="33"/>
      <c r="OYF308" s="37"/>
      <c r="OYG308" s="37"/>
      <c r="OYH308" s="37"/>
      <c r="OYI308" s="37"/>
      <c r="OYJ308" s="37"/>
      <c r="OYK308" s="33"/>
      <c r="OYL308" s="206"/>
      <c r="OYM308" s="207"/>
      <c r="OYN308" s="204"/>
      <c r="OYO308" s="35"/>
      <c r="OYP308" s="202"/>
      <c r="OYQ308" s="203"/>
      <c r="OYR308" s="36"/>
      <c r="OYS308" s="36"/>
      <c r="OYT308" s="205"/>
      <c r="OYU308" s="33"/>
      <c r="OYV308" s="37"/>
      <c r="OYW308" s="37"/>
      <c r="OYX308" s="37"/>
      <c r="OYY308" s="37"/>
      <c r="OYZ308" s="37"/>
      <c r="OZA308" s="33"/>
      <c r="OZB308" s="206"/>
      <c r="OZC308" s="207"/>
      <c r="OZD308" s="204"/>
      <c r="OZE308" s="35"/>
      <c r="OZF308" s="202"/>
      <c r="OZG308" s="203"/>
      <c r="OZH308" s="36"/>
      <c r="OZI308" s="36"/>
      <c r="OZJ308" s="205"/>
      <c r="OZK308" s="33"/>
      <c r="OZL308" s="37"/>
      <c r="OZM308" s="37"/>
      <c r="OZN308" s="37"/>
      <c r="OZO308" s="37"/>
      <c r="OZP308" s="37"/>
      <c r="OZQ308" s="33"/>
      <c r="OZR308" s="206"/>
      <c r="OZS308" s="207"/>
      <c r="OZT308" s="204"/>
      <c r="OZU308" s="35"/>
      <c r="OZV308" s="202"/>
      <c r="OZW308" s="203"/>
      <c r="OZX308" s="36"/>
      <c r="OZY308" s="36"/>
      <c r="OZZ308" s="205"/>
      <c r="PAA308" s="33"/>
      <c r="PAB308" s="37"/>
      <c r="PAC308" s="37"/>
      <c r="PAD308" s="37"/>
      <c r="PAE308" s="37"/>
      <c r="PAF308" s="37"/>
      <c r="PAG308" s="33"/>
      <c r="PAH308" s="206"/>
      <c r="PAI308" s="207"/>
      <c r="PAJ308" s="204"/>
      <c r="PAK308" s="35"/>
      <c r="PAL308" s="202"/>
      <c r="PAM308" s="203"/>
      <c r="PAN308" s="36"/>
      <c r="PAO308" s="36"/>
      <c r="PAP308" s="205"/>
      <c r="PAQ308" s="33"/>
      <c r="PAR308" s="37"/>
      <c r="PAS308" s="37"/>
      <c r="PAT308" s="37"/>
      <c r="PAU308" s="37"/>
      <c r="PAV308" s="37"/>
      <c r="PAW308" s="33"/>
      <c r="PAX308" s="206"/>
      <c r="PAY308" s="207"/>
      <c r="PAZ308" s="204"/>
      <c r="PBA308" s="35"/>
      <c r="PBB308" s="202"/>
      <c r="PBC308" s="203"/>
      <c r="PBD308" s="36"/>
      <c r="PBE308" s="36"/>
      <c r="PBF308" s="205"/>
      <c r="PBG308" s="33"/>
      <c r="PBH308" s="37"/>
      <c r="PBI308" s="37"/>
      <c r="PBJ308" s="37"/>
      <c r="PBK308" s="37"/>
      <c r="PBL308" s="37"/>
      <c r="PBM308" s="33"/>
      <c r="PBN308" s="206"/>
      <c r="PBO308" s="207"/>
      <c r="PBP308" s="204"/>
      <c r="PBQ308" s="35"/>
      <c r="PBR308" s="202"/>
      <c r="PBS308" s="203"/>
      <c r="PBT308" s="36"/>
      <c r="PBU308" s="36"/>
      <c r="PBV308" s="205"/>
      <c r="PBW308" s="33"/>
      <c r="PBX308" s="37"/>
      <c r="PBY308" s="37"/>
      <c r="PBZ308" s="37"/>
      <c r="PCA308" s="37"/>
      <c r="PCB308" s="37"/>
      <c r="PCC308" s="33"/>
      <c r="PCD308" s="206"/>
      <c r="PCE308" s="207"/>
      <c r="PCF308" s="204"/>
      <c r="PCG308" s="35"/>
      <c r="PCH308" s="202"/>
      <c r="PCI308" s="203"/>
      <c r="PCJ308" s="36"/>
      <c r="PCK308" s="36"/>
      <c r="PCL308" s="205"/>
      <c r="PCM308" s="33"/>
      <c r="PCN308" s="37"/>
      <c r="PCO308" s="37"/>
      <c r="PCP308" s="37"/>
      <c r="PCQ308" s="37"/>
      <c r="PCR308" s="37"/>
      <c r="PCS308" s="33"/>
      <c r="PCT308" s="206"/>
      <c r="PCU308" s="207"/>
      <c r="PCV308" s="204"/>
      <c r="PCW308" s="35"/>
      <c r="PCX308" s="202"/>
      <c r="PCY308" s="203"/>
      <c r="PCZ308" s="36"/>
      <c r="PDA308" s="36"/>
      <c r="PDB308" s="205"/>
      <c r="PDC308" s="33"/>
      <c r="PDD308" s="37"/>
      <c r="PDE308" s="37"/>
      <c r="PDF308" s="37"/>
      <c r="PDG308" s="37"/>
      <c r="PDH308" s="37"/>
      <c r="PDI308" s="33"/>
      <c r="PDJ308" s="206"/>
      <c r="PDK308" s="207"/>
      <c r="PDL308" s="204"/>
      <c r="PDM308" s="35"/>
      <c r="PDN308" s="202"/>
      <c r="PDO308" s="203"/>
      <c r="PDP308" s="36"/>
      <c r="PDQ308" s="36"/>
      <c r="PDR308" s="205"/>
      <c r="PDS308" s="33"/>
      <c r="PDT308" s="37"/>
      <c r="PDU308" s="37"/>
      <c r="PDV308" s="37"/>
      <c r="PDW308" s="37"/>
      <c r="PDX308" s="37"/>
      <c r="PDY308" s="33"/>
      <c r="PDZ308" s="206"/>
      <c r="PEA308" s="207"/>
      <c r="PEB308" s="204"/>
      <c r="PEC308" s="35"/>
      <c r="PED308" s="202"/>
      <c r="PEE308" s="203"/>
      <c r="PEF308" s="36"/>
      <c r="PEG308" s="36"/>
      <c r="PEH308" s="205"/>
      <c r="PEI308" s="33"/>
      <c r="PEJ308" s="37"/>
      <c r="PEK308" s="37"/>
      <c r="PEL308" s="37"/>
      <c r="PEM308" s="37"/>
      <c r="PEN308" s="37"/>
      <c r="PEO308" s="33"/>
      <c r="PEP308" s="206"/>
      <c r="PEQ308" s="207"/>
      <c r="PER308" s="204"/>
      <c r="PES308" s="35"/>
      <c r="PET308" s="202"/>
      <c r="PEU308" s="203"/>
      <c r="PEV308" s="36"/>
      <c r="PEW308" s="36"/>
      <c r="PEX308" s="205"/>
      <c r="PEY308" s="33"/>
      <c r="PEZ308" s="37"/>
      <c r="PFA308" s="37"/>
      <c r="PFB308" s="37"/>
      <c r="PFC308" s="37"/>
      <c r="PFD308" s="37"/>
      <c r="PFE308" s="33"/>
      <c r="PFF308" s="206"/>
      <c r="PFG308" s="207"/>
      <c r="PFH308" s="204"/>
      <c r="PFI308" s="35"/>
      <c r="PFJ308" s="202"/>
      <c r="PFK308" s="203"/>
      <c r="PFL308" s="36"/>
      <c r="PFM308" s="36"/>
      <c r="PFN308" s="205"/>
      <c r="PFO308" s="33"/>
      <c r="PFP308" s="37"/>
      <c r="PFQ308" s="37"/>
      <c r="PFR308" s="37"/>
      <c r="PFS308" s="37"/>
      <c r="PFT308" s="37"/>
      <c r="PFU308" s="33"/>
      <c r="PFV308" s="206"/>
      <c r="PFW308" s="207"/>
      <c r="PFX308" s="204"/>
      <c r="PFY308" s="35"/>
      <c r="PFZ308" s="202"/>
      <c r="PGA308" s="203"/>
      <c r="PGB308" s="36"/>
      <c r="PGC308" s="36"/>
      <c r="PGD308" s="205"/>
      <c r="PGE308" s="33"/>
      <c r="PGF308" s="37"/>
      <c r="PGG308" s="37"/>
      <c r="PGH308" s="37"/>
      <c r="PGI308" s="37"/>
      <c r="PGJ308" s="37"/>
      <c r="PGK308" s="33"/>
      <c r="PGL308" s="206"/>
      <c r="PGM308" s="207"/>
      <c r="PGN308" s="204"/>
      <c r="PGO308" s="35"/>
      <c r="PGP308" s="202"/>
      <c r="PGQ308" s="203"/>
      <c r="PGR308" s="36"/>
      <c r="PGS308" s="36"/>
      <c r="PGT308" s="205"/>
      <c r="PGU308" s="33"/>
      <c r="PGV308" s="37"/>
      <c r="PGW308" s="37"/>
      <c r="PGX308" s="37"/>
      <c r="PGY308" s="37"/>
      <c r="PGZ308" s="37"/>
      <c r="PHA308" s="33"/>
      <c r="PHB308" s="206"/>
      <c r="PHC308" s="207"/>
      <c r="PHD308" s="204"/>
      <c r="PHE308" s="35"/>
      <c r="PHF308" s="202"/>
      <c r="PHG308" s="203"/>
      <c r="PHH308" s="36"/>
      <c r="PHI308" s="36"/>
      <c r="PHJ308" s="205"/>
      <c r="PHK308" s="33"/>
      <c r="PHL308" s="37"/>
      <c r="PHM308" s="37"/>
      <c r="PHN308" s="37"/>
      <c r="PHO308" s="37"/>
      <c r="PHP308" s="37"/>
      <c r="PHQ308" s="33"/>
      <c r="PHR308" s="206"/>
      <c r="PHS308" s="207"/>
      <c r="PHT308" s="204"/>
      <c r="PHU308" s="35"/>
      <c r="PHV308" s="202"/>
      <c r="PHW308" s="203"/>
      <c r="PHX308" s="36"/>
      <c r="PHY308" s="36"/>
      <c r="PHZ308" s="205"/>
      <c r="PIA308" s="33"/>
      <c r="PIB308" s="37"/>
      <c r="PIC308" s="37"/>
      <c r="PID308" s="37"/>
      <c r="PIE308" s="37"/>
      <c r="PIF308" s="37"/>
      <c r="PIG308" s="33"/>
      <c r="PIH308" s="206"/>
      <c r="PII308" s="207"/>
      <c r="PIJ308" s="204"/>
      <c r="PIK308" s="35"/>
      <c r="PIL308" s="202"/>
      <c r="PIM308" s="203"/>
      <c r="PIN308" s="36"/>
      <c r="PIO308" s="36"/>
      <c r="PIP308" s="205"/>
      <c r="PIQ308" s="33"/>
      <c r="PIR308" s="37"/>
      <c r="PIS308" s="37"/>
      <c r="PIT308" s="37"/>
      <c r="PIU308" s="37"/>
      <c r="PIV308" s="37"/>
      <c r="PIW308" s="33"/>
      <c r="PIX308" s="206"/>
      <c r="PIY308" s="207"/>
      <c r="PIZ308" s="204"/>
      <c r="PJA308" s="35"/>
      <c r="PJB308" s="202"/>
      <c r="PJC308" s="203"/>
      <c r="PJD308" s="36"/>
      <c r="PJE308" s="36"/>
      <c r="PJF308" s="205"/>
      <c r="PJG308" s="33"/>
      <c r="PJH308" s="37"/>
      <c r="PJI308" s="37"/>
      <c r="PJJ308" s="37"/>
      <c r="PJK308" s="37"/>
      <c r="PJL308" s="37"/>
      <c r="PJM308" s="33"/>
      <c r="PJN308" s="206"/>
      <c r="PJO308" s="207"/>
      <c r="PJP308" s="204"/>
      <c r="PJQ308" s="35"/>
      <c r="PJR308" s="202"/>
      <c r="PJS308" s="203"/>
      <c r="PJT308" s="36"/>
      <c r="PJU308" s="36"/>
      <c r="PJV308" s="205"/>
      <c r="PJW308" s="33"/>
      <c r="PJX308" s="37"/>
      <c r="PJY308" s="37"/>
      <c r="PJZ308" s="37"/>
      <c r="PKA308" s="37"/>
      <c r="PKB308" s="37"/>
      <c r="PKC308" s="33"/>
      <c r="PKD308" s="206"/>
      <c r="PKE308" s="207"/>
      <c r="PKF308" s="204"/>
      <c r="PKG308" s="35"/>
      <c r="PKH308" s="202"/>
      <c r="PKI308" s="203"/>
      <c r="PKJ308" s="36"/>
      <c r="PKK308" s="36"/>
      <c r="PKL308" s="205"/>
      <c r="PKM308" s="33"/>
      <c r="PKN308" s="37"/>
      <c r="PKO308" s="37"/>
      <c r="PKP308" s="37"/>
      <c r="PKQ308" s="37"/>
      <c r="PKR308" s="37"/>
      <c r="PKS308" s="33"/>
      <c r="PKT308" s="206"/>
      <c r="PKU308" s="207"/>
      <c r="PKV308" s="204"/>
      <c r="PKW308" s="35"/>
      <c r="PKX308" s="202"/>
      <c r="PKY308" s="203"/>
      <c r="PKZ308" s="36"/>
      <c r="PLA308" s="36"/>
      <c r="PLB308" s="205"/>
      <c r="PLC308" s="33"/>
      <c r="PLD308" s="37"/>
      <c r="PLE308" s="37"/>
      <c r="PLF308" s="37"/>
      <c r="PLG308" s="37"/>
      <c r="PLH308" s="37"/>
      <c r="PLI308" s="33"/>
      <c r="PLJ308" s="206"/>
      <c r="PLK308" s="207"/>
      <c r="PLL308" s="204"/>
      <c r="PLM308" s="35"/>
      <c r="PLN308" s="202"/>
      <c r="PLO308" s="203"/>
      <c r="PLP308" s="36"/>
      <c r="PLQ308" s="36"/>
      <c r="PLR308" s="205"/>
      <c r="PLS308" s="33"/>
      <c r="PLT308" s="37"/>
      <c r="PLU308" s="37"/>
      <c r="PLV308" s="37"/>
      <c r="PLW308" s="37"/>
      <c r="PLX308" s="37"/>
      <c r="PLY308" s="33"/>
      <c r="PLZ308" s="206"/>
      <c r="PMA308" s="207"/>
      <c r="PMB308" s="204"/>
      <c r="PMC308" s="35"/>
      <c r="PMD308" s="202"/>
      <c r="PME308" s="203"/>
      <c r="PMF308" s="36"/>
      <c r="PMG308" s="36"/>
      <c r="PMH308" s="205"/>
      <c r="PMI308" s="33"/>
      <c r="PMJ308" s="37"/>
      <c r="PMK308" s="37"/>
      <c r="PML308" s="37"/>
      <c r="PMM308" s="37"/>
      <c r="PMN308" s="37"/>
      <c r="PMO308" s="33"/>
      <c r="PMP308" s="206"/>
      <c r="PMQ308" s="207"/>
      <c r="PMR308" s="204"/>
      <c r="PMS308" s="35"/>
      <c r="PMT308" s="202"/>
      <c r="PMU308" s="203"/>
      <c r="PMV308" s="36"/>
      <c r="PMW308" s="36"/>
      <c r="PMX308" s="205"/>
      <c r="PMY308" s="33"/>
      <c r="PMZ308" s="37"/>
      <c r="PNA308" s="37"/>
      <c r="PNB308" s="37"/>
      <c r="PNC308" s="37"/>
      <c r="PND308" s="37"/>
      <c r="PNE308" s="33"/>
      <c r="PNF308" s="206"/>
      <c r="PNG308" s="207"/>
      <c r="PNH308" s="204"/>
      <c r="PNI308" s="35"/>
      <c r="PNJ308" s="202"/>
      <c r="PNK308" s="203"/>
      <c r="PNL308" s="36"/>
      <c r="PNM308" s="36"/>
      <c r="PNN308" s="205"/>
      <c r="PNO308" s="33"/>
      <c r="PNP308" s="37"/>
      <c r="PNQ308" s="37"/>
      <c r="PNR308" s="37"/>
      <c r="PNS308" s="37"/>
      <c r="PNT308" s="37"/>
      <c r="PNU308" s="33"/>
      <c r="PNV308" s="206"/>
      <c r="PNW308" s="207"/>
      <c r="PNX308" s="204"/>
      <c r="PNY308" s="35"/>
      <c r="PNZ308" s="202"/>
      <c r="POA308" s="203"/>
      <c r="POB308" s="36"/>
      <c r="POC308" s="36"/>
      <c r="POD308" s="205"/>
      <c r="POE308" s="33"/>
      <c r="POF308" s="37"/>
      <c r="POG308" s="37"/>
      <c r="POH308" s="37"/>
      <c r="POI308" s="37"/>
      <c r="POJ308" s="37"/>
      <c r="POK308" s="33"/>
      <c r="POL308" s="206"/>
      <c r="POM308" s="207"/>
      <c r="PON308" s="204"/>
      <c r="POO308" s="35"/>
      <c r="POP308" s="202"/>
      <c r="POQ308" s="203"/>
      <c r="POR308" s="36"/>
      <c r="POS308" s="36"/>
      <c r="POT308" s="205"/>
      <c r="POU308" s="33"/>
      <c r="POV308" s="37"/>
      <c r="POW308" s="37"/>
      <c r="POX308" s="37"/>
      <c r="POY308" s="37"/>
      <c r="POZ308" s="37"/>
      <c r="PPA308" s="33"/>
      <c r="PPB308" s="206"/>
      <c r="PPC308" s="207"/>
      <c r="PPD308" s="204"/>
      <c r="PPE308" s="35"/>
      <c r="PPF308" s="202"/>
      <c r="PPG308" s="203"/>
      <c r="PPH308" s="36"/>
      <c r="PPI308" s="36"/>
      <c r="PPJ308" s="205"/>
      <c r="PPK308" s="33"/>
      <c r="PPL308" s="37"/>
      <c r="PPM308" s="37"/>
      <c r="PPN308" s="37"/>
      <c r="PPO308" s="37"/>
      <c r="PPP308" s="37"/>
      <c r="PPQ308" s="33"/>
      <c r="PPR308" s="206"/>
      <c r="PPS308" s="207"/>
      <c r="PPT308" s="204"/>
      <c r="PPU308" s="35"/>
      <c r="PPV308" s="202"/>
      <c r="PPW308" s="203"/>
      <c r="PPX308" s="36"/>
      <c r="PPY308" s="36"/>
      <c r="PPZ308" s="205"/>
      <c r="PQA308" s="33"/>
      <c r="PQB308" s="37"/>
      <c r="PQC308" s="37"/>
      <c r="PQD308" s="37"/>
      <c r="PQE308" s="37"/>
      <c r="PQF308" s="37"/>
      <c r="PQG308" s="33"/>
      <c r="PQH308" s="206"/>
      <c r="PQI308" s="207"/>
      <c r="PQJ308" s="204"/>
      <c r="PQK308" s="35"/>
      <c r="PQL308" s="202"/>
      <c r="PQM308" s="203"/>
      <c r="PQN308" s="36"/>
      <c r="PQO308" s="36"/>
      <c r="PQP308" s="205"/>
      <c r="PQQ308" s="33"/>
      <c r="PQR308" s="37"/>
      <c r="PQS308" s="37"/>
      <c r="PQT308" s="37"/>
      <c r="PQU308" s="37"/>
      <c r="PQV308" s="37"/>
      <c r="PQW308" s="33"/>
      <c r="PQX308" s="206"/>
      <c r="PQY308" s="207"/>
      <c r="PQZ308" s="204"/>
      <c r="PRA308" s="35"/>
      <c r="PRB308" s="202"/>
      <c r="PRC308" s="203"/>
      <c r="PRD308" s="36"/>
      <c r="PRE308" s="36"/>
      <c r="PRF308" s="205"/>
      <c r="PRG308" s="33"/>
      <c r="PRH308" s="37"/>
      <c r="PRI308" s="37"/>
      <c r="PRJ308" s="37"/>
      <c r="PRK308" s="37"/>
      <c r="PRL308" s="37"/>
      <c r="PRM308" s="33"/>
      <c r="PRN308" s="206"/>
      <c r="PRO308" s="207"/>
      <c r="PRP308" s="204"/>
      <c r="PRQ308" s="35"/>
      <c r="PRR308" s="202"/>
      <c r="PRS308" s="203"/>
      <c r="PRT308" s="36"/>
      <c r="PRU308" s="36"/>
      <c r="PRV308" s="205"/>
      <c r="PRW308" s="33"/>
      <c r="PRX308" s="37"/>
      <c r="PRY308" s="37"/>
      <c r="PRZ308" s="37"/>
      <c r="PSA308" s="37"/>
      <c r="PSB308" s="37"/>
      <c r="PSC308" s="33"/>
      <c r="PSD308" s="206"/>
      <c r="PSE308" s="207"/>
      <c r="PSF308" s="204"/>
      <c r="PSG308" s="35"/>
      <c r="PSH308" s="202"/>
      <c r="PSI308" s="203"/>
      <c r="PSJ308" s="36"/>
      <c r="PSK308" s="36"/>
      <c r="PSL308" s="205"/>
      <c r="PSM308" s="33"/>
      <c r="PSN308" s="37"/>
      <c r="PSO308" s="37"/>
      <c r="PSP308" s="37"/>
      <c r="PSQ308" s="37"/>
      <c r="PSR308" s="37"/>
      <c r="PSS308" s="33"/>
      <c r="PST308" s="206"/>
      <c r="PSU308" s="207"/>
      <c r="PSV308" s="204"/>
      <c r="PSW308" s="35"/>
      <c r="PSX308" s="202"/>
      <c r="PSY308" s="203"/>
      <c r="PSZ308" s="36"/>
      <c r="PTA308" s="36"/>
      <c r="PTB308" s="205"/>
      <c r="PTC308" s="33"/>
      <c r="PTD308" s="37"/>
      <c r="PTE308" s="37"/>
      <c r="PTF308" s="37"/>
      <c r="PTG308" s="37"/>
      <c r="PTH308" s="37"/>
      <c r="PTI308" s="33"/>
      <c r="PTJ308" s="206"/>
      <c r="PTK308" s="207"/>
      <c r="PTL308" s="204"/>
      <c r="PTM308" s="35"/>
      <c r="PTN308" s="202"/>
      <c r="PTO308" s="203"/>
      <c r="PTP308" s="36"/>
      <c r="PTQ308" s="36"/>
      <c r="PTR308" s="205"/>
      <c r="PTS308" s="33"/>
      <c r="PTT308" s="37"/>
      <c r="PTU308" s="37"/>
      <c r="PTV308" s="37"/>
      <c r="PTW308" s="37"/>
      <c r="PTX308" s="37"/>
      <c r="PTY308" s="33"/>
      <c r="PTZ308" s="206"/>
      <c r="PUA308" s="207"/>
      <c r="PUB308" s="204"/>
      <c r="PUC308" s="35"/>
      <c r="PUD308" s="202"/>
      <c r="PUE308" s="203"/>
      <c r="PUF308" s="36"/>
      <c r="PUG308" s="36"/>
      <c r="PUH308" s="205"/>
      <c r="PUI308" s="33"/>
      <c r="PUJ308" s="37"/>
      <c r="PUK308" s="37"/>
      <c r="PUL308" s="37"/>
      <c r="PUM308" s="37"/>
      <c r="PUN308" s="37"/>
      <c r="PUO308" s="33"/>
      <c r="PUP308" s="206"/>
      <c r="PUQ308" s="207"/>
      <c r="PUR308" s="204"/>
      <c r="PUS308" s="35"/>
      <c r="PUT308" s="202"/>
      <c r="PUU308" s="203"/>
      <c r="PUV308" s="36"/>
      <c r="PUW308" s="36"/>
      <c r="PUX308" s="205"/>
      <c r="PUY308" s="33"/>
      <c r="PUZ308" s="37"/>
      <c r="PVA308" s="37"/>
      <c r="PVB308" s="37"/>
      <c r="PVC308" s="37"/>
      <c r="PVD308" s="37"/>
      <c r="PVE308" s="33"/>
      <c r="PVF308" s="206"/>
      <c r="PVG308" s="207"/>
      <c r="PVH308" s="204"/>
      <c r="PVI308" s="35"/>
      <c r="PVJ308" s="202"/>
      <c r="PVK308" s="203"/>
      <c r="PVL308" s="36"/>
      <c r="PVM308" s="36"/>
      <c r="PVN308" s="205"/>
      <c r="PVO308" s="33"/>
      <c r="PVP308" s="37"/>
      <c r="PVQ308" s="37"/>
      <c r="PVR308" s="37"/>
      <c r="PVS308" s="37"/>
      <c r="PVT308" s="37"/>
      <c r="PVU308" s="33"/>
      <c r="PVV308" s="206"/>
      <c r="PVW308" s="207"/>
      <c r="PVX308" s="204"/>
      <c r="PVY308" s="35"/>
      <c r="PVZ308" s="202"/>
      <c r="PWA308" s="203"/>
      <c r="PWB308" s="36"/>
      <c r="PWC308" s="36"/>
      <c r="PWD308" s="205"/>
      <c r="PWE308" s="33"/>
      <c r="PWF308" s="37"/>
      <c r="PWG308" s="37"/>
      <c r="PWH308" s="37"/>
      <c r="PWI308" s="37"/>
      <c r="PWJ308" s="37"/>
      <c r="PWK308" s="33"/>
      <c r="PWL308" s="206"/>
      <c r="PWM308" s="207"/>
      <c r="PWN308" s="204"/>
      <c r="PWO308" s="35"/>
      <c r="PWP308" s="202"/>
      <c r="PWQ308" s="203"/>
      <c r="PWR308" s="36"/>
      <c r="PWS308" s="36"/>
      <c r="PWT308" s="205"/>
      <c r="PWU308" s="33"/>
      <c r="PWV308" s="37"/>
      <c r="PWW308" s="37"/>
      <c r="PWX308" s="37"/>
      <c r="PWY308" s="37"/>
      <c r="PWZ308" s="37"/>
      <c r="PXA308" s="33"/>
      <c r="PXB308" s="206"/>
      <c r="PXC308" s="207"/>
      <c r="PXD308" s="204"/>
      <c r="PXE308" s="35"/>
      <c r="PXF308" s="202"/>
      <c r="PXG308" s="203"/>
      <c r="PXH308" s="36"/>
      <c r="PXI308" s="36"/>
      <c r="PXJ308" s="205"/>
      <c r="PXK308" s="33"/>
      <c r="PXL308" s="37"/>
      <c r="PXM308" s="37"/>
      <c r="PXN308" s="37"/>
      <c r="PXO308" s="37"/>
      <c r="PXP308" s="37"/>
      <c r="PXQ308" s="33"/>
      <c r="PXR308" s="206"/>
      <c r="PXS308" s="207"/>
      <c r="PXT308" s="204"/>
      <c r="PXU308" s="35"/>
      <c r="PXV308" s="202"/>
      <c r="PXW308" s="203"/>
      <c r="PXX308" s="36"/>
      <c r="PXY308" s="36"/>
      <c r="PXZ308" s="205"/>
      <c r="PYA308" s="33"/>
      <c r="PYB308" s="37"/>
      <c r="PYC308" s="37"/>
      <c r="PYD308" s="37"/>
      <c r="PYE308" s="37"/>
      <c r="PYF308" s="37"/>
      <c r="PYG308" s="33"/>
      <c r="PYH308" s="206"/>
      <c r="PYI308" s="207"/>
      <c r="PYJ308" s="204"/>
      <c r="PYK308" s="35"/>
      <c r="PYL308" s="202"/>
      <c r="PYM308" s="203"/>
      <c r="PYN308" s="36"/>
      <c r="PYO308" s="36"/>
      <c r="PYP308" s="205"/>
      <c r="PYQ308" s="33"/>
      <c r="PYR308" s="37"/>
      <c r="PYS308" s="37"/>
      <c r="PYT308" s="37"/>
      <c r="PYU308" s="37"/>
      <c r="PYV308" s="37"/>
      <c r="PYW308" s="33"/>
      <c r="PYX308" s="206"/>
      <c r="PYY308" s="207"/>
      <c r="PYZ308" s="204"/>
      <c r="PZA308" s="35"/>
      <c r="PZB308" s="202"/>
      <c r="PZC308" s="203"/>
      <c r="PZD308" s="36"/>
      <c r="PZE308" s="36"/>
      <c r="PZF308" s="205"/>
      <c r="PZG308" s="33"/>
      <c r="PZH308" s="37"/>
      <c r="PZI308" s="37"/>
      <c r="PZJ308" s="37"/>
      <c r="PZK308" s="37"/>
      <c r="PZL308" s="37"/>
      <c r="PZM308" s="33"/>
      <c r="PZN308" s="206"/>
      <c r="PZO308" s="207"/>
      <c r="PZP308" s="204"/>
      <c r="PZQ308" s="35"/>
      <c r="PZR308" s="202"/>
      <c r="PZS308" s="203"/>
      <c r="PZT308" s="36"/>
      <c r="PZU308" s="36"/>
      <c r="PZV308" s="205"/>
      <c r="PZW308" s="33"/>
      <c r="PZX308" s="37"/>
      <c r="PZY308" s="37"/>
      <c r="PZZ308" s="37"/>
      <c r="QAA308" s="37"/>
      <c r="QAB308" s="37"/>
      <c r="QAC308" s="33"/>
      <c r="QAD308" s="206"/>
      <c r="QAE308" s="207"/>
      <c r="QAF308" s="204"/>
      <c r="QAG308" s="35"/>
      <c r="QAH308" s="202"/>
      <c r="QAI308" s="203"/>
      <c r="QAJ308" s="36"/>
      <c r="QAK308" s="36"/>
      <c r="QAL308" s="205"/>
      <c r="QAM308" s="33"/>
      <c r="QAN308" s="37"/>
      <c r="QAO308" s="37"/>
      <c r="QAP308" s="37"/>
      <c r="QAQ308" s="37"/>
      <c r="QAR308" s="37"/>
      <c r="QAS308" s="33"/>
      <c r="QAT308" s="206"/>
      <c r="QAU308" s="207"/>
      <c r="QAV308" s="204"/>
      <c r="QAW308" s="35"/>
      <c r="QAX308" s="202"/>
      <c r="QAY308" s="203"/>
      <c r="QAZ308" s="36"/>
      <c r="QBA308" s="36"/>
      <c r="QBB308" s="205"/>
      <c r="QBC308" s="33"/>
      <c r="QBD308" s="37"/>
      <c r="QBE308" s="37"/>
      <c r="QBF308" s="37"/>
      <c r="QBG308" s="37"/>
      <c r="QBH308" s="37"/>
      <c r="QBI308" s="33"/>
      <c r="QBJ308" s="206"/>
      <c r="QBK308" s="207"/>
      <c r="QBL308" s="204"/>
      <c r="QBM308" s="35"/>
      <c r="QBN308" s="202"/>
      <c r="QBO308" s="203"/>
      <c r="QBP308" s="36"/>
      <c r="QBQ308" s="36"/>
      <c r="QBR308" s="205"/>
      <c r="QBS308" s="33"/>
      <c r="QBT308" s="37"/>
      <c r="QBU308" s="37"/>
      <c r="QBV308" s="37"/>
      <c r="QBW308" s="37"/>
      <c r="QBX308" s="37"/>
      <c r="QBY308" s="33"/>
      <c r="QBZ308" s="206"/>
      <c r="QCA308" s="207"/>
      <c r="QCB308" s="204"/>
      <c r="QCC308" s="35"/>
      <c r="QCD308" s="202"/>
      <c r="QCE308" s="203"/>
      <c r="QCF308" s="36"/>
      <c r="QCG308" s="36"/>
      <c r="QCH308" s="205"/>
      <c r="QCI308" s="33"/>
      <c r="QCJ308" s="37"/>
      <c r="QCK308" s="37"/>
      <c r="QCL308" s="37"/>
      <c r="QCM308" s="37"/>
      <c r="QCN308" s="37"/>
      <c r="QCO308" s="33"/>
      <c r="QCP308" s="206"/>
      <c r="QCQ308" s="207"/>
      <c r="QCR308" s="204"/>
      <c r="QCS308" s="35"/>
      <c r="QCT308" s="202"/>
      <c r="QCU308" s="203"/>
      <c r="QCV308" s="36"/>
      <c r="QCW308" s="36"/>
      <c r="QCX308" s="205"/>
      <c r="QCY308" s="33"/>
      <c r="QCZ308" s="37"/>
      <c r="QDA308" s="37"/>
      <c r="QDB308" s="37"/>
      <c r="QDC308" s="37"/>
      <c r="QDD308" s="37"/>
      <c r="QDE308" s="33"/>
      <c r="QDF308" s="206"/>
      <c r="QDG308" s="207"/>
      <c r="QDH308" s="204"/>
      <c r="QDI308" s="35"/>
      <c r="QDJ308" s="202"/>
      <c r="QDK308" s="203"/>
      <c r="QDL308" s="36"/>
      <c r="QDM308" s="36"/>
      <c r="QDN308" s="205"/>
      <c r="QDO308" s="33"/>
      <c r="QDP308" s="37"/>
      <c r="QDQ308" s="37"/>
      <c r="QDR308" s="37"/>
      <c r="QDS308" s="37"/>
      <c r="QDT308" s="37"/>
      <c r="QDU308" s="33"/>
      <c r="QDV308" s="206"/>
      <c r="QDW308" s="207"/>
      <c r="QDX308" s="204"/>
      <c r="QDY308" s="35"/>
      <c r="QDZ308" s="202"/>
      <c r="QEA308" s="203"/>
      <c r="QEB308" s="36"/>
      <c r="QEC308" s="36"/>
      <c r="QED308" s="205"/>
      <c r="QEE308" s="33"/>
      <c r="QEF308" s="37"/>
      <c r="QEG308" s="37"/>
      <c r="QEH308" s="37"/>
      <c r="QEI308" s="37"/>
      <c r="QEJ308" s="37"/>
      <c r="QEK308" s="33"/>
      <c r="QEL308" s="206"/>
      <c r="QEM308" s="207"/>
      <c r="QEN308" s="204"/>
      <c r="QEO308" s="35"/>
      <c r="QEP308" s="202"/>
      <c r="QEQ308" s="203"/>
      <c r="QER308" s="36"/>
      <c r="QES308" s="36"/>
      <c r="QET308" s="205"/>
      <c r="QEU308" s="33"/>
      <c r="QEV308" s="37"/>
      <c r="QEW308" s="37"/>
      <c r="QEX308" s="37"/>
      <c r="QEY308" s="37"/>
      <c r="QEZ308" s="37"/>
      <c r="QFA308" s="33"/>
      <c r="QFB308" s="206"/>
      <c r="QFC308" s="207"/>
      <c r="QFD308" s="204"/>
      <c r="QFE308" s="35"/>
      <c r="QFF308" s="202"/>
      <c r="QFG308" s="203"/>
      <c r="QFH308" s="36"/>
      <c r="QFI308" s="36"/>
      <c r="QFJ308" s="205"/>
      <c r="QFK308" s="33"/>
      <c r="QFL308" s="37"/>
      <c r="QFM308" s="37"/>
      <c r="QFN308" s="37"/>
      <c r="QFO308" s="37"/>
      <c r="QFP308" s="37"/>
      <c r="QFQ308" s="33"/>
      <c r="QFR308" s="206"/>
      <c r="QFS308" s="207"/>
      <c r="QFT308" s="204"/>
      <c r="QFU308" s="35"/>
      <c r="QFV308" s="202"/>
      <c r="QFW308" s="203"/>
      <c r="QFX308" s="36"/>
      <c r="QFY308" s="36"/>
      <c r="QFZ308" s="205"/>
      <c r="QGA308" s="33"/>
      <c r="QGB308" s="37"/>
      <c r="QGC308" s="37"/>
      <c r="QGD308" s="37"/>
      <c r="QGE308" s="37"/>
      <c r="QGF308" s="37"/>
      <c r="QGG308" s="33"/>
      <c r="QGH308" s="206"/>
      <c r="QGI308" s="207"/>
      <c r="QGJ308" s="204"/>
      <c r="QGK308" s="35"/>
      <c r="QGL308" s="202"/>
      <c r="QGM308" s="203"/>
      <c r="QGN308" s="36"/>
      <c r="QGO308" s="36"/>
      <c r="QGP308" s="205"/>
      <c r="QGQ308" s="33"/>
      <c r="QGR308" s="37"/>
      <c r="QGS308" s="37"/>
      <c r="QGT308" s="37"/>
      <c r="QGU308" s="37"/>
      <c r="QGV308" s="37"/>
      <c r="QGW308" s="33"/>
      <c r="QGX308" s="206"/>
      <c r="QGY308" s="207"/>
      <c r="QGZ308" s="204"/>
      <c r="QHA308" s="35"/>
      <c r="QHB308" s="202"/>
      <c r="QHC308" s="203"/>
      <c r="QHD308" s="36"/>
      <c r="QHE308" s="36"/>
      <c r="QHF308" s="205"/>
      <c r="QHG308" s="33"/>
      <c r="QHH308" s="37"/>
      <c r="QHI308" s="37"/>
      <c r="QHJ308" s="37"/>
      <c r="QHK308" s="37"/>
      <c r="QHL308" s="37"/>
      <c r="QHM308" s="33"/>
      <c r="QHN308" s="206"/>
      <c r="QHO308" s="207"/>
      <c r="QHP308" s="204"/>
      <c r="QHQ308" s="35"/>
      <c r="QHR308" s="202"/>
      <c r="QHS308" s="203"/>
      <c r="QHT308" s="36"/>
      <c r="QHU308" s="36"/>
      <c r="QHV308" s="205"/>
      <c r="QHW308" s="33"/>
      <c r="QHX308" s="37"/>
      <c r="QHY308" s="37"/>
      <c r="QHZ308" s="37"/>
      <c r="QIA308" s="37"/>
      <c r="QIB308" s="37"/>
      <c r="QIC308" s="33"/>
      <c r="QID308" s="206"/>
      <c r="QIE308" s="207"/>
      <c r="QIF308" s="204"/>
      <c r="QIG308" s="35"/>
      <c r="QIH308" s="202"/>
      <c r="QII308" s="203"/>
      <c r="QIJ308" s="36"/>
      <c r="QIK308" s="36"/>
      <c r="QIL308" s="205"/>
      <c r="QIM308" s="33"/>
      <c r="QIN308" s="37"/>
      <c r="QIO308" s="37"/>
      <c r="QIP308" s="37"/>
      <c r="QIQ308" s="37"/>
      <c r="QIR308" s="37"/>
      <c r="QIS308" s="33"/>
      <c r="QIT308" s="206"/>
      <c r="QIU308" s="207"/>
      <c r="QIV308" s="204"/>
      <c r="QIW308" s="35"/>
      <c r="QIX308" s="202"/>
      <c r="QIY308" s="203"/>
      <c r="QIZ308" s="36"/>
      <c r="QJA308" s="36"/>
      <c r="QJB308" s="205"/>
      <c r="QJC308" s="33"/>
      <c r="QJD308" s="37"/>
      <c r="QJE308" s="37"/>
      <c r="QJF308" s="37"/>
      <c r="QJG308" s="37"/>
      <c r="QJH308" s="37"/>
      <c r="QJI308" s="33"/>
      <c r="QJJ308" s="206"/>
      <c r="QJK308" s="207"/>
      <c r="QJL308" s="204"/>
      <c r="QJM308" s="35"/>
      <c r="QJN308" s="202"/>
      <c r="QJO308" s="203"/>
      <c r="QJP308" s="36"/>
      <c r="QJQ308" s="36"/>
      <c r="QJR308" s="205"/>
      <c r="QJS308" s="33"/>
      <c r="QJT308" s="37"/>
      <c r="QJU308" s="37"/>
      <c r="QJV308" s="37"/>
      <c r="QJW308" s="37"/>
      <c r="QJX308" s="37"/>
      <c r="QJY308" s="33"/>
      <c r="QJZ308" s="206"/>
      <c r="QKA308" s="207"/>
      <c r="QKB308" s="204"/>
      <c r="QKC308" s="35"/>
      <c r="QKD308" s="202"/>
      <c r="QKE308" s="203"/>
      <c r="QKF308" s="36"/>
      <c r="QKG308" s="36"/>
      <c r="QKH308" s="205"/>
      <c r="QKI308" s="33"/>
      <c r="QKJ308" s="37"/>
      <c r="QKK308" s="37"/>
      <c r="QKL308" s="37"/>
      <c r="QKM308" s="37"/>
      <c r="QKN308" s="37"/>
      <c r="QKO308" s="33"/>
      <c r="QKP308" s="206"/>
      <c r="QKQ308" s="207"/>
      <c r="QKR308" s="204"/>
      <c r="QKS308" s="35"/>
      <c r="QKT308" s="202"/>
      <c r="QKU308" s="203"/>
      <c r="QKV308" s="36"/>
      <c r="QKW308" s="36"/>
      <c r="QKX308" s="205"/>
      <c r="QKY308" s="33"/>
      <c r="QKZ308" s="37"/>
      <c r="QLA308" s="37"/>
      <c r="QLB308" s="37"/>
      <c r="QLC308" s="37"/>
      <c r="QLD308" s="37"/>
      <c r="QLE308" s="33"/>
      <c r="QLF308" s="206"/>
      <c r="QLG308" s="207"/>
      <c r="QLH308" s="204"/>
      <c r="QLI308" s="35"/>
      <c r="QLJ308" s="202"/>
      <c r="QLK308" s="203"/>
      <c r="QLL308" s="36"/>
      <c r="QLM308" s="36"/>
      <c r="QLN308" s="205"/>
      <c r="QLO308" s="33"/>
      <c r="QLP308" s="37"/>
      <c r="QLQ308" s="37"/>
      <c r="QLR308" s="37"/>
      <c r="QLS308" s="37"/>
      <c r="QLT308" s="37"/>
      <c r="QLU308" s="33"/>
      <c r="QLV308" s="206"/>
      <c r="QLW308" s="207"/>
      <c r="QLX308" s="204"/>
      <c r="QLY308" s="35"/>
      <c r="QLZ308" s="202"/>
      <c r="QMA308" s="203"/>
      <c r="QMB308" s="36"/>
      <c r="QMC308" s="36"/>
      <c r="QMD308" s="205"/>
      <c r="QME308" s="33"/>
      <c r="QMF308" s="37"/>
      <c r="QMG308" s="37"/>
      <c r="QMH308" s="37"/>
      <c r="QMI308" s="37"/>
      <c r="QMJ308" s="37"/>
      <c r="QMK308" s="33"/>
      <c r="QML308" s="206"/>
      <c r="QMM308" s="207"/>
      <c r="QMN308" s="204"/>
      <c r="QMO308" s="35"/>
      <c r="QMP308" s="202"/>
      <c r="QMQ308" s="203"/>
      <c r="QMR308" s="36"/>
      <c r="QMS308" s="36"/>
      <c r="QMT308" s="205"/>
      <c r="QMU308" s="33"/>
      <c r="QMV308" s="37"/>
      <c r="QMW308" s="37"/>
      <c r="QMX308" s="37"/>
      <c r="QMY308" s="37"/>
      <c r="QMZ308" s="37"/>
      <c r="QNA308" s="33"/>
      <c r="QNB308" s="206"/>
      <c r="QNC308" s="207"/>
      <c r="QND308" s="204"/>
      <c r="QNE308" s="35"/>
      <c r="QNF308" s="202"/>
      <c r="QNG308" s="203"/>
      <c r="QNH308" s="36"/>
      <c r="QNI308" s="36"/>
      <c r="QNJ308" s="205"/>
      <c r="QNK308" s="33"/>
      <c r="QNL308" s="37"/>
      <c r="QNM308" s="37"/>
      <c r="QNN308" s="37"/>
      <c r="QNO308" s="37"/>
      <c r="QNP308" s="37"/>
      <c r="QNQ308" s="33"/>
      <c r="QNR308" s="206"/>
      <c r="QNS308" s="207"/>
      <c r="QNT308" s="204"/>
      <c r="QNU308" s="35"/>
      <c r="QNV308" s="202"/>
      <c r="QNW308" s="203"/>
      <c r="QNX308" s="36"/>
      <c r="QNY308" s="36"/>
      <c r="QNZ308" s="205"/>
      <c r="QOA308" s="33"/>
      <c r="QOB308" s="37"/>
      <c r="QOC308" s="37"/>
      <c r="QOD308" s="37"/>
      <c r="QOE308" s="37"/>
      <c r="QOF308" s="37"/>
      <c r="QOG308" s="33"/>
      <c r="QOH308" s="206"/>
      <c r="QOI308" s="207"/>
      <c r="QOJ308" s="204"/>
      <c r="QOK308" s="35"/>
      <c r="QOL308" s="202"/>
      <c r="QOM308" s="203"/>
      <c r="QON308" s="36"/>
      <c r="QOO308" s="36"/>
      <c r="QOP308" s="205"/>
      <c r="QOQ308" s="33"/>
      <c r="QOR308" s="37"/>
      <c r="QOS308" s="37"/>
      <c r="QOT308" s="37"/>
      <c r="QOU308" s="37"/>
      <c r="QOV308" s="37"/>
      <c r="QOW308" s="33"/>
      <c r="QOX308" s="206"/>
      <c r="QOY308" s="207"/>
      <c r="QOZ308" s="204"/>
      <c r="QPA308" s="35"/>
      <c r="QPB308" s="202"/>
      <c r="QPC308" s="203"/>
      <c r="QPD308" s="36"/>
      <c r="QPE308" s="36"/>
      <c r="QPF308" s="205"/>
      <c r="QPG308" s="33"/>
      <c r="QPH308" s="37"/>
      <c r="QPI308" s="37"/>
      <c r="QPJ308" s="37"/>
      <c r="QPK308" s="37"/>
      <c r="QPL308" s="37"/>
      <c r="QPM308" s="33"/>
      <c r="QPN308" s="206"/>
      <c r="QPO308" s="207"/>
      <c r="QPP308" s="204"/>
      <c r="QPQ308" s="35"/>
      <c r="QPR308" s="202"/>
      <c r="QPS308" s="203"/>
      <c r="QPT308" s="36"/>
      <c r="QPU308" s="36"/>
      <c r="QPV308" s="205"/>
      <c r="QPW308" s="33"/>
      <c r="QPX308" s="37"/>
      <c r="QPY308" s="37"/>
      <c r="QPZ308" s="37"/>
      <c r="QQA308" s="37"/>
      <c r="QQB308" s="37"/>
      <c r="QQC308" s="33"/>
      <c r="QQD308" s="206"/>
      <c r="QQE308" s="207"/>
      <c r="QQF308" s="204"/>
      <c r="QQG308" s="35"/>
      <c r="QQH308" s="202"/>
      <c r="QQI308" s="203"/>
      <c r="QQJ308" s="36"/>
      <c r="QQK308" s="36"/>
      <c r="QQL308" s="205"/>
      <c r="QQM308" s="33"/>
      <c r="QQN308" s="37"/>
      <c r="QQO308" s="37"/>
      <c r="QQP308" s="37"/>
      <c r="QQQ308" s="37"/>
      <c r="QQR308" s="37"/>
      <c r="QQS308" s="33"/>
      <c r="QQT308" s="206"/>
      <c r="QQU308" s="207"/>
      <c r="QQV308" s="204"/>
      <c r="QQW308" s="35"/>
      <c r="QQX308" s="202"/>
      <c r="QQY308" s="203"/>
      <c r="QQZ308" s="36"/>
      <c r="QRA308" s="36"/>
      <c r="QRB308" s="205"/>
      <c r="QRC308" s="33"/>
      <c r="QRD308" s="37"/>
      <c r="QRE308" s="37"/>
      <c r="QRF308" s="37"/>
      <c r="QRG308" s="37"/>
      <c r="QRH308" s="37"/>
      <c r="QRI308" s="33"/>
      <c r="QRJ308" s="206"/>
      <c r="QRK308" s="207"/>
      <c r="QRL308" s="204"/>
      <c r="QRM308" s="35"/>
      <c r="QRN308" s="202"/>
      <c r="QRO308" s="203"/>
      <c r="QRP308" s="36"/>
      <c r="QRQ308" s="36"/>
      <c r="QRR308" s="205"/>
      <c r="QRS308" s="33"/>
      <c r="QRT308" s="37"/>
      <c r="QRU308" s="37"/>
      <c r="QRV308" s="37"/>
      <c r="QRW308" s="37"/>
      <c r="QRX308" s="37"/>
      <c r="QRY308" s="33"/>
      <c r="QRZ308" s="206"/>
      <c r="QSA308" s="207"/>
      <c r="QSB308" s="204"/>
      <c r="QSC308" s="35"/>
      <c r="QSD308" s="202"/>
      <c r="QSE308" s="203"/>
      <c r="QSF308" s="36"/>
      <c r="QSG308" s="36"/>
      <c r="QSH308" s="205"/>
      <c r="QSI308" s="33"/>
      <c r="QSJ308" s="37"/>
      <c r="QSK308" s="37"/>
      <c r="QSL308" s="37"/>
      <c r="QSM308" s="37"/>
      <c r="QSN308" s="37"/>
      <c r="QSO308" s="33"/>
      <c r="QSP308" s="206"/>
      <c r="QSQ308" s="207"/>
      <c r="QSR308" s="204"/>
      <c r="QSS308" s="35"/>
      <c r="QST308" s="202"/>
      <c r="QSU308" s="203"/>
      <c r="QSV308" s="36"/>
      <c r="QSW308" s="36"/>
      <c r="QSX308" s="205"/>
      <c r="QSY308" s="33"/>
      <c r="QSZ308" s="37"/>
      <c r="QTA308" s="37"/>
      <c r="QTB308" s="37"/>
      <c r="QTC308" s="37"/>
      <c r="QTD308" s="37"/>
      <c r="QTE308" s="33"/>
      <c r="QTF308" s="206"/>
      <c r="QTG308" s="207"/>
      <c r="QTH308" s="204"/>
      <c r="QTI308" s="35"/>
      <c r="QTJ308" s="202"/>
      <c r="QTK308" s="203"/>
      <c r="QTL308" s="36"/>
      <c r="QTM308" s="36"/>
      <c r="QTN308" s="205"/>
      <c r="QTO308" s="33"/>
      <c r="QTP308" s="37"/>
      <c r="QTQ308" s="37"/>
      <c r="QTR308" s="37"/>
      <c r="QTS308" s="37"/>
      <c r="QTT308" s="37"/>
      <c r="QTU308" s="33"/>
      <c r="QTV308" s="206"/>
      <c r="QTW308" s="207"/>
      <c r="QTX308" s="204"/>
      <c r="QTY308" s="35"/>
      <c r="QTZ308" s="202"/>
      <c r="QUA308" s="203"/>
      <c r="QUB308" s="36"/>
      <c r="QUC308" s="36"/>
      <c r="QUD308" s="205"/>
      <c r="QUE308" s="33"/>
      <c r="QUF308" s="37"/>
      <c r="QUG308" s="37"/>
      <c r="QUH308" s="37"/>
      <c r="QUI308" s="37"/>
      <c r="QUJ308" s="37"/>
      <c r="QUK308" s="33"/>
      <c r="QUL308" s="206"/>
      <c r="QUM308" s="207"/>
      <c r="QUN308" s="204"/>
      <c r="QUO308" s="35"/>
      <c r="QUP308" s="202"/>
      <c r="QUQ308" s="203"/>
      <c r="QUR308" s="36"/>
      <c r="QUS308" s="36"/>
      <c r="QUT308" s="205"/>
      <c r="QUU308" s="33"/>
      <c r="QUV308" s="37"/>
      <c r="QUW308" s="37"/>
      <c r="QUX308" s="37"/>
      <c r="QUY308" s="37"/>
      <c r="QUZ308" s="37"/>
      <c r="QVA308" s="33"/>
      <c r="QVB308" s="206"/>
      <c r="QVC308" s="207"/>
      <c r="QVD308" s="204"/>
      <c r="QVE308" s="35"/>
      <c r="QVF308" s="202"/>
      <c r="QVG308" s="203"/>
      <c r="QVH308" s="36"/>
      <c r="QVI308" s="36"/>
      <c r="QVJ308" s="205"/>
      <c r="QVK308" s="33"/>
      <c r="QVL308" s="37"/>
      <c r="QVM308" s="37"/>
      <c r="QVN308" s="37"/>
      <c r="QVO308" s="37"/>
      <c r="QVP308" s="37"/>
      <c r="QVQ308" s="33"/>
      <c r="QVR308" s="206"/>
      <c r="QVS308" s="207"/>
      <c r="QVT308" s="204"/>
      <c r="QVU308" s="35"/>
      <c r="QVV308" s="202"/>
      <c r="QVW308" s="203"/>
      <c r="QVX308" s="36"/>
      <c r="QVY308" s="36"/>
      <c r="QVZ308" s="205"/>
      <c r="QWA308" s="33"/>
      <c r="QWB308" s="37"/>
      <c r="QWC308" s="37"/>
      <c r="QWD308" s="37"/>
      <c r="QWE308" s="37"/>
      <c r="QWF308" s="37"/>
      <c r="QWG308" s="33"/>
      <c r="QWH308" s="206"/>
      <c r="QWI308" s="207"/>
      <c r="QWJ308" s="204"/>
      <c r="QWK308" s="35"/>
      <c r="QWL308" s="202"/>
      <c r="QWM308" s="203"/>
      <c r="QWN308" s="36"/>
      <c r="QWO308" s="36"/>
      <c r="QWP308" s="205"/>
      <c r="QWQ308" s="33"/>
      <c r="QWR308" s="37"/>
      <c r="QWS308" s="37"/>
      <c r="QWT308" s="37"/>
      <c r="QWU308" s="37"/>
      <c r="QWV308" s="37"/>
      <c r="QWW308" s="33"/>
      <c r="QWX308" s="206"/>
      <c r="QWY308" s="207"/>
      <c r="QWZ308" s="204"/>
      <c r="QXA308" s="35"/>
      <c r="QXB308" s="202"/>
      <c r="QXC308" s="203"/>
      <c r="QXD308" s="36"/>
      <c r="QXE308" s="36"/>
      <c r="QXF308" s="205"/>
      <c r="QXG308" s="33"/>
      <c r="QXH308" s="37"/>
      <c r="QXI308" s="37"/>
      <c r="QXJ308" s="37"/>
      <c r="QXK308" s="37"/>
      <c r="QXL308" s="37"/>
      <c r="QXM308" s="33"/>
      <c r="QXN308" s="206"/>
      <c r="QXO308" s="207"/>
      <c r="QXP308" s="204"/>
      <c r="QXQ308" s="35"/>
      <c r="QXR308" s="202"/>
      <c r="QXS308" s="203"/>
      <c r="QXT308" s="36"/>
      <c r="QXU308" s="36"/>
      <c r="QXV308" s="205"/>
      <c r="QXW308" s="33"/>
      <c r="QXX308" s="37"/>
      <c r="QXY308" s="37"/>
      <c r="QXZ308" s="37"/>
      <c r="QYA308" s="37"/>
      <c r="QYB308" s="37"/>
      <c r="QYC308" s="33"/>
      <c r="QYD308" s="206"/>
      <c r="QYE308" s="207"/>
      <c r="QYF308" s="204"/>
      <c r="QYG308" s="35"/>
      <c r="QYH308" s="202"/>
      <c r="QYI308" s="203"/>
      <c r="QYJ308" s="36"/>
      <c r="QYK308" s="36"/>
      <c r="QYL308" s="205"/>
      <c r="QYM308" s="33"/>
      <c r="QYN308" s="37"/>
      <c r="QYO308" s="37"/>
      <c r="QYP308" s="37"/>
      <c r="QYQ308" s="37"/>
      <c r="QYR308" s="37"/>
      <c r="QYS308" s="33"/>
      <c r="QYT308" s="206"/>
      <c r="QYU308" s="207"/>
      <c r="QYV308" s="204"/>
      <c r="QYW308" s="35"/>
      <c r="QYX308" s="202"/>
      <c r="QYY308" s="203"/>
      <c r="QYZ308" s="36"/>
      <c r="QZA308" s="36"/>
      <c r="QZB308" s="205"/>
      <c r="QZC308" s="33"/>
      <c r="QZD308" s="37"/>
      <c r="QZE308" s="37"/>
      <c r="QZF308" s="37"/>
      <c r="QZG308" s="37"/>
      <c r="QZH308" s="37"/>
      <c r="QZI308" s="33"/>
      <c r="QZJ308" s="206"/>
      <c r="QZK308" s="207"/>
      <c r="QZL308" s="204"/>
      <c r="QZM308" s="35"/>
      <c r="QZN308" s="202"/>
      <c r="QZO308" s="203"/>
      <c r="QZP308" s="36"/>
      <c r="QZQ308" s="36"/>
      <c r="QZR308" s="205"/>
      <c r="QZS308" s="33"/>
      <c r="QZT308" s="37"/>
      <c r="QZU308" s="37"/>
      <c r="QZV308" s="37"/>
      <c r="QZW308" s="37"/>
      <c r="QZX308" s="37"/>
      <c r="QZY308" s="33"/>
      <c r="QZZ308" s="206"/>
      <c r="RAA308" s="207"/>
      <c r="RAB308" s="204"/>
      <c r="RAC308" s="35"/>
      <c r="RAD308" s="202"/>
      <c r="RAE308" s="203"/>
      <c r="RAF308" s="36"/>
      <c r="RAG308" s="36"/>
      <c r="RAH308" s="205"/>
      <c r="RAI308" s="33"/>
      <c r="RAJ308" s="37"/>
      <c r="RAK308" s="37"/>
      <c r="RAL308" s="37"/>
      <c r="RAM308" s="37"/>
      <c r="RAN308" s="37"/>
      <c r="RAO308" s="33"/>
      <c r="RAP308" s="206"/>
      <c r="RAQ308" s="207"/>
      <c r="RAR308" s="204"/>
      <c r="RAS308" s="35"/>
      <c r="RAT308" s="202"/>
      <c r="RAU308" s="203"/>
      <c r="RAV308" s="36"/>
      <c r="RAW308" s="36"/>
      <c r="RAX308" s="205"/>
      <c r="RAY308" s="33"/>
      <c r="RAZ308" s="37"/>
      <c r="RBA308" s="37"/>
      <c r="RBB308" s="37"/>
      <c r="RBC308" s="37"/>
      <c r="RBD308" s="37"/>
      <c r="RBE308" s="33"/>
      <c r="RBF308" s="206"/>
      <c r="RBG308" s="207"/>
      <c r="RBH308" s="204"/>
      <c r="RBI308" s="35"/>
      <c r="RBJ308" s="202"/>
      <c r="RBK308" s="203"/>
      <c r="RBL308" s="36"/>
      <c r="RBM308" s="36"/>
      <c r="RBN308" s="205"/>
      <c r="RBO308" s="33"/>
      <c r="RBP308" s="37"/>
      <c r="RBQ308" s="37"/>
      <c r="RBR308" s="37"/>
      <c r="RBS308" s="37"/>
      <c r="RBT308" s="37"/>
      <c r="RBU308" s="33"/>
      <c r="RBV308" s="206"/>
      <c r="RBW308" s="207"/>
      <c r="RBX308" s="204"/>
      <c r="RBY308" s="35"/>
      <c r="RBZ308" s="202"/>
      <c r="RCA308" s="203"/>
      <c r="RCB308" s="36"/>
      <c r="RCC308" s="36"/>
      <c r="RCD308" s="205"/>
      <c r="RCE308" s="33"/>
      <c r="RCF308" s="37"/>
      <c r="RCG308" s="37"/>
      <c r="RCH308" s="37"/>
      <c r="RCI308" s="37"/>
      <c r="RCJ308" s="37"/>
      <c r="RCK308" s="33"/>
      <c r="RCL308" s="206"/>
      <c r="RCM308" s="207"/>
      <c r="RCN308" s="204"/>
      <c r="RCO308" s="35"/>
      <c r="RCP308" s="202"/>
      <c r="RCQ308" s="203"/>
      <c r="RCR308" s="36"/>
      <c r="RCS308" s="36"/>
      <c r="RCT308" s="205"/>
      <c r="RCU308" s="33"/>
      <c r="RCV308" s="37"/>
      <c r="RCW308" s="37"/>
      <c r="RCX308" s="37"/>
      <c r="RCY308" s="37"/>
      <c r="RCZ308" s="37"/>
      <c r="RDA308" s="33"/>
      <c r="RDB308" s="206"/>
      <c r="RDC308" s="207"/>
      <c r="RDD308" s="204"/>
      <c r="RDE308" s="35"/>
      <c r="RDF308" s="202"/>
      <c r="RDG308" s="203"/>
      <c r="RDH308" s="36"/>
      <c r="RDI308" s="36"/>
      <c r="RDJ308" s="205"/>
      <c r="RDK308" s="33"/>
      <c r="RDL308" s="37"/>
      <c r="RDM308" s="37"/>
      <c r="RDN308" s="37"/>
      <c r="RDO308" s="37"/>
      <c r="RDP308" s="37"/>
      <c r="RDQ308" s="33"/>
      <c r="RDR308" s="206"/>
      <c r="RDS308" s="207"/>
      <c r="RDT308" s="204"/>
      <c r="RDU308" s="35"/>
      <c r="RDV308" s="202"/>
      <c r="RDW308" s="203"/>
      <c r="RDX308" s="36"/>
      <c r="RDY308" s="36"/>
      <c r="RDZ308" s="205"/>
      <c r="REA308" s="33"/>
      <c r="REB308" s="37"/>
      <c r="REC308" s="37"/>
      <c r="RED308" s="37"/>
      <c r="REE308" s="37"/>
      <c r="REF308" s="37"/>
      <c r="REG308" s="33"/>
      <c r="REH308" s="206"/>
      <c r="REI308" s="207"/>
      <c r="REJ308" s="204"/>
      <c r="REK308" s="35"/>
      <c r="REL308" s="202"/>
      <c r="REM308" s="203"/>
      <c r="REN308" s="36"/>
      <c r="REO308" s="36"/>
      <c r="REP308" s="205"/>
      <c r="REQ308" s="33"/>
      <c r="RER308" s="37"/>
      <c r="RES308" s="37"/>
      <c r="RET308" s="37"/>
      <c r="REU308" s="37"/>
      <c r="REV308" s="37"/>
      <c r="REW308" s="33"/>
      <c r="REX308" s="206"/>
      <c r="REY308" s="207"/>
      <c r="REZ308" s="204"/>
      <c r="RFA308" s="35"/>
      <c r="RFB308" s="202"/>
      <c r="RFC308" s="203"/>
      <c r="RFD308" s="36"/>
      <c r="RFE308" s="36"/>
      <c r="RFF308" s="205"/>
      <c r="RFG308" s="33"/>
      <c r="RFH308" s="37"/>
      <c r="RFI308" s="37"/>
      <c r="RFJ308" s="37"/>
      <c r="RFK308" s="37"/>
      <c r="RFL308" s="37"/>
      <c r="RFM308" s="33"/>
      <c r="RFN308" s="206"/>
      <c r="RFO308" s="207"/>
      <c r="RFP308" s="204"/>
      <c r="RFQ308" s="35"/>
      <c r="RFR308" s="202"/>
      <c r="RFS308" s="203"/>
      <c r="RFT308" s="36"/>
      <c r="RFU308" s="36"/>
      <c r="RFV308" s="205"/>
      <c r="RFW308" s="33"/>
      <c r="RFX308" s="37"/>
      <c r="RFY308" s="37"/>
      <c r="RFZ308" s="37"/>
      <c r="RGA308" s="37"/>
      <c r="RGB308" s="37"/>
      <c r="RGC308" s="33"/>
      <c r="RGD308" s="206"/>
      <c r="RGE308" s="207"/>
      <c r="RGF308" s="204"/>
      <c r="RGG308" s="35"/>
      <c r="RGH308" s="202"/>
      <c r="RGI308" s="203"/>
      <c r="RGJ308" s="36"/>
      <c r="RGK308" s="36"/>
      <c r="RGL308" s="205"/>
      <c r="RGM308" s="33"/>
      <c r="RGN308" s="37"/>
      <c r="RGO308" s="37"/>
      <c r="RGP308" s="37"/>
      <c r="RGQ308" s="37"/>
      <c r="RGR308" s="37"/>
      <c r="RGS308" s="33"/>
      <c r="RGT308" s="206"/>
      <c r="RGU308" s="207"/>
      <c r="RGV308" s="204"/>
      <c r="RGW308" s="35"/>
      <c r="RGX308" s="202"/>
      <c r="RGY308" s="203"/>
      <c r="RGZ308" s="36"/>
      <c r="RHA308" s="36"/>
      <c r="RHB308" s="205"/>
      <c r="RHC308" s="33"/>
      <c r="RHD308" s="37"/>
      <c r="RHE308" s="37"/>
      <c r="RHF308" s="37"/>
      <c r="RHG308" s="37"/>
      <c r="RHH308" s="37"/>
      <c r="RHI308" s="33"/>
      <c r="RHJ308" s="206"/>
      <c r="RHK308" s="207"/>
      <c r="RHL308" s="204"/>
      <c r="RHM308" s="35"/>
      <c r="RHN308" s="202"/>
      <c r="RHO308" s="203"/>
      <c r="RHP308" s="36"/>
      <c r="RHQ308" s="36"/>
      <c r="RHR308" s="205"/>
      <c r="RHS308" s="33"/>
      <c r="RHT308" s="37"/>
      <c r="RHU308" s="37"/>
      <c r="RHV308" s="37"/>
      <c r="RHW308" s="37"/>
      <c r="RHX308" s="37"/>
      <c r="RHY308" s="33"/>
      <c r="RHZ308" s="206"/>
      <c r="RIA308" s="207"/>
      <c r="RIB308" s="204"/>
      <c r="RIC308" s="35"/>
      <c r="RID308" s="202"/>
      <c r="RIE308" s="203"/>
      <c r="RIF308" s="36"/>
      <c r="RIG308" s="36"/>
      <c r="RIH308" s="205"/>
      <c r="RII308" s="33"/>
      <c r="RIJ308" s="37"/>
      <c r="RIK308" s="37"/>
      <c r="RIL308" s="37"/>
      <c r="RIM308" s="37"/>
      <c r="RIN308" s="37"/>
      <c r="RIO308" s="33"/>
      <c r="RIP308" s="206"/>
      <c r="RIQ308" s="207"/>
      <c r="RIR308" s="204"/>
      <c r="RIS308" s="35"/>
      <c r="RIT308" s="202"/>
      <c r="RIU308" s="203"/>
      <c r="RIV308" s="36"/>
      <c r="RIW308" s="36"/>
      <c r="RIX308" s="205"/>
      <c r="RIY308" s="33"/>
      <c r="RIZ308" s="37"/>
      <c r="RJA308" s="37"/>
      <c r="RJB308" s="37"/>
      <c r="RJC308" s="37"/>
      <c r="RJD308" s="37"/>
      <c r="RJE308" s="33"/>
      <c r="RJF308" s="206"/>
      <c r="RJG308" s="207"/>
      <c r="RJH308" s="204"/>
      <c r="RJI308" s="35"/>
      <c r="RJJ308" s="202"/>
      <c r="RJK308" s="203"/>
      <c r="RJL308" s="36"/>
      <c r="RJM308" s="36"/>
      <c r="RJN308" s="205"/>
      <c r="RJO308" s="33"/>
      <c r="RJP308" s="37"/>
      <c r="RJQ308" s="37"/>
      <c r="RJR308" s="37"/>
      <c r="RJS308" s="37"/>
      <c r="RJT308" s="37"/>
      <c r="RJU308" s="33"/>
      <c r="RJV308" s="206"/>
      <c r="RJW308" s="207"/>
      <c r="RJX308" s="204"/>
      <c r="RJY308" s="35"/>
      <c r="RJZ308" s="202"/>
      <c r="RKA308" s="203"/>
      <c r="RKB308" s="36"/>
      <c r="RKC308" s="36"/>
      <c r="RKD308" s="205"/>
      <c r="RKE308" s="33"/>
      <c r="RKF308" s="37"/>
      <c r="RKG308" s="37"/>
      <c r="RKH308" s="37"/>
      <c r="RKI308" s="37"/>
      <c r="RKJ308" s="37"/>
      <c r="RKK308" s="33"/>
      <c r="RKL308" s="206"/>
      <c r="RKM308" s="207"/>
      <c r="RKN308" s="204"/>
      <c r="RKO308" s="35"/>
      <c r="RKP308" s="202"/>
      <c r="RKQ308" s="203"/>
      <c r="RKR308" s="36"/>
      <c r="RKS308" s="36"/>
      <c r="RKT308" s="205"/>
      <c r="RKU308" s="33"/>
      <c r="RKV308" s="37"/>
      <c r="RKW308" s="37"/>
      <c r="RKX308" s="37"/>
      <c r="RKY308" s="37"/>
      <c r="RKZ308" s="37"/>
      <c r="RLA308" s="33"/>
      <c r="RLB308" s="206"/>
      <c r="RLC308" s="207"/>
      <c r="RLD308" s="204"/>
      <c r="RLE308" s="35"/>
      <c r="RLF308" s="202"/>
      <c r="RLG308" s="203"/>
      <c r="RLH308" s="36"/>
      <c r="RLI308" s="36"/>
      <c r="RLJ308" s="205"/>
      <c r="RLK308" s="33"/>
      <c r="RLL308" s="37"/>
      <c r="RLM308" s="37"/>
      <c r="RLN308" s="37"/>
      <c r="RLO308" s="37"/>
      <c r="RLP308" s="37"/>
      <c r="RLQ308" s="33"/>
      <c r="RLR308" s="206"/>
      <c r="RLS308" s="207"/>
      <c r="RLT308" s="204"/>
      <c r="RLU308" s="35"/>
      <c r="RLV308" s="202"/>
      <c r="RLW308" s="203"/>
      <c r="RLX308" s="36"/>
      <c r="RLY308" s="36"/>
      <c r="RLZ308" s="205"/>
      <c r="RMA308" s="33"/>
      <c r="RMB308" s="37"/>
      <c r="RMC308" s="37"/>
      <c r="RMD308" s="37"/>
      <c r="RME308" s="37"/>
      <c r="RMF308" s="37"/>
      <c r="RMG308" s="33"/>
      <c r="RMH308" s="206"/>
      <c r="RMI308" s="207"/>
      <c r="RMJ308" s="204"/>
      <c r="RMK308" s="35"/>
      <c r="RML308" s="202"/>
      <c r="RMM308" s="203"/>
      <c r="RMN308" s="36"/>
      <c r="RMO308" s="36"/>
      <c r="RMP308" s="205"/>
      <c r="RMQ308" s="33"/>
      <c r="RMR308" s="37"/>
      <c r="RMS308" s="37"/>
      <c r="RMT308" s="37"/>
      <c r="RMU308" s="37"/>
      <c r="RMV308" s="37"/>
      <c r="RMW308" s="33"/>
      <c r="RMX308" s="206"/>
      <c r="RMY308" s="207"/>
      <c r="RMZ308" s="204"/>
      <c r="RNA308" s="35"/>
      <c r="RNB308" s="202"/>
      <c r="RNC308" s="203"/>
      <c r="RND308" s="36"/>
      <c r="RNE308" s="36"/>
      <c r="RNF308" s="205"/>
      <c r="RNG308" s="33"/>
      <c r="RNH308" s="37"/>
      <c r="RNI308" s="37"/>
      <c r="RNJ308" s="37"/>
      <c r="RNK308" s="37"/>
      <c r="RNL308" s="37"/>
      <c r="RNM308" s="33"/>
      <c r="RNN308" s="206"/>
      <c r="RNO308" s="207"/>
      <c r="RNP308" s="204"/>
      <c r="RNQ308" s="35"/>
      <c r="RNR308" s="202"/>
      <c r="RNS308" s="203"/>
      <c r="RNT308" s="36"/>
      <c r="RNU308" s="36"/>
      <c r="RNV308" s="205"/>
      <c r="RNW308" s="33"/>
      <c r="RNX308" s="37"/>
      <c r="RNY308" s="37"/>
      <c r="RNZ308" s="37"/>
      <c r="ROA308" s="37"/>
      <c r="ROB308" s="37"/>
      <c r="ROC308" s="33"/>
      <c r="ROD308" s="206"/>
      <c r="ROE308" s="207"/>
      <c r="ROF308" s="204"/>
      <c r="ROG308" s="35"/>
      <c r="ROH308" s="202"/>
      <c r="ROI308" s="203"/>
      <c r="ROJ308" s="36"/>
      <c r="ROK308" s="36"/>
      <c r="ROL308" s="205"/>
      <c r="ROM308" s="33"/>
      <c r="RON308" s="37"/>
      <c r="ROO308" s="37"/>
      <c r="ROP308" s="37"/>
      <c r="ROQ308" s="37"/>
      <c r="ROR308" s="37"/>
      <c r="ROS308" s="33"/>
      <c r="ROT308" s="206"/>
      <c r="ROU308" s="207"/>
      <c r="ROV308" s="204"/>
      <c r="ROW308" s="35"/>
      <c r="ROX308" s="202"/>
      <c r="ROY308" s="203"/>
      <c r="ROZ308" s="36"/>
      <c r="RPA308" s="36"/>
      <c r="RPB308" s="205"/>
      <c r="RPC308" s="33"/>
      <c r="RPD308" s="37"/>
      <c r="RPE308" s="37"/>
      <c r="RPF308" s="37"/>
      <c r="RPG308" s="37"/>
      <c r="RPH308" s="37"/>
      <c r="RPI308" s="33"/>
      <c r="RPJ308" s="206"/>
      <c r="RPK308" s="207"/>
      <c r="RPL308" s="204"/>
      <c r="RPM308" s="35"/>
      <c r="RPN308" s="202"/>
      <c r="RPO308" s="203"/>
      <c r="RPP308" s="36"/>
      <c r="RPQ308" s="36"/>
      <c r="RPR308" s="205"/>
      <c r="RPS308" s="33"/>
      <c r="RPT308" s="37"/>
      <c r="RPU308" s="37"/>
      <c r="RPV308" s="37"/>
      <c r="RPW308" s="37"/>
      <c r="RPX308" s="37"/>
      <c r="RPY308" s="33"/>
      <c r="RPZ308" s="206"/>
      <c r="RQA308" s="207"/>
      <c r="RQB308" s="204"/>
      <c r="RQC308" s="35"/>
      <c r="RQD308" s="202"/>
      <c r="RQE308" s="203"/>
      <c r="RQF308" s="36"/>
      <c r="RQG308" s="36"/>
      <c r="RQH308" s="205"/>
      <c r="RQI308" s="33"/>
      <c r="RQJ308" s="37"/>
      <c r="RQK308" s="37"/>
      <c r="RQL308" s="37"/>
      <c r="RQM308" s="37"/>
      <c r="RQN308" s="37"/>
      <c r="RQO308" s="33"/>
      <c r="RQP308" s="206"/>
      <c r="RQQ308" s="207"/>
      <c r="RQR308" s="204"/>
      <c r="RQS308" s="35"/>
      <c r="RQT308" s="202"/>
      <c r="RQU308" s="203"/>
      <c r="RQV308" s="36"/>
      <c r="RQW308" s="36"/>
      <c r="RQX308" s="205"/>
      <c r="RQY308" s="33"/>
      <c r="RQZ308" s="37"/>
      <c r="RRA308" s="37"/>
      <c r="RRB308" s="37"/>
      <c r="RRC308" s="37"/>
      <c r="RRD308" s="37"/>
      <c r="RRE308" s="33"/>
      <c r="RRF308" s="206"/>
      <c r="RRG308" s="207"/>
      <c r="RRH308" s="204"/>
      <c r="RRI308" s="35"/>
      <c r="RRJ308" s="202"/>
      <c r="RRK308" s="203"/>
      <c r="RRL308" s="36"/>
      <c r="RRM308" s="36"/>
      <c r="RRN308" s="205"/>
      <c r="RRO308" s="33"/>
      <c r="RRP308" s="37"/>
      <c r="RRQ308" s="37"/>
      <c r="RRR308" s="37"/>
      <c r="RRS308" s="37"/>
      <c r="RRT308" s="37"/>
      <c r="RRU308" s="33"/>
      <c r="RRV308" s="206"/>
      <c r="RRW308" s="207"/>
      <c r="RRX308" s="204"/>
      <c r="RRY308" s="35"/>
      <c r="RRZ308" s="202"/>
      <c r="RSA308" s="203"/>
      <c r="RSB308" s="36"/>
      <c r="RSC308" s="36"/>
      <c r="RSD308" s="205"/>
      <c r="RSE308" s="33"/>
      <c r="RSF308" s="37"/>
      <c r="RSG308" s="37"/>
      <c r="RSH308" s="37"/>
      <c r="RSI308" s="37"/>
      <c r="RSJ308" s="37"/>
      <c r="RSK308" s="33"/>
      <c r="RSL308" s="206"/>
      <c r="RSM308" s="207"/>
      <c r="RSN308" s="204"/>
      <c r="RSO308" s="35"/>
      <c r="RSP308" s="202"/>
      <c r="RSQ308" s="203"/>
      <c r="RSR308" s="36"/>
      <c r="RSS308" s="36"/>
      <c r="RST308" s="205"/>
      <c r="RSU308" s="33"/>
      <c r="RSV308" s="37"/>
      <c r="RSW308" s="37"/>
      <c r="RSX308" s="37"/>
      <c r="RSY308" s="37"/>
      <c r="RSZ308" s="37"/>
      <c r="RTA308" s="33"/>
      <c r="RTB308" s="206"/>
      <c r="RTC308" s="207"/>
      <c r="RTD308" s="204"/>
      <c r="RTE308" s="35"/>
      <c r="RTF308" s="202"/>
      <c r="RTG308" s="203"/>
      <c r="RTH308" s="36"/>
      <c r="RTI308" s="36"/>
      <c r="RTJ308" s="205"/>
      <c r="RTK308" s="33"/>
      <c r="RTL308" s="37"/>
      <c r="RTM308" s="37"/>
      <c r="RTN308" s="37"/>
      <c r="RTO308" s="37"/>
      <c r="RTP308" s="37"/>
      <c r="RTQ308" s="33"/>
      <c r="RTR308" s="206"/>
      <c r="RTS308" s="207"/>
      <c r="RTT308" s="204"/>
      <c r="RTU308" s="35"/>
      <c r="RTV308" s="202"/>
      <c r="RTW308" s="203"/>
      <c r="RTX308" s="36"/>
      <c r="RTY308" s="36"/>
      <c r="RTZ308" s="205"/>
      <c r="RUA308" s="33"/>
      <c r="RUB308" s="37"/>
      <c r="RUC308" s="37"/>
      <c r="RUD308" s="37"/>
      <c r="RUE308" s="37"/>
      <c r="RUF308" s="37"/>
      <c r="RUG308" s="33"/>
      <c r="RUH308" s="206"/>
      <c r="RUI308" s="207"/>
      <c r="RUJ308" s="204"/>
      <c r="RUK308" s="35"/>
      <c r="RUL308" s="202"/>
      <c r="RUM308" s="203"/>
      <c r="RUN308" s="36"/>
      <c r="RUO308" s="36"/>
      <c r="RUP308" s="205"/>
      <c r="RUQ308" s="33"/>
      <c r="RUR308" s="37"/>
      <c r="RUS308" s="37"/>
      <c r="RUT308" s="37"/>
      <c r="RUU308" s="37"/>
      <c r="RUV308" s="37"/>
      <c r="RUW308" s="33"/>
      <c r="RUX308" s="206"/>
      <c r="RUY308" s="207"/>
      <c r="RUZ308" s="204"/>
      <c r="RVA308" s="35"/>
      <c r="RVB308" s="202"/>
      <c r="RVC308" s="203"/>
      <c r="RVD308" s="36"/>
      <c r="RVE308" s="36"/>
      <c r="RVF308" s="205"/>
      <c r="RVG308" s="33"/>
      <c r="RVH308" s="37"/>
      <c r="RVI308" s="37"/>
      <c r="RVJ308" s="37"/>
      <c r="RVK308" s="37"/>
      <c r="RVL308" s="37"/>
      <c r="RVM308" s="33"/>
      <c r="RVN308" s="206"/>
      <c r="RVO308" s="207"/>
      <c r="RVP308" s="204"/>
      <c r="RVQ308" s="35"/>
      <c r="RVR308" s="202"/>
      <c r="RVS308" s="203"/>
      <c r="RVT308" s="36"/>
      <c r="RVU308" s="36"/>
      <c r="RVV308" s="205"/>
      <c r="RVW308" s="33"/>
      <c r="RVX308" s="37"/>
      <c r="RVY308" s="37"/>
      <c r="RVZ308" s="37"/>
      <c r="RWA308" s="37"/>
      <c r="RWB308" s="37"/>
      <c r="RWC308" s="33"/>
      <c r="RWD308" s="206"/>
      <c r="RWE308" s="207"/>
      <c r="RWF308" s="204"/>
      <c r="RWG308" s="35"/>
      <c r="RWH308" s="202"/>
      <c r="RWI308" s="203"/>
      <c r="RWJ308" s="36"/>
      <c r="RWK308" s="36"/>
      <c r="RWL308" s="205"/>
      <c r="RWM308" s="33"/>
      <c r="RWN308" s="37"/>
      <c r="RWO308" s="37"/>
      <c r="RWP308" s="37"/>
      <c r="RWQ308" s="37"/>
      <c r="RWR308" s="37"/>
      <c r="RWS308" s="33"/>
      <c r="RWT308" s="206"/>
      <c r="RWU308" s="207"/>
      <c r="RWV308" s="204"/>
      <c r="RWW308" s="35"/>
      <c r="RWX308" s="202"/>
      <c r="RWY308" s="203"/>
      <c r="RWZ308" s="36"/>
      <c r="RXA308" s="36"/>
      <c r="RXB308" s="205"/>
      <c r="RXC308" s="33"/>
      <c r="RXD308" s="37"/>
      <c r="RXE308" s="37"/>
      <c r="RXF308" s="37"/>
      <c r="RXG308" s="37"/>
      <c r="RXH308" s="37"/>
      <c r="RXI308" s="33"/>
      <c r="RXJ308" s="206"/>
      <c r="RXK308" s="207"/>
      <c r="RXL308" s="204"/>
      <c r="RXM308" s="35"/>
      <c r="RXN308" s="202"/>
      <c r="RXO308" s="203"/>
      <c r="RXP308" s="36"/>
      <c r="RXQ308" s="36"/>
      <c r="RXR308" s="205"/>
      <c r="RXS308" s="33"/>
      <c r="RXT308" s="37"/>
      <c r="RXU308" s="37"/>
      <c r="RXV308" s="37"/>
      <c r="RXW308" s="37"/>
      <c r="RXX308" s="37"/>
      <c r="RXY308" s="33"/>
      <c r="RXZ308" s="206"/>
      <c r="RYA308" s="207"/>
      <c r="RYB308" s="204"/>
      <c r="RYC308" s="35"/>
      <c r="RYD308" s="202"/>
      <c r="RYE308" s="203"/>
      <c r="RYF308" s="36"/>
      <c r="RYG308" s="36"/>
      <c r="RYH308" s="205"/>
      <c r="RYI308" s="33"/>
      <c r="RYJ308" s="37"/>
      <c r="RYK308" s="37"/>
      <c r="RYL308" s="37"/>
      <c r="RYM308" s="37"/>
      <c r="RYN308" s="37"/>
      <c r="RYO308" s="33"/>
      <c r="RYP308" s="206"/>
      <c r="RYQ308" s="207"/>
      <c r="RYR308" s="204"/>
      <c r="RYS308" s="35"/>
      <c r="RYT308" s="202"/>
      <c r="RYU308" s="203"/>
      <c r="RYV308" s="36"/>
      <c r="RYW308" s="36"/>
      <c r="RYX308" s="205"/>
      <c r="RYY308" s="33"/>
      <c r="RYZ308" s="37"/>
      <c r="RZA308" s="37"/>
      <c r="RZB308" s="37"/>
      <c r="RZC308" s="37"/>
      <c r="RZD308" s="37"/>
      <c r="RZE308" s="33"/>
      <c r="RZF308" s="206"/>
      <c r="RZG308" s="207"/>
      <c r="RZH308" s="204"/>
      <c r="RZI308" s="35"/>
      <c r="RZJ308" s="202"/>
      <c r="RZK308" s="203"/>
      <c r="RZL308" s="36"/>
      <c r="RZM308" s="36"/>
      <c r="RZN308" s="205"/>
      <c r="RZO308" s="33"/>
      <c r="RZP308" s="37"/>
      <c r="RZQ308" s="37"/>
      <c r="RZR308" s="37"/>
      <c r="RZS308" s="37"/>
      <c r="RZT308" s="37"/>
      <c r="RZU308" s="33"/>
      <c r="RZV308" s="206"/>
      <c r="RZW308" s="207"/>
      <c r="RZX308" s="204"/>
      <c r="RZY308" s="35"/>
      <c r="RZZ308" s="202"/>
      <c r="SAA308" s="203"/>
      <c r="SAB308" s="36"/>
      <c r="SAC308" s="36"/>
      <c r="SAD308" s="205"/>
      <c r="SAE308" s="33"/>
      <c r="SAF308" s="37"/>
      <c r="SAG308" s="37"/>
      <c r="SAH308" s="37"/>
      <c r="SAI308" s="37"/>
      <c r="SAJ308" s="37"/>
      <c r="SAK308" s="33"/>
      <c r="SAL308" s="206"/>
      <c r="SAM308" s="207"/>
      <c r="SAN308" s="204"/>
      <c r="SAO308" s="35"/>
      <c r="SAP308" s="202"/>
      <c r="SAQ308" s="203"/>
      <c r="SAR308" s="36"/>
      <c r="SAS308" s="36"/>
      <c r="SAT308" s="205"/>
      <c r="SAU308" s="33"/>
      <c r="SAV308" s="37"/>
      <c r="SAW308" s="37"/>
      <c r="SAX308" s="37"/>
      <c r="SAY308" s="37"/>
      <c r="SAZ308" s="37"/>
      <c r="SBA308" s="33"/>
      <c r="SBB308" s="206"/>
      <c r="SBC308" s="207"/>
      <c r="SBD308" s="204"/>
      <c r="SBE308" s="35"/>
      <c r="SBF308" s="202"/>
      <c r="SBG308" s="203"/>
      <c r="SBH308" s="36"/>
      <c r="SBI308" s="36"/>
      <c r="SBJ308" s="205"/>
      <c r="SBK308" s="33"/>
      <c r="SBL308" s="37"/>
      <c r="SBM308" s="37"/>
      <c r="SBN308" s="37"/>
      <c r="SBO308" s="37"/>
      <c r="SBP308" s="37"/>
      <c r="SBQ308" s="33"/>
      <c r="SBR308" s="206"/>
      <c r="SBS308" s="207"/>
      <c r="SBT308" s="204"/>
      <c r="SBU308" s="35"/>
      <c r="SBV308" s="202"/>
      <c r="SBW308" s="203"/>
      <c r="SBX308" s="36"/>
      <c r="SBY308" s="36"/>
      <c r="SBZ308" s="205"/>
      <c r="SCA308" s="33"/>
      <c r="SCB308" s="37"/>
      <c r="SCC308" s="37"/>
      <c r="SCD308" s="37"/>
      <c r="SCE308" s="37"/>
      <c r="SCF308" s="37"/>
      <c r="SCG308" s="33"/>
      <c r="SCH308" s="206"/>
      <c r="SCI308" s="207"/>
      <c r="SCJ308" s="204"/>
      <c r="SCK308" s="35"/>
      <c r="SCL308" s="202"/>
      <c r="SCM308" s="203"/>
      <c r="SCN308" s="36"/>
      <c r="SCO308" s="36"/>
      <c r="SCP308" s="205"/>
      <c r="SCQ308" s="33"/>
      <c r="SCR308" s="37"/>
      <c r="SCS308" s="37"/>
      <c r="SCT308" s="37"/>
      <c r="SCU308" s="37"/>
      <c r="SCV308" s="37"/>
      <c r="SCW308" s="33"/>
      <c r="SCX308" s="206"/>
      <c r="SCY308" s="207"/>
      <c r="SCZ308" s="204"/>
      <c r="SDA308" s="35"/>
      <c r="SDB308" s="202"/>
      <c r="SDC308" s="203"/>
      <c r="SDD308" s="36"/>
      <c r="SDE308" s="36"/>
      <c r="SDF308" s="205"/>
      <c r="SDG308" s="33"/>
      <c r="SDH308" s="37"/>
      <c r="SDI308" s="37"/>
      <c r="SDJ308" s="37"/>
      <c r="SDK308" s="37"/>
      <c r="SDL308" s="37"/>
      <c r="SDM308" s="33"/>
      <c r="SDN308" s="206"/>
      <c r="SDO308" s="207"/>
      <c r="SDP308" s="204"/>
      <c r="SDQ308" s="35"/>
      <c r="SDR308" s="202"/>
      <c r="SDS308" s="203"/>
      <c r="SDT308" s="36"/>
      <c r="SDU308" s="36"/>
      <c r="SDV308" s="205"/>
      <c r="SDW308" s="33"/>
      <c r="SDX308" s="37"/>
      <c r="SDY308" s="37"/>
      <c r="SDZ308" s="37"/>
      <c r="SEA308" s="37"/>
      <c r="SEB308" s="37"/>
      <c r="SEC308" s="33"/>
      <c r="SED308" s="206"/>
      <c r="SEE308" s="207"/>
      <c r="SEF308" s="204"/>
      <c r="SEG308" s="35"/>
      <c r="SEH308" s="202"/>
      <c r="SEI308" s="203"/>
      <c r="SEJ308" s="36"/>
      <c r="SEK308" s="36"/>
      <c r="SEL308" s="205"/>
      <c r="SEM308" s="33"/>
      <c r="SEN308" s="37"/>
      <c r="SEO308" s="37"/>
      <c r="SEP308" s="37"/>
      <c r="SEQ308" s="37"/>
      <c r="SER308" s="37"/>
      <c r="SES308" s="33"/>
      <c r="SET308" s="206"/>
      <c r="SEU308" s="207"/>
      <c r="SEV308" s="204"/>
      <c r="SEW308" s="35"/>
      <c r="SEX308" s="202"/>
      <c r="SEY308" s="203"/>
      <c r="SEZ308" s="36"/>
      <c r="SFA308" s="36"/>
      <c r="SFB308" s="205"/>
      <c r="SFC308" s="33"/>
      <c r="SFD308" s="37"/>
      <c r="SFE308" s="37"/>
      <c r="SFF308" s="37"/>
      <c r="SFG308" s="37"/>
      <c r="SFH308" s="37"/>
      <c r="SFI308" s="33"/>
      <c r="SFJ308" s="206"/>
      <c r="SFK308" s="207"/>
      <c r="SFL308" s="204"/>
      <c r="SFM308" s="35"/>
      <c r="SFN308" s="202"/>
      <c r="SFO308" s="203"/>
      <c r="SFP308" s="36"/>
      <c r="SFQ308" s="36"/>
      <c r="SFR308" s="205"/>
      <c r="SFS308" s="33"/>
      <c r="SFT308" s="37"/>
      <c r="SFU308" s="37"/>
      <c r="SFV308" s="37"/>
      <c r="SFW308" s="37"/>
      <c r="SFX308" s="37"/>
      <c r="SFY308" s="33"/>
      <c r="SFZ308" s="206"/>
      <c r="SGA308" s="207"/>
      <c r="SGB308" s="204"/>
      <c r="SGC308" s="35"/>
      <c r="SGD308" s="202"/>
      <c r="SGE308" s="203"/>
      <c r="SGF308" s="36"/>
      <c r="SGG308" s="36"/>
      <c r="SGH308" s="205"/>
      <c r="SGI308" s="33"/>
      <c r="SGJ308" s="37"/>
      <c r="SGK308" s="37"/>
      <c r="SGL308" s="37"/>
      <c r="SGM308" s="37"/>
      <c r="SGN308" s="37"/>
      <c r="SGO308" s="33"/>
      <c r="SGP308" s="206"/>
      <c r="SGQ308" s="207"/>
      <c r="SGR308" s="204"/>
      <c r="SGS308" s="35"/>
      <c r="SGT308" s="202"/>
      <c r="SGU308" s="203"/>
      <c r="SGV308" s="36"/>
      <c r="SGW308" s="36"/>
      <c r="SGX308" s="205"/>
      <c r="SGY308" s="33"/>
      <c r="SGZ308" s="37"/>
      <c r="SHA308" s="37"/>
      <c r="SHB308" s="37"/>
      <c r="SHC308" s="37"/>
      <c r="SHD308" s="37"/>
      <c r="SHE308" s="33"/>
      <c r="SHF308" s="206"/>
      <c r="SHG308" s="207"/>
      <c r="SHH308" s="204"/>
      <c r="SHI308" s="35"/>
      <c r="SHJ308" s="202"/>
      <c r="SHK308" s="203"/>
      <c r="SHL308" s="36"/>
      <c r="SHM308" s="36"/>
      <c r="SHN308" s="205"/>
      <c r="SHO308" s="33"/>
      <c r="SHP308" s="37"/>
      <c r="SHQ308" s="37"/>
      <c r="SHR308" s="37"/>
      <c r="SHS308" s="37"/>
      <c r="SHT308" s="37"/>
      <c r="SHU308" s="33"/>
      <c r="SHV308" s="206"/>
      <c r="SHW308" s="207"/>
      <c r="SHX308" s="204"/>
      <c r="SHY308" s="35"/>
      <c r="SHZ308" s="202"/>
      <c r="SIA308" s="203"/>
      <c r="SIB308" s="36"/>
      <c r="SIC308" s="36"/>
      <c r="SID308" s="205"/>
      <c r="SIE308" s="33"/>
      <c r="SIF308" s="37"/>
      <c r="SIG308" s="37"/>
      <c r="SIH308" s="37"/>
      <c r="SII308" s="37"/>
      <c r="SIJ308" s="37"/>
      <c r="SIK308" s="33"/>
      <c r="SIL308" s="206"/>
      <c r="SIM308" s="207"/>
      <c r="SIN308" s="204"/>
      <c r="SIO308" s="35"/>
      <c r="SIP308" s="202"/>
      <c r="SIQ308" s="203"/>
      <c r="SIR308" s="36"/>
      <c r="SIS308" s="36"/>
      <c r="SIT308" s="205"/>
      <c r="SIU308" s="33"/>
      <c r="SIV308" s="37"/>
      <c r="SIW308" s="37"/>
      <c r="SIX308" s="37"/>
      <c r="SIY308" s="37"/>
      <c r="SIZ308" s="37"/>
      <c r="SJA308" s="33"/>
      <c r="SJB308" s="206"/>
      <c r="SJC308" s="207"/>
      <c r="SJD308" s="204"/>
      <c r="SJE308" s="35"/>
      <c r="SJF308" s="202"/>
      <c r="SJG308" s="203"/>
      <c r="SJH308" s="36"/>
      <c r="SJI308" s="36"/>
      <c r="SJJ308" s="205"/>
      <c r="SJK308" s="33"/>
      <c r="SJL308" s="37"/>
      <c r="SJM308" s="37"/>
      <c r="SJN308" s="37"/>
      <c r="SJO308" s="37"/>
      <c r="SJP308" s="37"/>
      <c r="SJQ308" s="33"/>
      <c r="SJR308" s="206"/>
      <c r="SJS308" s="207"/>
      <c r="SJT308" s="204"/>
      <c r="SJU308" s="35"/>
      <c r="SJV308" s="202"/>
      <c r="SJW308" s="203"/>
      <c r="SJX308" s="36"/>
      <c r="SJY308" s="36"/>
      <c r="SJZ308" s="205"/>
      <c r="SKA308" s="33"/>
      <c r="SKB308" s="37"/>
      <c r="SKC308" s="37"/>
      <c r="SKD308" s="37"/>
      <c r="SKE308" s="37"/>
      <c r="SKF308" s="37"/>
      <c r="SKG308" s="33"/>
      <c r="SKH308" s="206"/>
      <c r="SKI308" s="207"/>
      <c r="SKJ308" s="204"/>
      <c r="SKK308" s="35"/>
      <c r="SKL308" s="202"/>
      <c r="SKM308" s="203"/>
      <c r="SKN308" s="36"/>
      <c r="SKO308" s="36"/>
      <c r="SKP308" s="205"/>
      <c r="SKQ308" s="33"/>
      <c r="SKR308" s="37"/>
      <c r="SKS308" s="37"/>
      <c r="SKT308" s="37"/>
      <c r="SKU308" s="37"/>
      <c r="SKV308" s="37"/>
      <c r="SKW308" s="33"/>
      <c r="SKX308" s="206"/>
      <c r="SKY308" s="207"/>
      <c r="SKZ308" s="204"/>
      <c r="SLA308" s="35"/>
      <c r="SLB308" s="202"/>
      <c r="SLC308" s="203"/>
      <c r="SLD308" s="36"/>
      <c r="SLE308" s="36"/>
      <c r="SLF308" s="205"/>
      <c r="SLG308" s="33"/>
      <c r="SLH308" s="37"/>
      <c r="SLI308" s="37"/>
      <c r="SLJ308" s="37"/>
      <c r="SLK308" s="37"/>
      <c r="SLL308" s="37"/>
      <c r="SLM308" s="33"/>
      <c r="SLN308" s="206"/>
      <c r="SLO308" s="207"/>
      <c r="SLP308" s="204"/>
      <c r="SLQ308" s="35"/>
      <c r="SLR308" s="202"/>
      <c r="SLS308" s="203"/>
      <c r="SLT308" s="36"/>
      <c r="SLU308" s="36"/>
      <c r="SLV308" s="205"/>
      <c r="SLW308" s="33"/>
      <c r="SLX308" s="37"/>
      <c r="SLY308" s="37"/>
      <c r="SLZ308" s="37"/>
      <c r="SMA308" s="37"/>
      <c r="SMB308" s="37"/>
      <c r="SMC308" s="33"/>
      <c r="SMD308" s="206"/>
      <c r="SME308" s="207"/>
      <c r="SMF308" s="204"/>
      <c r="SMG308" s="35"/>
      <c r="SMH308" s="202"/>
      <c r="SMI308" s="203"/>
      <c r="SMJ308" s="36"/>
      <c r="SMK308" s="36"/>
      <c r="SML308" s="205"/>
      <c r="SMM308" s="33"/>
      <c r="SMN308" s="37"/>
      <c r="SMO308" s="37"/>
      <c r="SMP308" s="37"/>
      <c r="SMQ308" s="37"/>
      <c r="SMR308" s="37"/>
      <c r="SMS308" s="33"/>
      <c r="SMT308" s="206"/>
      <c r="SMU308" s="207"/>
      <c r="SMV308" s="204"/>
      <c r="SMW308" s="35"/>
      <c r="SMX308" s="202"/>
      <c r="SMY308" s="203"/>
      <c r="SMZ308" s="36"/>
      <c r="SNA308" s="36"/>
      <c r="SNB308" s="205"/>
      <c r="SNC308" s="33"/>
      <c r="SND308" s="37"/>
      <c r="SNE308" s="37"/>
      <c r="SNF308" s="37"/>
      <c r="SNG308" s="37"/>
      <c r="SNH308" s="37"/>
      <c r="SNI308" s="33"/>
      <c r="SNJ308" s="206"/>
      <c r="SNK308" s="207"/>
      <c r="SNL308" s="204"/>
      <c r="SNM308" s="35"/>
      <c r="SNN308" s="202"/>
      <c r="SNO308" s="203"/>
      <c r="SNP308" s="36"/>
      <c r="SNQ308" s="36"/>
      <c r="SNR308" s="205"/>
      <c r="SNS308" s="33"/>
      <c r="SNT308" s="37"/>
      <c r="SNU308" s="37"/>
      <c r="SNV308" s="37"/>
      <c r="SNW308" s="37"/>
      <c r="SNX308" s="37"/>
      <c r="SNY308" s="33"/>
      <c r="SNZ308" s="206"/>
      <c r="SOA308" s="207"/>
      <c r="SOB308" s="204"/>
      <c r="SOC308" s="35"/>
      <c r="SOD308" s="202"/>
      <c r="SOE308" s="203"/>
      <c r="SOF308" s="36"/>
      <c r="SOG308" s="36"/>
      <c r="SOH308" s="205"/>
      <c r="SOI308" s="33"/>
      <c r="SOJ308" s="37"/>
      <c r="SOK308" s="37"/>
      <c r="SOL308" s="37"/>
      <c r="SOM308" s="37"/>
      <c r="SON308" s="37"/>
      <c r="SOO308" s="33"/>
      <c r="SOP308" s="206"/>
      <c r="SOQ308" s="207"/>
      <c r="SOR308" s="204"/>
      <c r="SOS308" s="35"/>
      <c r="SOT308" s="202"/>
      <c r="SOU308" s="203"/>
      <c r="SOV308" s="36"/>
      <c r="SOW308" s="36"/>
      <c r="SOX308" s="205"/>
      <c r="SOY308" s="33"/>
      <c r="SOZ308" s="37"/>
      <c r="SPA308" s="37"/>
      <c r="SPB308" s="37"/>
      <c r="SPC308" s="37"/>
      <c r="SPD308" s="37"/>
      <c r="SPE308" s="33"/>
      <c r="SPF308" s="206"/>
      <c r="SPG308" s="207"/>
      <c r="SPH308" s="204"/>
      <c r="SPI308" s="35"/>
      <c r="SPJ308" s="202"/>
      <c r="SPK308" s="203"/>
      <c r="SPL308" s="36"/>
      <c r="SPM308" s="36"/>
      <c r="SPN308" s="205"/>
      <c r="SPO308" s="33"/>
      <c r="SPP308" s="37"/>
      <c r="SPQ308" s="37"/>
      <c r="SPR308" s="37"/>
      <c r="SPS308" s="37"/>
      <c r="SPT308" s="37"/>
      <c r="SPU308" s="33"/>
      <c r="SPV308" s="206"/>
      <c r="SPW308" s="207"/>
      <c r="SPX308" s="204"/>
      <c r="SPY308" s="35"/>
      <c r="SPZ308" s="202"/>
      <c r="SQA308" s="203"/>
      <c r="SQB308" s="36"/>
      <c r="SQC308" s="36"/>
      <c r="SQD308" s="205"/>
      <c r="SQE308" s="33"/>
      <c r="SQF308" s="37"/>
      <c r="SQG308" s="37"/>
      <c r="SQH308" s="37"/>
      <c r="SQI308" s="37"/>
      <c r="SQJ308" s="37"/>
      <c r="SQK308" s="33"/>
      <c r="SQL308" s="206"/>
      <c r="SQM308" s="207"/>
      <c r="SQN308" s="204"/>
      <c r="SQO308" s="35"/>
      <c r="SQP308" s="202"/>
      <c r="SQQ308" s="203"/>
      <c r="SQR308" s="36"/>
      <c r="SQS308" s="36"/>
      <c r="SQT308" s="205"/>
      <c r="SQU308" s="33"/>
      <c r="SQV308" s="37"/>
      <c r="SQW308" s="37"/>
      <c r="SQX308" s="37"/>
      <c r="SQY308" s="37"/>
      <c r="SQZ308" s="37"/>
      <c r="SRA308" s="33"/>
      <c r="SRB308" s="206"/>
      <c r="SRC308" s="207"/>
      <c r="SRD308" s="204"/>
      <c r="SRE308" s="35"/>
      <c r="SRF308" s="202"/>
      <c r="SRG308" s="203"/>
      <c r="SRH308" s="36"/>
      <c r="SRI308" s="36"/>
      <c r="SRJ308" s="205"/>
      <c r="SRK308" s="33"/>
      <c r="SRL308" s="37"/>
      <c r="SRM308" s="37"/>
      <c r="SRN308" s="37"/>
      <c r="SRO308" s="37"/>
      <c r="SRP308" s="37"/>
      <c r="SRQ308" s="33"/>
      <c r="SRR308" s="206"/>
      <c r="SRS308" s="207"/>
      <c r="SRT308" s="204"/>
      <c r="SRU308" s="35"/>
      <c r="SRV308" s="202"/>
      <c r="SRW308" s="203"/>
      <c r="SRX308" s="36"/>
      <c r="SRY308" s="36"/>
      <c r="SRZ308" s="205"/>
      <c r="SSA308" s="33"/>
      <c r="SSB308" s="37"/>
      <c r="SSC308" s="37"/>
      <c r="SSD308" s="37"/>
      <c r="SSE308" s="37"/>
      <c r="SSF308" s="37"/>
      <c r="SSG308" s="33"/>
      <c r="SSH308" s="206"/>
      <c r="SSI308" s="207"/>
      <c r="SSJ308" s="204"/>
      <c r="SSK308" s="35"/>
      <c r="SSL308" s="202"/>
      <c r="SSM308" s="203"/>
      <c r="SSN308" s="36"/>
      <c r="SSO308" s="36"/>
      <c r="SSP308" s="205"/>
      <c r="SSQ308" s="33"/>
      <c r="SSR308" s="37"/>
      <c r="SSS308" s="37"/>
      <c r="SST308" s="37"/>
      <c r="SSU308" s="37"/>
      <c r="SSV308" s="37"/>
      <c r="SSW308" s="33"/>
      <c r="SSX308" s="206"/>
      <c r="SSY308" s="207"/>
      <c r="SSZ308" s="204"/>
      <c r="STA308" s="35"/>
      <c r="STB308" s="202"/>
      <c r="STC308" s="203"/>
      <c r="STD308" s="36"/>
      <c r="STE308" s="36"/>
      <c r="STF308" s="205"/>
      <c r="STG308" s="33"/>
      <c r="STH308" s="37"/>
      <c r="STI308" s="37"/>
      <c r="STJ308" s="37"/>
      <c r="STK308" s="37"/>
      <c r="STL308" s="37"/>
      <c r="STM308" s="33"/>
      <c r="STN308" s="206"/>
      <c r="STO308" s="207"/>
      <c r="STP308" s="204"/>
      <c r="STQ308" s="35"/>
      <c r="STR308" s="202"/>
      <c r="STS308" s="203"/>
      <c r="STT308" s="36"/>
      <c r="STU308" s="36"/>
      <c r="STV308" s="205"/>
      <c r="STW308" s="33"/>
      <c r="STX308" s="37"/>
      <c r="STY308" s="37"/>
      <c r="STZ308" s="37"/>
      <c r="SUA308" s="37"/>
      <c r="SUB308" s="37"/>
      <c r="SUC308" s="33"/>
      <c r="SUD308" s="206"/>
      <c r="SUE308" s="207"/>
      <c r="SUF308" s="204"/>
      <c r="SUG308" s="35"/>
      <c r="SUH308" s="202"/>
      <c r="SUI308" s="203"/>
      <c r="SUJ308" s="36"/>
      <c r="SUK308" s="36"/>
      <c r="SUL308" s="205"/>
      <c r="SUM308" s="33"/>
      <c r="SUN308" s="37"/>
      <c r="SUO308" s="37"/>
      <c r="SUP308" s="37"/>
      <c r="SUQ308" s="37"/>
      <c r="SUR308" s="37"/>
      <c r="SUS308" s="33"/>
      <c r="SUT308" s="206"/>
      <c r="SUU308" s="207"/>
      <c r="SUV308" s="204"/>
      <c r="SUW308" s="35"/>
      <c r="SUX308" s="202"/>
      <c r="SUY308" s="203"/>
      <c r="SUZ308" s="36"/>
      <c r="SVA308" s="36"/>
      <c r="SVB308" s="205"/>
      <c r="SVC308" s="33"/>
      <c r="SVD308" s="37"/>
      <c r="SVE308" s="37"/>
      <c r="SVF308" s="37"/>
      <c r="SVG308" s="37"/>
      <c r="SVH308" s="37"/>
      <c r="SVI308" s="33"/>
      <c r="SVJ308" s="206"/>
      <c r="SVK308" s="207"/>
      <c r="SVL308" s="204"/>
      <c r="SVM308" s="35"/>
      <c r="SVN308" s="202"/>
      <c r="SVO308" s="203"/>
      <c r="SVP308" s="36"/>
      <c r="SVQ308" s="36"/>
      <c r="SVR308" s="205"/>
      <c r="SVS308" s="33"/>
      <c r="SVT308" s="37"/>
      <c r="SVU308" s="37"/>
      <c r="SVV308" s="37"/>
      <c r="SVW308" s="37"/>
      <c r="SVX308" s="37"/>
      <c r="SVY308" s="33"/>
      <c r="SVZ308" s="206"/>
      <c r="SWA308" s="207"/>
      <c r="SWB308" s="204"/>
      <c r="SWC308" s="35"/>
      <c r="SWD308" s="202"/>
      <c r="SWE308" s="203"/>
      <c r="SWF308" s="36"/>
      <c r="SWG308" s="36"/>
      <c r="SWH308" s="205"/>
      <c r="SWI308" s="33"/>
      <c r="SWJ308" s="37"/>
      <c r="SWK308" s="37"/>
      <c r="SWL308" s="37"/>
      <c r="SWM308" s="37"/>
      <c r="SWN308" s="37"/>
      <c r="SWO308" s="33"/>
      <c r="SWP308" s="206"/>
      <c r="SWQ308" s="207"/>
      <c r="SWR308" s="204"/>
      <c r="SWS308" s="35"/>
      <c r="SWT308" s="202"/>
      <c r="SWU308" s="203"/>
      <c r="SWV308" s="36"/>
      <c r="SWW308" s="36"/>
      <c r="SWX308" s="205"/>
      <c r="SWY308" s="33"/>
      <c r="SWZ308" s="37"/>
      <c r="SXA308" s="37"/>
      <c r="SXB308" s="37"/>
      <c r="SXC308" s="37"/>
      <c r="SXD308" s="37"/>
      <c r="SXE308" s="33"/>
      <c r="SXF308" s="206"/>
      <c r="SXG308" s="207"/>
      <c r="SXH308" s="204"/>
      <c r="SXI308" s="35"/>
      <c r="SXJ308" s="202"/>
      <c r="SXK308" s="203"/>
      <c r="SXL308" s="36"/>
      <c r="SXM308" s="36"/>
      <c r="SXN308" s="205"/>
      <c r="SXO308" s="33"/>
      <c r="SXP308" s="37"/>
      <c r="SXQ308" s="37"/>
      <c r="SXR308" s="37"/>
      <c r="SXS308" s="37"/>
      <c r="SXT308" s="37"/>
      <c r="SXU308" s="33"/>
      <c r="SXV308" s="206"/>
      <c r="SXW308" s="207"/>
      <c r="SXX308" s="204"/>
      <c r="SXY308" s="35"/>
      <c r="SXZ308" s="202"/>
      <c r="SYA308" s="203"/>
      <c r="SYB308" s="36"/>
      <c r="SYC308" s="36"/>
      <c r="SYD308" s="205"/>
      <c r="SYE308" s="33"/>
      <c r="SYF308" s="37"/>
      <c r="SYG308" s="37"/>
      <c r="SYH308" s="37"/>
      <c r="SYI308" s="37"/>
      <c r="SYJ308" s="37"/>
      <c r="SYK308" s="33"/>
      <c r="SYL308" s="206"/>
      <c r="SYM308" s="207"/>
      <c r="SYN308" s="204"/>
      <c r="SYO308" s="35"/>
      <c r="SYP308" s="202"/>
      <c r="SYQ308" s="203"/>
      <c r="SYR308" s="36"/>
      <c r="SYS308" s="36"/>
      <c r="SYT308" s="205"/>
      <c r="SYU308" s="33"/>
      <c r="SYV308" s="37"/>
      <c r="SYW308" s="37"/>
      <c r="SYX308" s="37"/>
      <c r="SYY308" s="37"/>
      <c r="SYZ308" s="37"/>
      <c r="SZA308" s="33"/>
      <c r="SZB308" s="206"/>
      <c r="SZC308" s="207"/>
      <c r="SZD308" s="204"/>
      <c r="SZE308" s="35"/>
      <c r="SZF308" s="202"/>
      <c r="SZG308" s="203"/>
      <c r="SZH308" s="36"/>
      <c r="SZI308" s="36"/>
      <c r="SZJ308" s="205"/>
      <c r="SZK308" s="33"/>
      <c r="SZL308" s="37"/>
      <c r="SZM308" s="37"/>
      <c r="SZN308" s="37"/>
      <c r="SZO308" s="37"/>
      <c r="SZP308" s="37"/>
      <c r="SZQ308" s="33"/>
      <c r="SZR308" s="206"/>
      <c r="SZS308" s="207"/>
      <c r="SZT308" s="204"/>
      <c r="SZU308" s="35"/>
      <c r="SZV308" s="202"/>
      <c r="SZW308" s="203"/>
      <c r="SZX308" s="36"/>
      <c r="SZY308" s="36"/>
      <c r="SZZ308" s="205"/>
      <c r="TAA308" s="33"/>
      <c r="TAB308" s="37"/>
      <c r="TAC308" s="37"/>
      <c r="TAD308" s="37"/>
      <c r="TAE308" s="37"/>
      <c r="TAF308" s="37"/>
      <c r="TAG308" s="33"/>
      <c r="TAH308" s="206"/>
      <c r="TAI308" s="207"/>
      <c r="TAJ308" s="204"/>
      <c r="TAK308" s="35"/>
      <c r="TAL308" s="202"/>
      <c r="TAM308" s="203"/>
      <c r="TAN308" s="36"/>
      <c r="TAO308" s="36"/>
      <c r="TAP308" s="205"/>
      <c r="TAQ308" s="33"/>
      <c r="TAR308" s="37"/>
      <c r="TAS308" s="37"/>
      <c r="TAT308" s="37"/>
      <c r="TAU308" s="37"/>
      <c r="TAV308" s="37"/>
      <c r="TAW308" s="33"/>
      <c r="TAX308" s="206"/>
      <c r="TAY308" s="207"/>
      <c r="TAZ308" s="204"/>
      <c r="TBA308" s="35"/>
      <c r="TBB308" s="202"/>
      <c r="TBC308" s="203"/>
      <c r="TBD308" s="36"/>
      <c r="TBE308" s="36"/>
      <c r="TBF308" s="205"/>
      <c r="TBG308" s="33"/>
      <c r="TBH308" s="37"/>
      <c r="TBI308" s="37"/>
      <c r="TBJ308" s="37"/>
      <c r="TBK308" s="37"/>
      <c r="TBL308" s="37"/>
      <c r="TBM308" s="33"/>
      <c r="TBN308" s="206"/>
      <c r="TBO308" s="207"/>
      <c r="TBP308" s="204"/>
      <c r="TBQ308" s="35"/>
      <c r="TBR308" s="202"/>
      <c r="TBS308" s="203"/>
      <c r="TBT308" s="36"/>
      <c r="TBU308" s="36"/>
      <c r="TBV308" s="205"/>
      <c r="TBW308" s="33"/>
      <c r="TBX308" s="37"/>
      <c r="TBY308" s="37"/>
      <c r="TBZ308" s="37"/>
      <c r="TCA308" s="37"/>
      <c r="TCB308" s="37"/>
      <c r="TCC308" s="33"/>
      <c r="TCD308" s="206"/>
      <c r="TCE308" s="207"/>
      <c r="TCF308" s="204"/>
      <c r="TCG308" s="35"/>
      <c r="TCH308" s="202"/>
      <c r="TCI308" s="203"/>
      <c r="TCJ308" s="36"/>
      <c r="TCK308" s="36"/>
      <c r="TCL308" s="205"/>
      <c r="TCM308" s="33"/>
      <c r="TCN308" s="37"/>
      <c r="TCO308" s="37"/>
      <c r="TCP308" s="37"/>
      <c r="TCQ308" s="37"/>
      <c r="TCR308" s="37"/>
      <c r="TCS308" s="33"/>
      <c r="TCT308" s="206"/>
      <c r="TCU308" s="207"/>
      <c r="TCV308" s="204"/>
      <c r="TCW308" s="35"/>
      <c r="TCX308" s="202"/>
      <c r="TCY308" s="203"/>
      <c r="TCZ308" s="36"/>
      <c r="TDA308" s="36"/>
      <c r="TDB308" s="205"/>
      <c r="TDC308" s="33"/>
      <c r="TDD308" s="37"/>
      <c r="TDE308" s="37"/>
      <c r="TDF308" s="37"/>
      <c r="TDG308" s="37"/>
      <c r="TDH308" s="37"/>
      <c r="TDI308" s="33"/>
      <c r="TDJ308" s="206"/>
      <c r="TDK308" s="207"/>
      <c r="TDL308" s="204"/>
      <c r="TDM308" s="35"/>
      <c r="TDN308" s="202"/>
      <c r="TDO308" s="203"/>
      <c r="TDP308" s="36"/>
      <c r="TDQ308" s="36"/>
      <c r="TDR308" s="205"/>
      <c r="TDS308" s="33"/>
      <c r="TDT308" s="37"/>
      <c r="TDU308" s="37"/>
      <c r="TDV308" s="37"/>
      <c r="TDW308" s="37"/>
      <c r="TDX308" s="37"/>
      <c r="TDY308" s="33"/>
      <c r="TDZ308" s="206"/>
      <c r="TEA308" s="207"/>
      <c r="TEB308" s="204"/>
      <c r="TEC308" s="35"/>
      <c r="TED308" s="202"/>
      <c r="TEE308" s="203"/>
      <c r="TEF308" s="36"/>
      <c r="TEG308" s="36"/>
      <c r="TEH308" s="205"/>
      <c r="TEI308" s="33"/>
      <c r="TEJ308" s="37"/>
      <c r="TEK308" s="37"/>
      <c r="TEL308" s="37"/>
      <c r="TEM308" s="37"/>
      <c r="TEN308" s="37"/>
      <c r="TEO308" s="33"/>
      <c r="TEP308" s="206"/>
      <c r="TEQ308" s="207"/>
      <c r="TER308" s="204"/>
      <c r="TES308" s="35"/>
      <c r="TET308" s="202"/>
      <c r="TEU308" s="203"/>
      <c r="TEV308" s="36"/>
      <c r="TEW308" s="36"/>
      <c r="TEX308" s="205"/>
      <c r="TEY308" s="33"/>
      <c r="TEZ308" s="37"/>
      <c r="TFA308" s="37"/>
      <c r="TFB308" s="37"/>
      <c r="TFC308" s="37"/>
      <c r="TFD308" s="37"/>
      <c r="TFE308" s="33"/>
      <c r="TFF308" s="206"/>
      <c r="TFG308" s="207"/>
      <c r="TFH308" s="204"/>
      <c r="TFI308" s="35"/>
      <c r="TFJ308" s="202"/>
      <c r="TFK308" s="203"/>
      <c r="TFL308" s="36"/>
      <c r="TFM308" s="36"/>
      <c r="TFN308" s="205"/>
      <c r="TFO308" s="33"/>
      <c r="TFP308" s="37"/>
      <c r="TFQ308" s="37"/>
      <c r="TFR308" s="37"/>
      <c r="TFS308" s="37"/>
      <c r="TFT308" s="37"/>
      <c r="TFU308" s="33"/>
      <c r="TFV308" s="206"/>
      <c r="TFW308" s="207"/>
      <c r="TFX308" s="204"/>
      <c r="TFY308" s="35"/>
      <c r="TFZ308" s="202"/>
      <c r="TGA308" s="203"/>
      <c r="TGB308" s="36"/>
      <c r="TGC308" s="36"/>
      <c r="TGD308" s="205"/>
      <c r="TGE308" s="33"/>
      <c r="TGF308" s="37"/>
      <c r="TGG308" s="37"/>
      <c r="TGH308" s="37"/>
      <c r="TGI308" s="37"/>
      <c r="TGJ308" s="37"/>
      <c r="TGK308" s="33"/>
      <c r="TGL308" s="206"/>
      <c r="TGM308" s="207"/>
      <c r="TGN308" s="204"/>
      <c r="TGO308" s="35"/>
      <c r="TGP308" s="202"/>
      <c r="TGQ308" s="203"/>
      <c r="TGR308" s="36"/>
      <c r="TGS308" s="36"/>
      <c r="TGT308" s="205"/>
      <c r="TGU308" s="33"/>
      <c r="TGV308" s="37"/>
      <c r="TGW308" s="37"/>
      <c r="TGX308" s="37"/>
      <c r="TGY308" s="37"/>
      <c r="TGZ308" s="37"/>
      <c r="THA308" s="33"/>
      <c r="THB308" s="206"/>
      <c r="THC308" s="207"/>
      <c r="THD308" s="204"/>
      <c r="THE308" s="35"/>
      <c r="THF308" s="202"/>
      <c r="THG308" s="203"/>
      <c r="THH308" s="36"/>
      <c r="THI308" s="36"/>
      <c r="THJ308" s="205"/>
      <c r="THK308" s="33"/>
      <c r="THL308" s="37"/>
      <c r="THM308" s="37"/>
      <c r="THN308" s="37"/>
      <c r="THO308" s="37"/>
      <c r="THP308" s="37"/>
      <c r="THQ308" s="33"/>
      <c r="THR308" s="206"/>
      <c r="THS308" s="207"/>
      <c r="THT308" s="204"/>
      <c r="THU308" s="35"/>
      <c r="THV308" s="202"/>
      <c r="THW308" s="203"/>
      <c r="THX308" s="36"/>
      <c r="THY308" s="36"/>
      <c r="THZ308" s="205"/>
      <c r="TIA308" s="33"/>
      <c r="TIB308" s="37"/>
      <c r="TIC308" s="37"/>
      <c r="TID308" s="37"/>
      <c r="TIE308" s="37"/>
      <c r="TIF308" s="37"/>
      <c r="TIG308" s="33"/>
      <c r="TIH308" s="206"/>
      <c r="TII308" s="207"/>
      <c r="TIJ308" s="204"/>
      <c r="TIK308" s="35"/>
      <c r="TIL308" s="202"/>
      <c r="TIM308" s="203"/>
      <c r="TIN308" s="36"/>
      <c r="TIO308" s="36"/>
      <c r="TIP308" s="205"/>
      <c r="TIQ308" s="33"/>
      <c r="TIR308" s="37"/>
      <c r="TIS308" s="37"/>
      <c r="TIT308" s="37"/>
      <c r="TIU308" s="37"/>
      <c r="TIV308" s="37"/>
      <c r="TIW308" s="33"/>
      <c r="TIX308" s="206"/>
      <c r="TIY308" s="207"/>
      <c r="TIZ308" s="204"/>
      <c r="TJA308" s="35"/>
      <c r="TJB308" s="202"/>
      <c r="TJC308" s="203"/>
      <c r="TJD308" s="36"/>
      <c r="TJE308" s="36"/>
      <c r="TJF308" s="205"/>
      <c r="TJG308" s="33"/>
      <c r="TJH308" s="37"/>
      <c r="TJI308" s="37"/>
      <c r="TJJ308" s="37"/>
      <c r="TJK308" s="37"/>
      <c r="TJL308" s="37"/>
      <c r="TJM308" s="33"/>
      <c r="TJN308" s="206"/>
      <c r="TJO308" s="207"/>
      <c r="TJP308" s="204"/>
      <c r="TJQ308" s="35"/>
      <c r="TJR308" s="202"/>
      <c r="TJS308" s="203"/>
      <c r="TJT308" s="36"/>
      <c r="TJU308" s="36"/>
      <c r="TJV308" s="205"/>
      <c r="TJW308" s="33"/>
      <c r="TJX308" s="37"/>
      <c r="TJY308" s="37"/>
      <c r="TJZ308" s="37"/>
      <c r="TKA308" s="37"/>
      <c r="TKB308" s="37"/>
      <c r="TKC308" s="33"/>
      <c r="TKD308" s="206"/>
      <c r="TKE308" s="207"/>
      <c r="TKF308" s="204"/>
      <c r="TKG308" s="35"/>
      <c r="TKH308" s="202"/>
      <c r="TKI308" s="203"/>
      <c r="TKJ308" s="36"/>
      <c r="TKK308" s="36"/>
      <c r="TKL308" s="205"/>
      <c r="TKM308" s="33"/>
      <c r="TKN308" s="37"/>
      <c r="TKO308" s="37"/>
      <c r="TKP308" s="37"/>
      <c r="TKQ308" s="37"/>
      <c r="TKR308" s="37"/>
      <c r="TKS308" s="33"/>
      <c r="TKT308" s="206"/>
      <c r="TKU308" s="207"/>
      <c r="TKV308" s="204"/>
      <c r="TKW308" s="35"/>
      <c r="TKX308" s="202"/>
      <c r="TKY308" s="203"/>
      <c r="TKZ308" s="36"/>
      <c r="TLA308" s="36"/>
      <c r="TLB308" s="205"/>
      <c r="TLC308" s="33"/>
      <c r="TLD308" s="37"/>
      <c r="TLE308" s="37"/>
      <c r="TLF308" s="37"/>
      <c r="TLG308" s="37"/>
      <c r="TLH308" s="37"/>
      <c r="TLI308" s="33"/>
      <c r="TLJ308" s="206"/>
      <c r="TLK308" s="207"/>
      <c r="TLL308" s="204"/>
      <c r="TLM308" s="35"/>
      <c r="TLN308" s="202"/>
      <c r="TLO308" s="203"/>
      <c r="TLP308" s="36"/>
      <c r="TLQ308" s="36"/>
      <c r="TLR308" s="205"/>
      <c r="TLS308" s="33"/>
      <c r="TLT308" s="37"/>
      <c r="TLU308" s="37"/>
      <c r="TLV308" s="37"/>
      <c r="TLW308" s="37"/>
      <c r="TLX308" s="37"/>
      <c r="TLY308" s="33"/>
      <c r="TLZ308" s="206"/>
      <c r="TMA308" s="207"/>
      <c r="TMB308" s="204"/>
      <c r="TMC308" s="35"/>
      <c r="TMD308" s="202"/>
      <c r="TME308" s="203"/>
      <c r="TMF308" s="36"/>
      <c r="TMG308" s="36"/>
      <c r="TMH308" s="205"/>
      <c r="TMI308" s="33"/>
      <c r="TMJ308" s="37"/>
      <c r="TMK308" s="37"/>
      <c r="TML308" s="37"/>
      <c r="TMM308" s="37"/>
      <c r="TMN308" s="37"/>
      <c r="TMO308" s="33"/>
      <c r="TMP308" s="206"/>
      <c r="TMQ308" s="207"/>
      <c r="TMR308" s="204"/>
      <c r="TMS308" s="35"/>
      <c r="TMT308" s="202"/>
      <c r="TMU308" s="203"/>
      <c r="TMV308" s="36"/>
      <c r="TMW308" s="36"/>
      <c r="TMX308" s="205"/>
      <c r="TMY308" s="33"/>
      <c r="TMZ308" s="37"/>
      <c r="TNA308" s="37"/>
      <c r="TNB308" s="37"/>
      <c r="TNC308" s="37"/>
      <c r="TND308" s="37"/>
      <c r="TNE308" s="33"/>
      <c r="TNF308" s="206"/>
      <c r="TNG308" s="207"/>
      <c r="TNH308" s="204"/>
      <c r="TNI308" s="35"/>
      <c r="TNJ308" s="202"/>
      <c r="TNK308" s="203"/>
      <c r="TNL308" s="36"/>
      <c r="TNM308" s="36"/>
      <c r="TNN308" s="205"/>
      <c r="TNO308" s="33"/>
      <c r="TNP308" s="37"/>
      <c r="TNQ308" s="37"/>
      <c r="TNR308" s="37"/>
      <c r="TNS308" s="37"/>
      <c r="TNT308" s="37"/>
      <c r="TNU308" s="33"/>
      <c r="TNV308" s="206"/>
      <c r="TNW308" s="207"/>
      <c r="TNX308" s="204"/>
      <c r="TNY308" s="35"/>
      <c r="TNZ308" s="202"/>
      <c r="TOA308" s="203"/>
      <c r="TOB308" s="36"/>
      <c r="TOC308" s="36"/>
      <c r="TOD308" s="205"/>
      <c r="TOE308" s="33"/>
      <c r="TOF308" s="37"/>
      <c r="TOG308" s="37"/>
      <c r="TOH308" s="37"/>
      <c r="TOI308" s="37"/>
      <c r="TOJ308" s="37"/>
      <c r="TOK308" s="33"/>
      <c r="TOL308" s="206"/>
      <c r="TOM308" s="207"/>
      <c r="TON308" s="204"/>
      <c r="TOO308" s="35"/>
      <c r="TOP308" s="202"/>
      <c r="TOQ308" s="203"/>
      <c r="TOR308" s="36"/>
      <c r="TOS308" s="36"/>
      <c r="TOT308" s="205"/>
      <c r="TOU308" s="33"/>
      <c r="TOV308" s="37"/>
      <c r="TOW308" s="37"/>
      <c r="TOX308" s="37"/>
      <c r="TOY308" s="37"/>
      <c r="TOZ308" s="37"/>
      <c r="TPA308" s="33"/>
      <c r="TPB308" s="206"/>
      <c r="TPC308" s="207"/>
      <c r="TPD308" s="204"/>
      <c r="TPE308" s="35"/>
      <c r="TPF308" s="202"/>
      <c r="TPG308" s="203"/>
      <c r="TPH308" s="36"/>
      <c r="TPI308" s="36"/>
      <c r="TPJ308" s="205"/>
      <c r="TPK308" s="33"/>
      <c r="TPL308" s="37"/>
      <c r="TPM308" s="37"/>
      <c r="TPN308" s="37"/>
      <c r="TPO308" s="37"/>
      <c r="TPP308" s="37"/>
      <c r="TPQ308" s="33"/>
      <c r="TPR308" s="206"/>
      <c r="TPS308" s="207"/>
      <c r="TPT308" s="204"/>
      <c r="TPU308" s="35"/>
      <c r="TPV308" s="202"/>
      <c r="TPW308" s="203"/>
      <c r="TPX308" s="36"/>
      <c r="TPY308" s="36"/>
      <c r="TPZ308" s="205"/>
      <c r="TQA308" s="33"/>
      <c r="TQB308" s="37"/>
      <c r="TQC308" s="37"/>
      <c r="TQD308" s="37"/>
      <c r="TQE308" s="37"/>
      <c r="TQF308" s="37"/>
      <c r="TQG308" s="33"/>
      <c r="TQH308" s="206"/>
      <c r="TQI308" s="207"/>
      <c r="TQJ308" s="204"/>
      <c r="TQK308" s="35"/>
      <c r="TQL308" s="202"/>
      <c r="TQM308" s="203"/>
      <c r="TQN308" s="36"/>
      <c r="TQO308" s="36"/>
      <c r="TQP308" s="205"/>
      <c r="TQQ308" s="33"/>
      <c r="TQR308" s="37"/>
      <c r="TQS308" s="37"/>
      <c r="TQT308" s="37"/>
      <c r="TQU308" s="37"/>
      <c r="TQV308" s="37"/>
      <c r="TQW308" s="33"/>
      <c r="TQX308" s="206"/>
      <c r="TQY308" s="207"/>
      <c r="TQZ308" s="204"/>
      <c r="TRA308" s="35"/>
      <c r="TRB308" s="202"/>
      <c r="TRC308" s="203"/>
      <c r="TRD308" s="36"/>
      <c r="TRE308" s="36"/>
      <c r="TRF308" s="205"/>
      <c r="TRG308" s="33"/>
      <c r="TRH308" s="37"/>
      <c r="TRI308" s="37"/>
      <c r="TRJ308" s="37"/>
      <c r="TRK308" s="37"/>
      <c r="TRL308" s="37"/>
      <c r="TRM308" s="33"/>
      <c r="TRN308" s="206"/>
      <c r="TRO308" s="207"/>
      <c r="TRP308" s="204"/>
      <c r="TRQ308" s="35"/>
      <c r="TRR308" s="202"/>
      <c r="TRS308" s="203"/>
      <c r="TRT308" s="36"/>
      <c r="TRU308" s="36"/>
      <c r="TRV308" s="205"/>
      <c r="TRW308" s="33"/>
      <c r="TRX308" s="37"/>
      <c r="TRY308" s="37"/>
      <c r="TRZ308" s="37"/>
      <c r="TSA308" s="37"/>
      <c r="TSB308" s="37"/>
      <c r="TSC308" s="33"/>
      <c r="TSD308" s="206"/>
      <c r="TSE308" s="207"/>
      <c r="TSF308" s="204"/>
      <c r="TSG308" s="35"/>
      <c r="TSH308" s="202"/>
      <c r="TSI308" s="203"/>
      <c r="TSJ308" s="36"/>
      <c r="TSK308" s="36"/>
      <c r="TSL308" s="205"/>
      <c r="TSM308" s="33"/>
      <c r="TSN308" s="37"/>
      <c r="TSO308" s="37"/>
      <c r="TSP308" s="37"/>
      <c r="TSQ308" s="37"/>
      <c r="TSR308" s="37"/>
      <c r="TSS308" s="33"/>
      <c r="TST308" s="206"/>
      <c r="TSU308" s="207"/>
      <c r="TSV308" s="204"/>
      <c r="TSW308" s="35"/>
      <c r="TSX308" s="202"/>
      <c r="TSY308" s="203"/>
      <c r="TSZ308" s="36"/>
      <c r="TTA308" s="36"/>
      <c r="TTB308" s="205"/>
      <c r="TTC308" s="33"/>
      <c r="TTD308" s="37"/>
      <c r="TTE308" s="37"/>
      <c r="TTF308" s="37"/>
      <c r="TTG308" s="37"/>
      <c r="TTH308" s="37"/>
      <c r="TTI308" s="33"/>
      <c r="TTJ308" s="206"/>
      <c r="TTK308" s="207"/>
      <c r="TTL308" s="204"/>
      <c r="TTM308" s="35"/>
      <c r="TTN308" s="202"/>
      <c r="TTO308" s="203"/>
      <c r="TTP308" s="36"/>
      <c r="TTQ308" s="36"/>
      <c r="TTR308" s="205"/>
      <c r="TTS308" s="33"/>
      <c r="TTT308" s="37"/>
      <c r="TTU308" s="37"/>
      <c r="TTV308" s="37"/>
      <c r="TTW308" s="37"/>
      <c r="TTX308" s="37"/>
      <c r="TTY308" s="33"/>
      <c r="TTZ308" s="206"/>
      <c r="TUA308" s="207"/>
      <c r="TUB308" s="204"/>
      <c r="TUC308" s="35"/>
      <c r="TUD308" s="202"/>
      <c r="TUE308" s="203"/>
      <c r="TUF308" s="36"/>
      <c r="TUG308" s="36"/>
      <c r="TUH308" s="205"/>
      <c r="TUI308" s="33"/>
      <c r="TUJ308" s="37"/>
      <c r="TUK308" s="37"/>
      <c r="TUL308" s="37"/>
      <c r="TUM308" s="37"/>
      <c r="TUN308" s="37"/>
      <c r="TUO308" s="33"/>
      <c r="TUP308" s="206"/>
      <c r="TUQ308" s="207"/>
      <c r="TUR308" s="204"/>
      <c r="TUS308" s="35"/>
      <c r="TUT308" s="202"/>
      <c r="TUU308" s="203"/>
      <c r="TUV308" s="36"/>
      <c r="TUW308" s="36"/>
      <c r="TUX308" s="205"/>
      <c r="TUY308" s="33"/>
      <c r="TUZ308" s="37"/>
      <c r="TVA308" s="37"/>
      <c r="TVB308" s="37"/>
      <c r="TVC308" s="37"/>
      <c r="TVD308" s="37"/>
      <c r="TVE308" s="33"/>
      <c r="TVF308" s="206"/>
      <c r="TVG308" s="207"/>
      <c r="TVH308" s="204"/>
      <c r="TVI308" s="35"/>
      <c r="TVJ308" s="202"/>
      <c r="TVK308" s="203"/>
      <c r="TVL308" s="36"/>
      <c r="TVM308" s="36"/>
      <c r="TVN308" s="205"/>
      <c r="TVO308" s="33"/>
      <c r="TVP308" s="37"/>
      <c r="TVQ308" s="37"/>
      <c r="TVR308" s="37"/>
      <c r="TVS308" s="37"/>
      <c r="TVT308" s="37"/>
      <c r="TVU308" s="33"/>
      <c r="TVV308" s="206"/>
      <c r="TVW308" s="207"/>
      <c r="TVX308" s="204"/>
      <c r="TVY308" s="35"/>
      <c r="TVZ308" s="202"/>
      <c r="TWA308" s="203"/>
      <c r="TWB308" s="36"/>
      <c r="TWC308" s="36"/>
      <c r="TWD308" s="205"/>
      <c r="TWE308" s="33"/>
      <c r="TWF308" s="37"/>
      <c r="TWG308" s="37"/>
      <c r="TWH308" s="37"/>
      <c r="TWI308" s="37"/>
      <c r="TWJ308" s="37"/>
      <c r="TWK308" s="33"/>
      <c r="TWL308" s="206"/>
      <c r="TWM308" s="207"/>
      <c r="TWN308" s="204"/>
      <c r="TWO308" s="35"/>
      <c r="TWP308" s="202"/>
      <c r="TWQ308" s="203"/>
      <c r="TWR308" s="36"/>
      <c r="TWS308" s="36"/>
      <c r="TWT308" s="205"/>
      <c r="TWU308" s="33"/>
      <c r="TWV308" s="37"/>
      <c r="TWW308" s="37"/>
      <c r="TWX308" s="37"/>
      <c r="TWY308" s="37"/>
      <c r="TWZ308" s="37"/>
      <c r="TXA308" s="33"/>
      <c r="TXB308" s="206"/>
      <c r="TXC308" s="207"/>
      <c r="TXD308" s="204"/>
      <c r="TXE308" s="35"/>
      <c r="TXF308" s="202"/>
      <c r="TXG308" s="203"/>
      <c r="TXH308" s="36"/>
      <c r="TXI308" s="36"/>
      <c r="TXJ308" s="205"/>
      <c r="TXK308" s="33"/>
      <c r="TXL308" s="37"/>
      <c r="TXM308" s="37"/>
      <c r="TXN308" s="37"/>
      <c r="TXO308" s="37"/>
      <c r="TXP308" s="37"/>
      <c r="TXQ308" s="33"/>
      <c r="TXR308" s="206"/>
      <c r="TXS308" s="207"/>
      <c r="TXT308" s="204"/>
      <c r="TXU308" s="35"/>
      <c r="TXV308" s="202"/>
      <c r="TXW308" s="203"/>
      <c r="TXX308" s="36"/>
      <c r="TXY308" s="36"/>
      <c r="TXZ308" s="205"/>
      <c r="TYA308" s="33"/>
      <c r="TYB308" s="37"/>
      <c r="TYC308" s="37"/>
      <c r="TYD308" s="37"/>
      <c r="TYE308" s="37"/>
      <c r="TYF308" s="37"/>
      <c r="TYG308" s="33"/>
      <c r="TYH308" s="206"/>
      <c r="TYI308" s="207"/>
      <c r="TYJ308" s="204"/>
      <c r="TYK308" s="35"/>
      <c r="TYL308" s="202"/>
      <c r="TYM308" s="203"/>
      <c r="TYN308" s="36"/>
      <c r="TYO308" s="36"/>
      <c r="TYP308" s="205"/>
      <c r="TYQ308" s="33"/>
      <c r="TYR308" s="37"/>
      <c r="TYS308" s="37"/>
      <c r="TYT308" s="37"/>
      <c r="TYU308" s="37"/>
      <c r="TYV308" s="37"/>
      <c r="TYW308" s="33"/>
      <c r="TYX308" s="206"/>
      <c r="TYY308" s="207"/>
      <c r="TYZ308" s="204"/>
      <c r="TZA308" s="35"/>
      <c r="TZB308" s="202"/>
      <c r="TZC308" s="203"/>
      <c r="TZD308" s="36"/>
      <c r="TZE308" s="36"/>
      <c r="TZF308" s="205"/>
      <c r="TZG308" s="33"/>
      <c r="TZH308" s="37"/>
      <c r="TZI308" s="37"/>
      <c r="TZJ308" s="37"/>
      <c r="TZK308" s="37"/>
      <c r="TZL308" s="37"/>
      <c r="TZM308" s="33"/>
      <c r="TZN308" s="206"/>
      <c r="TZO308" s="207"/>
      <c r="TZP308" s="204"/>
      <c r="TZQ308" s="35"/>
      <c r="TZR308" s="202"/>
      <c r="TZS308" s="203"/>
      <c r="TZT308" s="36"/>
      <c r="TZU308" s="36"/>
      <c r="TZV308" s="205"/>
      <c r="TZW308" s="33"/>
      <c r="TZX308" s="37"/>
      <c r="TZY308" s="37"/>
      <c r="TZZ308" s="37"/>
      <c r="UAA308" s="37"/>
      <c r="UAB308" s="37"/>
      <c r="UAC308" s="33"/>
      <c r="UAD308" s="206"/>
      <c r="UAE308" s="207"/>
      <c r="UAF308" s="204"/>
      <c r="UAG308" s="35"/>
      <c r="UAH308" s="202"/>
      <c r="UAI308" s="203"/>
      <c r="UAJ308" s="36"/>
      <c r="UAK308" s="36"/>
      <c r="UAL308" s="205"/>
      <c r="UAM308" s="33"/>
      <c r="UAN308" s="37"/>
      <c r="UAO308" s="37"/>
      <c r="UAP308" s="37"/>
      <c r="UAQ308" s="37"/>
      <c r="UAR308" s="37"/>
      <c r="UAS308" s="33"/>
      <c r="UAT308" s="206"/>
      <c r="UAU308" s="207"/>
      <c r="UAV308" s="204"/>
      <c r="UAW308" s="35"/>
      <c r="UAX308" s="202"/>
      <c r="UAY308" s="203"/>
      <c r="UAZ308" s="36"/>
      <c r="UBA308" s="36"/>
      <c r="UBB308" s="205"/>
      <c r="UBC308" s="33"/>
      <c r="UBD308" s="37"/>
      <c r="UBE308" s="37"/>
      <c r="UBF308" s="37"/>
      <c r="UBG308" s="37"/>
      <c r="UBH308" s="37"/>
      <c r="UBI308" s="33"/>
      <c r="UBJ308" s="206"/>
      <c r="UBK308" s="207"/>
      <c r="UBL308" s="204"/>
      <c r="UBM308" s="35"/>
      <c r="UBN308" s="202"/>
      <c r="UBO308" s="203"/>
      <c r="UBP308" s="36"/>
      <c r="UBQ308" s="36"/>
      <c r="UBR308" s="205"/>
      <c r="UBS308" s="33"/>
      <c r="UBT308" s="37"/>
      <c r="UBU308" s="37"/>
      <c r="UBV308" s="37"/>
      <c r="UBW308" s="37"/>
      <c r="UBX308" s="37"/>
      <c r="UBY308" s="33"/>
      <c r="UBZ308" s="206"/>
      <c r="UCA308" s="207"/>
      <c r="UCB308" s="204"/>
      <c r="UCC308" s="35"/>
      <c r="UCD308" s="202"/>
      <c r="UCE308" s="203"/>
      <c r="UCF308" s="36"/>
      <c r="UCG308" s="36"/>
      <c r="UCH308" s="205"/>
      <c r="UCI308" s="33"/>
      <c r="UCJ308" s="37"/>
      <c r="UCK308" s="37"/>
      <c r="UCL308" s="37"/>
      <c r="UCM308" s="37"/>
      <c r="UCN308" s="37"/>
      <c r="UCO308" s="33"/>
      <c r="UCP308" s="206"/>
      <c r="UCQ308" s="207"/>
      <c r="UCR308" s="204"/>
      <c r="UCS308" s="35"/>
      <c r="UCT308" s="202"/>
      <c r="UCU308" s="203"/>
      <c r="UCV308" s="36"/>
      <c r="UCW308" s="36"/>
      <c r="UCX308" s="205"/>
      <c r="UCY308" s="33"/>
      <c r="UCZ308" s="37"/>
      <c r="UDA308" s="37"/>
      <c r="UDB308" s="37"/>
      <c r="UDC308" s="37"/>
      <c r="UDD308" s="37"/>
      <c r="UDE308" s="33"/>
      <c r="UDF308" s="206"/>
      <c r="UDG308" s="207"/>
      <c r="UDH308" s="204"/>
      <c r="UDI308" s="35"/>
      <c r="UDJ308" s="202"/>
      <c r="UDK308" s="203"/>
      <c r="UDL308" s="36"/>
      <c r="UDM308" s="36"/>
      <c r="UDN308" s="205"/>
      <c r="UDO308" s="33"/>
      <c r="UDP308" s="37"/>
      <c r="UDQ308" s="37"/>
      <c r="UDR308" s="37"/>
      <c r="UDS308" s="37"/>
      <c r="UDT308" s="37"/>
      <c r="UDU308" s="33"/>
      <c r="UDV308" s="206"/>
      <c r="UDW308" s="207"/>
      <c r="UDX308" s="204"/>
      <c r="UDY308" s="35"/>
      <c r="UDZ308" s="202"/>
      <c r="UEA308" s="203"/>
      <c r="UEB308" s="36"/>
      <c r="UEC308" s="36"/>
      <c r="UED308" s="205"/>
      <c r="UEE308" s="33"/>
      <c r="UEF308" s="37"/>
      <c r="UEG308" s="37"/>
      <c r="UEH308" s="37"/>
      <c r="UEI308" s="37"/>
      <c r="UEJ308" s="37"/>
      <c r="UEK308" s="33"/>
      <c r="UEL308" s="206"/>
      <c r="UEM308" s="207"/>
      <c r="UEN308" s="204"/>
      <c r="UEO308" s="35"/>
      <c r="UEP308" s="202"/>
      <c r="UEQ308" s="203"/>
      <c r="UER308" s="36"/>
      <c r="UES308" s="36"/>
      <c r="UET308" s="205"/>
      <c r="UEU308" s="33"/>
      <c r="UEV308" s="37"/>
      <c r="UEW308" s="37"/>
      <c r="UEX308" s="37"/>
      <c r="UEY308" s="37"/>
      <c r="UEZ308" s="37"/>
      <c r="UFA308" s="33"/>
      <c r="UFB308" s="206"/>
      <c r="UFC308" s="207"/>
      <c r="UFD308" s="204"/>
      <c r="UFE308" s="35"/>
      <c r="UFF308" s="202"/>
      <c r="UFG308" s="203"/>
      <c r="UFH308" s="36"/>
      <c r="UFI308" s="36"/>
      <c r="UFJ308" s="205"/>
      <c r="UFK308" s="33"/>
      <c r="UFL308" s="37"/>
      <c r="UFM308" s="37"/>
      <c r="UFN308" s="37"/>
      <c r="UFO308" s="37"/>
      <c r="UFP308" s="37"/>
      <c r="UFQ308" s="33"/>
      <c r="UFR308" s="206"/>
      <c r="UFS308" s="207"/>
      <c r="UFT308" s="204"/>
      <c r="UFU308" s="35"/>
      <c r="UFV308" s="202"/>
      <c r="UFW308" s="203"/>
      <c r="UFX308" s="36"/>
      <c r="UFY308" s="36"/>
      <c r="UFZ308" s="205"/>
      <c r="UGA308" s="33"/>
      <c r="UGB308" s="37"/>
      <c r="UGC308" s="37"/>
      <c r="UGD308" s="37"/>
      <c r="UGE308" s="37"/>
      <c r="UGF308" s="37"/>
      <c r="UGG308" s="33"/>
      <c r="UGH308" s="206"/>
      <c r="UGI308" s="207"/>
      <c r="UGJ308" s="204"/>
      <c r="UGK308" s="35"/>
      <c r="UGL308" s="202"/>
      <c r="UGM308" s="203"/>
      <c r="UGN308" s="36"/>
      <c r="UGO308" s="36"/>
      <c r="UGP308" s="205"/>
      <c r="UGQ308" s="33"/>
      <c r="UGR308" s="37"/>
      <c r="UGS308" s="37"/>
      <c r="UGT308" s="37"/>
      <c r="UGU308" s="37"/>
      <c r="UGV308" s="37"/>
      <c r="UGW308" s="33"/>
      <c r="UGX308" s="206"/>
      <c r="UGY308" s="207"/>
      <c r="UGZ308" s="204"/>
      <c r="UHA308" s="35"/>
      <c r="UHB308" s="202"/>
      <c r="UHC308" s="203"/>
      <c r="UHD308" s="36"/>
      <c r="UHE308" s="36"/>
      <c r="UHF308" s="205"/>
      <c r="UHG308" s="33"/>
      <c r="UHH308" s="37"/>
      <c r="UHI308" s="37"/>
      <c r="UHJ308" s="37"/>
      <c r="UHK308" s="37"/>
      <c r="UHL308" s="37"/>
      <c r="UHM308" s="33"/>
      <c r="UHN308" s="206"/>
      <c r="UHO308" s="207"/>
      <c r="UHP308" s="204"/>
      <c r="UHQ308" s="35"/>
      <c r="UHR308" s="202"/>
      <c r="UHS308" s="203"/>
      <c r="UHT308" s="36"/>
      <c r="UHU308" s="36"/>
      <c r="UHV308" s="205"/>
      <c r="UHW308" s="33"/>
      <c r="UHX308" s="37"/>
      <c r="UHY308" s="37"/>
      <c r="UHZ308" s="37"/>
      <c r="UIA308" s="37"/>
      <c r="UIB308" s="37"/>
      <c r="UIC308" s="33"/>
      <c r="UID308" s="206"/>
      <c r="UIE308" s="207"/>
      <c r="UIF308" s="204"/>
      <c r="UIG308" s="35"/>
      <c r="UIH308" s="202"/>
      <c r="UII308" s="203"/>
      <c r="UIJ308" s="36"/>
      <c r="UIK308" s="36"/>
      <c r="UIL308" s="205"/>
      <c r="UIM308" s="33"/>
      <c r="UIN308" s="37"/>
      <c r="UIO308" s="37"/>
      <c r="UIP308" s="37"/>
      <c r="UIQ308" s="37"/>
      <c r="UIR308" s="37"/>
      <c r="UIS308" s="33"/>
      <c r="UIT308" s="206"/>
      <c r="UIU308" s="207"/>
      <c r="UIV308" s="204"/>
      <c r="UIW308" s="35"/>
      <c r="UIX308" s="202"/>
      <c r="UIY308" s="203"/>
      <c r="UIZ308" s="36"/>
      <c r="UJA308" s="36"/>
      <c r="UJB308" s="205"/>
      <c r="UJC308" s="33"/>
      <c r="UJD308" s="37"/>
      <c r="UJE308" s="37"/>
      <c r="UJF308" s="37"/>
      <c r="UJG308" s="37"/>
      <c r="UJH308" s="37"/>
      <c r="UJI308" s="33"/>
      <c r="UJJ308" s="206"/>
      <c r="UJK308" s="207"/>
      <c r="UJL308" s="204"/>
      <c r="UJM308" s="35"/>
      <c r="UJN308" s="202"/>
      <c r="UJO308" s="203"/>
      <c r="UJP308" s="36"/>
      <c r="UJQ308" s="36"/>
      <c r="UJR308" s="205"/>
      <c r="UJS308" s="33"/>
      <c r="UJT308" s="37"/>
      <c r="UJU308" s="37"/>
      <c r="UJV308" s="37"/>
      <c r="UJW308" s="37"/>
      <c r="UJX308" s="37"/>
      <c r="UJY308" s="33"/>
      <c r="UJZ308" s="206"/>
      <c r="UKA308" s="207"/>
      <c r="UKB308" s="204"/>
      <c r="UKC308" s="35"/>
      <c r="UKD308" s="202"/>
      <c r="UKE308" s="203"/>
      <c r="UKF308" s="36"/>
      <c r="UKG308" s="36"/>
      <c r="UKH308" s="205"/>
      <c r="UKI308" s="33"/>
      <c r="UKJ308" s="37"/>
      <c r="UKK308" s="37"/>
      <c r="UKL308" s="37"/>
      <c r="UKM308" s="37"/>
      <c r="UKN308" s="37"/>
      <c r="UKO308" s="33"/>
      <c r="UKP308" s="206"/>
      <c r="UKQ308" s="207"/>
      <c r="UKR308" s="204"/>
      <c r="UKS308" s="35"/>
      <c r="UKT308" s="202"/>
      <c r="UKU308" s="203"/>
      <c r="UKV308" s="36"/>
      <c r="UKW308" s="36"/>
      <c r="UKX308" s="205"/>
      <c r="UKY308" s="33"/>
      <c r="UKZ308" s="37"/>
      <c r="ULA308" s="37"/>
      <c r="ULB308" s="37"/>
      <c r="ULC308" s="37"/>
      <c r="ULD308" s="37"/>
      <c r="ULE308" s="33"/>
      <c r="ULF308" s="206"/>
      <c r="ULG308" s="207"/>
      <c r="ULH308" s="204"/>
      <c r="ULI308" s="35"/>
      <c r="ULJ308" s="202"/>
      <c r="ULK308" s="203"/>
      <c r="ULL308" s="36"/>
      <c r="ULM308" s="36"/>
      <c r="ULN308" s="205"/>
      <c r="ULO308" s="33"/>
      <c r="ULP308" s="37"/>
      <c r="ULQ308" s="37"/>
      <c r="ULR308" s="37"/>
      <c r="ULS308" s="37"/>
      <c r="ULT308" s="37"/>
      <c r="ULU308" s="33"/>
      <c r="ULV308" s="206"/>
      <c r="ULW308" s="207"/>
      <c r="ULX308" s="204"/>
      <c r="ULY308" s="35"/>
      <c r="ULZ308" s="202"/>
      <c r="UMA308" s="203"/>
      <c r="UMB308" s="36"/>
      <c r="UMC308" s="36"/>
      <c r="UMD308" s="205"/>
      <c r="UME308" s="33"/>
      <c r="UMF308" s="37"/>
      <c r="UMG308" s="37"/>
      <c r="UMH308" s="37"/>
      <c r="UMI308" s="37"/>
      <c r="UMJ308" s="37"/>
      <c r="UMK308" s="33"/>
      <c r="UML308" s="206"/>
      <c r="UMM308" s="207"/>
      <c r="UMN308" s="204"/>
      <c r="UMO308" s="35"/>
      <c r="UMP308" s="202"/>
      <c r="UMQ308" s="203"/>
      <c r="UMR308" s="36"/>
      <c r="UMS308" s="36"/>
      <c r="UMT308" s="205"/>
      <c r="UMU308" s="33"/>
      <c r="UMV308" s="37"/>
      <c r="UMW308" s="37"/>
      <c r="UMX308" s="37"/>
      <c r="UMY308" s="37"/>
      <c r="UMZ308" s="37"/>
      <c r="UNA308" s="33"/>
      <c r="UNB308" s="206"/>
      <c r="UNC308" s="207"/>
      <c r="UND308" s="204"/>
      <c r="UNE308" s="35"/>
      <c r="UNF308" s="202"/>
      <c r="UNG308" s="203"/>
      <c r="UNH308" s="36"/>
      <c r="UNI308" s="36"/>
      <c r="UNJ308" s="205"/>
      <c r="UNK308" s="33"/>
      <c r="UNL308" s="37"/>
      <c r="UNM308" s="37"/>
      <c r="UNN308" s="37"/>
      <c r="UNO308" s="37"/>
      <c r="UNP308" s="37"/>
      <c r="UNQ308" s="33"/>
      <c r="UNR308" s="206"/>
      <c r="UNS308" s="207"/>
      <c r="UNT308" s="204"/>
      <c r="UNU308" s="35"/>
      <c r="UNV308" s="202"/>
      <c r="UNW308" s="203"/>
      <c r="UNX308" s="36"/>
      <c r="UNY308" s="36"/>
      <c r="UNZ308" s="205"/>
      <c r="UOA308" s="33"/>
      <c r="UOB308" s="37"/>
      <c r="UOC308" s="37"/>
      <c r="UOD308" s="37"/>
      <c r="UOE308" s="37"/>
      <c r="UOF308" s="37"/>
      <c r="UOG308" s="33"/>
      <c r="UOH308" s="206"/>
      <c r="UOI308" s="207"/>
      <c r="UOJ308" s="204"/>
      <c r="UOK308" s="35"/>
      <c r="UOL308" s="202"/>
      <c r="UOM308" s="203"/>
      <c r="UON308" s="36"/>
      <c r="UOO308" s="36"/>
      <c r="UOP308" s="205"/>
      <c r="UOQ308" s="33"/>
      <c r="UOR308" s="37"/>
      <c r="UOS308" s="37"/>
      <c r="UOT308" s="37"/>
      <c r="UOU308" s="37"/>
      <c r="UOV308" s="37"/>
      <c r="UOW308" s="33"/>
      <c r="UOX308" s="206"/>
      <c r="UOY308" s="207"/>
      <c r="UOZ308" s="204"/>
      <c r="UPA308" s="35"/>
      <c r="UPB308" s="202"/>
      <c r="UPC308" s="203"/>
      <c r="UPD308" s="36"/>
      <c r="UPE308" s="36"/>
      <c r="UPF308" s="205"/>
      <c r="UPG308" s="33"/>
      <c r="UPH308" s="37"/>
      <c r="UPI308" s="37"/>
      <c r="UPJ308" s="37"/>
      <c r="UPK308" s="37"/>
      <c r="UPL308" s="37"/>
      <c r="UPM308" s="33"/>
      <c r="UPN308" s="206"/>
      <c r="UPO308" s="207"/>
      <c r="UPP308" s="204"/>
      <c r="UPQ308" s="35"/>
      <c r="UPR308" s="202"/>
      <c r="UPS308" s="203"/>
      <c r="UPT308" s="36"/>
      <c r="UPU308" s="36"/>
      <c r="UPV308" s="205"/>
      <c r="UPW308" s="33"/>
      <c r="UPX308" s="37"/>
      <c r="UPY308" s="37"/>
      <c r="UPZ308" s="37"/>
      <c r="UQA308" s="37"/>
      <c r="UQB308" s="37"/>
      <c r="UQC308" s="33"/>
      <c r="UQD308" s="206"/>
      <c r="UQE308" s="207"/>
      <c r="UQF308" s="204"/>
      <c r="UQG308" s="35"/>
      <c r="UQH308" s="202"/>
      <c r="UQI308" s="203"/>
      <c r="UQJ308" s="36"/>
      <c r="UQK308" s="36"/>
      <c r="UQL308" s="205"/>
      <c r="UQM308" s="33"/>
      <c r="UQN308" s="37"/>
      <c r="UQO308" s="37"/>
      <c r="UQP308" s="37"/>
      <c r="UQQ308" s="37"/>
      <c r="UQR308" s="37"/>
      <c r="UQS308" s="33"/>
      <c r="UQT308" s="206"/>
      <c r="UQU308" s="207"/>
      <c r="UQV308" s="204"/>
      <c r="UQW308" s="35"/>
      <c r="UQX308" s="202"/>
      <c r="UQY308" s="203"/>
      <c r="UQZ308" s="36"/>
      <c r="URA308" s="36"/>
      <c r="URB308" s="205"/>
      <c r="URC308" s="33"/>
      <c r="URD308" s="37"/>
      <c r="URE308" s="37"/>
      <c r="URF308" s="37"/>
      <c r="URG308" s="37"/>
      <c r="URH308" s="37"/>
      <c r="URI308" s="33"/>
      <c r="URJ308" s="206"/>
      <c r="URK308" s="207"/>
      <c r="URL308" s="204"/>
      <c r="URM308" s="35"/>
      <c r="URN308" s="202"/>
      <c r="URO308" s="203"/>
      <c r="URP308" s="36"/>
      <c r="URQ308" s="36"/>
      <c r="URR308" s="205"/>
      <c r="URS308" s="33"/>
      <c r="URT308" s="37"/>
      <c r="URU308" s="37"/>
      <c r="URV308" s="37"/>
      <c r="URW308" s="37"/>
      <c r="URX308" s="37"/>
      <c r="URY308" s="33"/>
      <c r="URZ308" s="206"/>
      <c r="USA308" s="207"/>
      <c r="USB308" s="204"/>
      <c r="USC308" s="35"/>
      <c r="USD308" s="202"/>
      <c r="USE308" s="203"/>
      <c r="USF308" s="36"/>
      <c r="USG308" s="36"/>
      <c r="USH308" s="205"/>
      <c r="USI308" s="33"/>
      <c r="USJ308" s="37"/>
      <c r="USK308" s="37"/>
      <c r="USL308" s="37"/>
      <c r="USM308" s="37"/>
      <c r="USN308" s="37"/>
      <c r="USO308" s="33"/>
      <c r="USP308" s="206"/>
      <c r="USQ308" s="207"/>
      <c r="USR308" s="204"/>
      <c r="USS308" s="35"/>
      <c r="UST308" s="202"/>
      <c r="USU308" s="203"/>
      <c r="USV308" s="36"/>
      <c r="USW308" s="36"/>
      <c r="USX308" s="205"/>
      <c r="USY308" s="33"/>
      <c r="USZ308" s="37"/>
      <c r="UTA308" s="37"/>
      <c r="UTB308" s="37"/>
      <c r="UTC308" s="37"/>
      <c r="UTD308" s="37"/>
      <c r="UTE308" s="33"/>
      <c r="UTF308" s="206"/>
      <c r="UTG308" s="207"/>
      <c r="UTH308" s="204"/>
      <c r="UTI308" s="35"/>
      <c r="UTJ308" s="202"/>
      <c r="UTK308" s="203"/>
      <c r="UTL308" s="36"/>
      <c r="UTM308" s="36"/>
      <c r="UTN308" s="205"/>
      <c r="UTO308" s="33"/>
      <c r="UTP308" s="37"/>
      <c r="UTQ308" s="37"/>
      <c r="UTR308" s="37"/>
      <c r="UTS308" s="37"/>
      <c r="UTT308" s="37"/>
      <c r="UTU308" s="33"/>
      <c r="UTV308" s="206"/>
      <c r="UTW308" s="207"/>
      <c r="UTX308" s="204"/>
      <c r="UTY308" s="35"/>
      <c r="UTZ308" s="202"/>
      <c r="UUA308" s="203"/>
      <c r="UUB308" s="36"/>
      <c r="UUC308" s="36"/>
      <c r="UUD308" s="205"/>
      <c r="UUE308" s="33"/>
      <c r="UUF308" s="37"/>
      <c r="UUG308" s="37"/>
      <c r="UUH308" s="37"/>
      <c r="UUI308" s="37"/>
      <c r="UUJ308" s="37"/>
      <c r="UUK308" s="33"/>
      <c r="UUL308" s="206"/>
      <c r="UUM308" s="207"/>
      <c r="UUN308" s="204"/>
      <c r="UUO308" s="35"/>
      <c r="UUP308" s="202"/>
      <c r="UUQ308" s="203"/>
      <c r="UUR308" s="36"/>
      <c r="UUS308" s="36"/>
      <c r="UUT308" s="205"/>
      <c r="UUU308" s="33"/>
      <c r="UUV308" s="37"/>
      <c r="UUW308" s="37"/>
      <c r="UUX308" s="37"/>
      <c r="UUY308" s="37"/>
      <c r="UUZ308" s="37"/>
      <c r="UVA308" s="33"/>
      <c r="UVB308" s="206"/>
      <c r="UVC308" s="207"/>
      <c r="UVD308" s="204"/>
      <c r="UVE308" s="35"/>
      <c r="UVF308" s="202"/>
      <c r="UVG308" s="203"/>
      <c r="UVH308" s="36"/>
      <c r="UVI308" s="36"/>
      <c r="UVJ308" s="205"/>
      <c r="UVK308" s="33"/>
      <c r="UVL308" s="37"/>
      <c r="UVM308" s="37"/>
      <c r="UVN308" s="37"/>
      <c r="UVO308" s="37"/>
      <c r="UVP308" s="37"/>
      <c r="UVQ308" s="33"/>
      <c r="UVR308" s="206"/>
      <c r="UVS308" s="207"/>
      <c r="UVT308" s="204"/>
      <c r="UVU308" s="35"/>
      <c r="UVV308" s="202"/>
      <c r="UVW308" s="203"/>
      <c r="UVX308" s="36"/>
      <c r="UVY308" s="36"/>
      <c r="UVZ308" s="205"/>
      <c r="UWA308" s="33"/>
      <c r="UWB308" s="37"/>
      <c r="UWC308" s="37"/>
      <c r="UWD308" s="37"/>
      <c r="UWE308" s="37"/>
      <c r="UWF308" s="37"/>
      <c r="UWG308" s="33"/>
      <c r="UWH308" s="206"/>
      <c r="UWI308" s="207"/>
      <c r="UWJ308" s="204"/>
      <c r="UWK308" s="35"/>
      <c r="UWL308" s="202"/>
      <c r="UWM308" s="203"/>
      <c r="UWN308" s="36"/>
      <c r="UWO308" s="36"/>
      <c r="UWP308" s="205"/>
      <c r="UWQ308" s="33"/>
      <c r="UWR308" s="37"/>
      <c r="UWS308" s="37"/>
      <c r="UWT308" s="37"/>
      <c r="UWU308" s="37"/>
      <c r="UWV308" s="37"/>
      <c r="UWW308" s="33"/>
      <c r="UWX308" s="206"/>
      <c r="UWY308" s="207"/>
      <c r="UWZ308" s="204"/>
      <c r="UXA308" s="35"/>
      <c r="UXB308" s="202"/>
      <c r="UXC308" s="203"/>
      <c r="UXD308" s="36"/>
      <c r="UXE308" s="36"/>
      <c r="UXF308" s="205"/>
      <c r="UXG308" s="33"/>
      <c r="UXH308" s="37"/>
      <c r="UXI308" s="37"/>
      <c r="UXJ308" s="37"/>
      <c r="UXK308" s="37"/>
      <c r="UXL308" s="37"/>
      <c r="UXM308" s="33"/>
      <c r="UXN308" s="206"/>
      <c r="UXO308" s="207"/>
      <c r="UXP308" s="204"/>
      <c r="UXQ308" s="35"/>
      <c r="UXR308" s="202"/>
      <c r="UXS308" s="203"/>
      <c r="UXT308" s="36"/>
      <c r="UXU308" s="36"/>
      <c r="UXV308" s="205"/>
      <c r="UXW308" s="33"/>
      <c r="UXX308" s="37"/>
      <c r="UXY308" s="37"/>
      <c r="UXZ308" s="37"/>
      <c r="UYA308" s="37"/>
      <c r="UYB308" s="37"/>
      <c r="UYC308" s="33"/>
      <c r="UYD308" s="206"/>
      <c r="UYE308" s="207"/>
      <c r="UYF308" s="204"/>
      <c r="UYG308" s="35"/>
      <c r="UYH308" s="202"/>
      <c r="UYI308" s="203"/>
      <c r="UYJ308" s="36"/>
      <c r="UYK308" s="36"/>
      <c r="UYL308" s="205"/>
      <c r="UYM308" s="33"/>
      <c r="UYN308" s="37"/>
      <c r="UYO308" s="37"/>
      <c r="UYP308" s="37"/>
      <c r="UYQ308" s="37"/>
      <c r="UYR308" s="37"/>
      <c r="UYS308" s="33"/>
      <c r="UYT308" s="206"/>
      <c r="UYU308" s="207"/>
      <c r="UYV308" s="204"/>
      <c r="UYW308" s="35"/>
      <c r="UYX308" s="202"/>
      <c r="UYY308" s="203"/>
      <c r="UYZ308" s="36"/>
      <c r="UZA308" s="36"/>
      <c r="UZB308" s="205"/>
      <c r="UZC308" s="33"/>
      <c r="UZD308" s="37"/>
      <c r="UZE308" s="37"/>
      <c r="UZF308" s="37"/>
      <c r="UZG308" s="37"/>
      <c r="UZH308" s="37"/>
      <c r="UZI308" s="33"/>
      <c r="UZJ308" s="206"/>
      <c r="UZK308" s="207"/>
      <c r="UZL308" s="204"/>
      <c r="UZM308" s="35"/>
      <c r="UZN308" s="202"/>
      <c r="UZO308" s="203"/>
      <c r="UZP308" s="36"/>
      <c r="UZQ308" s="36"/>
      <c r="UZR308" s="205"/>
      <c r="UZS308" s="33"/>
      <c r="UZT308" s="37"/>
      <c r="UZU308" s="37"/>
      <c r="UZV308" s="37"/>
      <c r="UZW308" s="37"/>
      <c r="UZX308" s="37"/>
      <c r="UZY308" s="33"/>
      <c r="UZZ308" s="206"/>
      <c r="VAA308" s="207"/>
      <c r="VAB308" s="204"/>
      <c r="VAC308" s="35"/>
      <c r="VAD308" s="202"/>
      <c r="VAE308" s="203"/>
      <c r="VAF308" s="36"/>
      <c r="VAG308" s="36"/>
      <c r="VAH308" s="205"/>
      <c r="VAI308" s="33"/>
      <c r="VAJ308" s="37"/>
      <c r="VAK308" s="37"/>
      <c r="VAL308" s="37"/>
      <c r="VAM308" s="37"/>
      <c r="VAN308" s="37"/>
      <c r="VAO308" s="33"/>
      <c r="VAP308" s="206"/>
      <c r="VAQ308" s="207"/>
      <c r="VAR308" s="204"/>
      <c r="VAS308" s="35"/>
      <c r="VAT308" s="202"/>
      <c r="VAU308" s="203"/>
      <c r="VAV308" s="36"/>
      <c r="VAW308" s="36"/>
      <c r="VAX308" s="205"/>
      <c r="VAY308" s="33"/>
      <c r="VAZ308" s="37"/>
      <c r="VBA308" s="37"/>
      <c r="VBB308" s="37"/>
      <c r="VBC308" s="37"/>
      <c r="VBD308" s="37"/>
      <c r="VBE308" s="33"/>
      <c r="VBF308" s="206"/>
      <c r="VBG308" s="207"/>
      <c r="VBH308" s="204"/>
      <c r="VBI308" s="35"/>
      <c r="VBJ308" s="202"/>
      <c r="VBK308" s="203"/>
      <c r="VBL308" s="36"/>
      <c r="VBM308" s="36"/>
      <c r="VBN308" s="205"/>
      <c r="VBO308" s="33"/>
      <c r="VBP308" s="37"/>
      <c r="VBQ308" s="37"/>
      <c r="VBR308" s="37"/>
      <c r="VBS308" s="37"/>
      <c r="VBT308" s="37"/>
      <c r="VBU308" s="33"/>
      <c r="VBV308" s="206"/>
      <c r="VBW308" s="207"/>
      <c r="VBX308" s="204"/>
      <c r="VBY308" s="35"/>
      <c r="VBZ308" s="202"/>
      <c r="VCA308" s="203"/>
      <c r="VCB308" s="36"/>
      <c r="VCC308" s="36"/>
      <c r="VCD308" s="205"/>
      <c r="VCE308" s="33"/>
      <c r="VCF308" s="37"/>
      <c r="VCG308" s="37"/>
      <c r="VCH308" s="37"/>
      <c r="VCI308" s="37"/>
      <c r="VCJ308" s="37"/>
      <c r="VCK308" s="33"/>
      <c r="VCL308" s="206"/>
      <c r="VCM308" s="207"/>
      <c r="VCN308" s="204"/>
      <c r="VCO308" s="35"/>
      <c r="VCP308" s="202"/>
      <c r="VCQ308" s="203"/>
      <c r="VCR308" s="36"/>
      <c r="VCS308" s="36"/>
      <c r="VCT308" s="205"/>
      <c r="VCU308" s="33"/>
      <c r="VCV308" s="37"/>
      <c r="VCW308" s="37"/>
      <c r="VCX308" s="37"/>
      <c r="VCY308" s="37"/>
      <c r="VCZ308" s="37"/>
      <c r="VDA308" s="33"/>
      <c r="VDB308" s="206"/>
      <c r="VDC308" s="207"/>
      <c r="VDD308" s="204"/>
      <c r="VDE308" s="35"/>
      <c r="VDF308" s="202"/>
      <c r="VDG308" s="203"/>
      <c r="VDH308" s="36"/>
      <c r="VDI308" s="36"/>
      <c r="VDJ308" s="205"/>
      <c r="VDK308" s="33"/>
      <c r="VDL308" s="37"/>
      <c r="VDM308" s="37"/>
      <c r="VDN308" s="37"/>
      <c r="VDO308" s="37"/>
      <c r="VDP308" s="37"/>
      <c r="VDQ308" s="33"/>
      <c r="VDR308" s="206"/>
      <c r="VDS308" s="207"/>
      <c r="VDT308" s="204"/>
      <c r="VDU308" s="35"/>
      <c r="VDV308" s="202"/>
      <c r="VDW308" s="203"/>
      <c r="VDX308" s="36"/>
      <c r="VDY308" s="36"/>
      <c r="VDZ308" s="205"/>
      <c r="VEA308" s="33"/>
      <c r="VEB308" s="37"/>
      <c r="VEC308" s="37"/>
      <c r="VED308" s="37"/>
      <c r="VEE308" s="37"/>
      <c r="VEF308" s="37"/>
      <c r="VEG308" s="33"/>
      <c r="VEH308" s="206"/>
      <c r="VEI308" s="207"/>
      <c r="VEJ308" s="204"/>
      <c r="VEK308" s="35"/>
      <c r="VEL308" s="202"/>
      <c r="VEM308" s="203"/>
      <c r="VEN308" s="36"/>
      <c r="VEO308" s="36"/>
      <c r="VEP308" s="205"/>
      <c r="VEQ308" s="33"/>
      <c r="VER308" s="37"/>
      <c r="VES308" s="37"/>
      <c r="VET308" s="37"/>
      <c r="VEU308" s="37"/>
      <c r="VEV308" s="37"/>
      <c r="VEW308" s="33"/>
      <c r="VEX308" s="206"/>
      <c r="VEY308" s="207"/>
      <c r="VEZ308" s="204"/>
      <c r="VFA308" s="35"/>
      <c r="VFB308" s="202"/>
      <c r="VFC308" s="203"/>
      <c r="VFD308" s="36"/>
      <c r="VFE308" s="36"/>
      <c r="VFF308" s="205"/>
      <c r="VFG308" s="33"/>
      <c r="VFH308" s="37"/>
      <c r="VFI308" s="37"/>
      <c r="VFJ308" s="37"/>
      <c r="VFK308" s="37"/>
      <c r="VFL308" s="37"/>
      <c r="VFM308" s="33"/>
      <c r="VFN308" s="206"/>
      <c r="VFO308" s="207"/>
      <c r="VFP308" s="204"/>
      <c r="VFQ308" s="35"/>
      <c r="VFR308" s="202"/>
      <c r="VFS308" s="203"/>
      <c r="VFT308" s="36"/>
      <c r="VFU308" s="36"/>
      <c r="VFV308" s="205"/>
      <c r="VFW308" s="33"/>
      <c r="VFX308" s="37"/>
      <c r="VFY308" s="37"/>
      <c r="VFZ308" s="37"/>
      <c r="VGA308" s="37"/>
      <c r="VGB308" s="37"/>
      <c r="VGC308" s="33"/>
      <c r="VGD308" s="206"/>
      <c r="VGE308" s="207"/>
      <c r="VGF308" s="204"/>
      <c r="VGG308" s="35"/>
      <c r="VGH308" s="202"/>
      <c r="VGI308" s="203"/>
      <c r="VGJ308" s="36"/>
      <c r="VGK308" s="36"/>
      <c r="VGL308" s="205"/>
      <c r="VGM308" s="33"/>
      <c r="VGN308" s="37"/>
      <c r="VGO308" s="37"/>
      <c r="VGP308" s="37"/>
      <c r="VGQ308" s="37"/>
      <c r="VGR308" s="37"/>
      <c r="VGS308" s="33"/>
      <c r="VGT308" s="206"/>
      <c r="VGU308" s="207"/>
      <c r="VGV308" s="204"/>
      <c r="VGW308" s="35"/>
      <c r="VGX308" s="202"/>
      <c r="VGY308" s="203"/>
      <c r="VGZ308" s="36"/>
      <c r="VHA308" s="36"/>
      <c r="VHB308" s="205"/>
      <c r="VHC308" s="33"/>
      <c r="VHD308" s="37"/>
      <c r="VHE308" s="37"/>
      <c r="VHF308" s="37"/>
      <c r="VHG308" s="37"/>
      <c r="VHH308" s="37"/>
      <c r="VHI308" s="33"/>
      <c r="VHJ308" s="206"/>
      <c r="VHK308" s="207"/>
      <c r="VHL308" s="204"/>
      <c r="VHM308" s="35"/>
      <c r="VHN308" s="202"/>
      <c r="VHO308" s="203"/>
      <c r="VHP308" s="36"/>
      <c r="VHQ308" s="36"/>
      <c r="VHR308" s="205"/>
      <c r="VHS308" s="33"/>
      <c r="VHT308" s="37"/>
      <c r="VHU308" s="37"/>
      <c r="VHV308" s="37"/>
      <c r="VHW308" s="37"/>
      <c r="VHX308" s="37"/>
      <c r="VHY308" s="33"/>
      <c r="VHZ308" s="206"/>
      <c r="VIA308" s="207"/>
      <c r="VIB308" s="204"/>
      <c r="VIC308" s="35"/>
      <c r="VID308" s="202"/>
      <c r="VIE308" s="203"/>
      <c r="VIF308" s="36"/>
      <c r="VIG308" s="36"/>
      <c r="VIH308" s="205"/>
      <c r="VII308" s="33"/>
      <c r="VIJ308" s="37"/>
      <c r="VIK308" s="37"/>
      <c r="VIL308" s="37"/>
      <c r="VIM308" s="37"/>
      <c r="VIN308" s="37"/>
      <c r="VIO308" s="33"/>
      <c r="VIP308" s="206"/>
      <c r="VIQ308" s="207"/>
      <c r="VIR308" s="204"/>
      <c r="VIS308" s="35"/>
      <c r="VIT308" s="202"/>
      <c r="VIU308" s="203"/>
      <c r="VIV308" s="36"/>
      <c r="VIW308" s="36"/>
      <c r="VIX308" s="205"/>
      <c r="VIY308" s="33"/>
      <c r="VIZ308" s="37"/>
      <c r="VJA308" s="37"/>
      <c r="VJB308" s="37"/>
      <c r="VJC308" s="37"/>
      <c r="VJD308" s="37"/>
      <c r="VJE308" s="33"/>
      <c r="VJF308" s="206"/>
      <c r="VJG308" s="207"/>
      <c r="VJH308" s="204"/>
      <c r="VJI308" s="35"/>
      <c r="VJJ308" s="202"/>
      <c r="VJK308" s="203"/>
      <c r="VJL308" s="36"/>
      <c r="VJM308" s="36"/>
      <c r="VJN308" s="205"/>
      <c r="VJO308" s="33"/>
      <c r="VJP308" s="37"/>
      <c r="VJQ308" s="37"/>
      <c r="VJR308" s="37"/>
      <c r="VJS308" s="37"/>
      <c r="VJT308" s="37"/>
      <c r="VJU308" s="33"/>
      <c r="VJV308" s="206"/>
      <c r="VJW308" s="207"/>
      <c r="VJX308" s="204"/>
      <c r="VJY308" s="35"/>
      <c r="VJZ308" s="202"/>
      <c r="VKA308" s="203"/>
      <c r="VKB308" s="36"/>
      <c r="VKC308" s="36"/>
      <c r="VKD308" s="205"/>
      <c r="VKE308" s="33"/>
      <c r="VKF308" s="37"/>
      <c r="VKG308" s="37"/>
      <c r="VKH308" s="37"/>
      <c r="VKI308" s="37"/>
      <c r="VKJ308" s="37"/>
      <c r="VKK308" s="33"/>
      <c r="VKL308" s="206"/>
      <c r="VKM308" s="207"/>
      <c r="VKN308" s="204"/>
      <c r="VKO308" s="35"/>
      <c r="VKP308" s="202"/>
      <c r="VKQ308" s="203"/>
      <c r="VKR308" s="36"/>
      <c r="VKS308" s="36"/>
      <c r="VKT308" s="205"/>
      <c r="VKU308" s="33"/>
      <c r="VKV308" s="37"/>
      <c r="VKW308" s="37"/>
      <c r="VKX308" s="37"/>
      <c r="VKY308" s="37"/>
      <c r="VKZ308" s="37"/>
      <c r="VLA308" s="33"/>
      <c r="VLB308" s="206"/>
      <c r="VLC308" s="207"/>
      <c r="VLD308" s="204"/>
      <c r="VLE308" s="35"/>
      <c r="VLF308" s="202"/>
      <c r="VLG308" s="203"/>
      <c r="VLH308" s="36"/>
      <c r="VLI308" s="36"/>
      <c r="VLJ308" s="205"/>
      <c r="VLK308" s="33"/>
      <c r="VLL308" s="37"/>
      <c r="VLM308" s="37"/>
      <c r="VLN308" s="37"/>
      <c r="VLO308" s="37"/>
      <c r="VLP308" s="37"/>
      <c r="VLQ308" s="33"/>
      <c r="VLR308" s="206"/>
      <c r="VLS308" s="207"/>
      <c r="VLT308" s="204"/>
      <c r="VLU308" s="35"/>
      <c r="VLV308" s="202"/>
      <c r="VLW308" s="203"/>
      <c r="VLX308" s="36"/>
      <c r="VLY308" s="36"/>
      <c r="VLZ308" s="205"/>
      <c r="VMA308" s="33"/>
      <c r="VMB308" s="37"/>
      <c r="VMC308" s="37"/>
      <c r="VMD308" s="37"/>
      <c r="VME308" s="37"/>
      <c r="VMF308" s="37"/>
      <c r="VMG308" s="33"/>
      <c r="VMH308" s="206"/>
      <c r="VMI308" s="207"/>
      <c r="VMJ308" s="204"/>
      <c r="VMK308" s="35"/>
      <c r="VML308" s="202"/>
      <c r="VMM308" s="203"/>
      <c r="VMN308" s="36"/>
      <c r="VMO308" s="36"/>
      <c r="VMP308" s="205"/>
      <c r="VMQ308" s="33"/>
      <c r="VMR308" s="37"/>
      <c r="VMS308" s="37"/>
      <c r="VMT308" s="37"/>
      <c r="VMU308" s="37"/>
      <c r="VMV308" s="37"/>
      <c r="VMW308" s="33"/>
      <c r="VMX308" s="206"/>
      <c r="VMY308" s="207"/>
      <c r="VMZ308" s="204"/>
      <c r="VNA308" s="35"/>
      <c r="VNB308" s="202"/>
      <c r="VNC308" s="203"/>
      <c r="VND308" s="36"/>
      <c r="VNE308" s="36"/>
      <c r="VNF308" s="205"/>
      <c r="VNG308" s="33"/>
      <c r="VNH308" s="37"/>
      <c r="VNI308" s="37"/>
      <c r="VNJ308" s="37"/>
      <c r="VNK308" s="37"/>
      <c r="VNL308" s="37"/>
      <c r="VNM308" s="33"/>
      <c r="VNN308" s="206"/>
      <c r="VNO308" s="207"/>
      <c r="VNP308" s="204"/>
      <c r="VNQ308" s="35"/>
      <c r="VNR308" s="202"/>
      <c r="VNS308" s="203"/>
      <c r="VNT308" s="36"/>
      <c r="VNU308" s="36"/>
      <c r="VNV308" s="205"/>
      <c r="VNW308" s="33"/>
      <c r="VNX308" s="37"/>
      <c r="VNY308" s="37"/>
      <c r="VNZ308" s="37"/>
      <c r="VOA308" s="37"/>
      <c r="VOB308" s="37"/>
      <c r="VOC308" s="33"/>
      <c r="VOD308" s="206"/>
      <c r="VOE308" s="207"/>
      <c r="VOF308" s="204"/>
      <c r="VOG308" s="35"/>
      <c r="VOH308" s="202"/>
      <c r="VOI308" s="203"/>
      <c r="VOJ308" s="36"/>
      <c r="VOK308" s="36"/>
      <c r="VOL308" s="205"/>
      <c r="VOM308" s="33"/>
      <c r="VON308" s="37"/>
      <c r="VOO308" s="37"/>
      <c r="VOP308" s="37"/>
      <c r="VOQ308" s="37"/>
      <c r="VOR308" s="37"/>
      <c r="VOS308" s="33"/>
      <c r="VOT308" s="206"/>
      <c r="VOU308" s="207"/>
      <c r="VOV308" s="204"/>
      <c r="VOW308" s="35"/>
      <c r="VOX308" s="202"/>
      <c r="VOY308" s="203"/>
      <c r="VOZ308" s="36"/>
      <c r="VPA308" s="36"/>
      <c r="VPB308" s="205"/>
      <c r="VPC308" s="33"/>
      <c r="VPD308" s="37"/>
      <c r="VPE308" s="37"/>
      <c r="VPF308" s="37"/>
      <c r="VPG308" s="37"/>
      <c r="VPH308" s="37"/>
      <c r="VPI308" s="33"/>
      <c r="VPJ308" s="206"/>
      <c r="VPK308" s="207"/>
      <c r="VPL308" s="204"/>
      <c r="VPM308" s="35"/>
      <c r="VPN308" s="202"/>
      <c r="VPO308" s="203"/>
      <c r="VPP308" s="36"/>
      <c r="VPQ308" s="36"/>
      <c r="VPR308" s="205"/>
      <c r="VPS308" s="33"/>
      <c r="VPT308" s="37"/>
      <c r="VPU308" s="37"/>
      <c r="VPV308" s="37"/>
      <c r="VPW308" s="37"/>
      <c r="VPX308" s="37"/>
      <c r="VPY308" s="33"/>
      <c r="VPZ308" s="206"/>
      <c r="VQA308" s="207"/>
      <c r="VQB308" s="204"/>
      <c r="VQC308" s="35"/>
      <c r="VQD308" s="202"/>
      <c r="VQE308" s="203"/>
      <c r="VQF308" s="36"/>
      <c r="VQG308" s="36"/>
      <c r="VQH308" s="205"/>
      <c r="VQI308" s="33"/>
      <c r="VQJ308" s="37"/>
      <c r="VQK308" s="37"/>
      <c r="VQL308" s="37"/>
      <c r="VQM308" s="37"/>
      <c r="VQN308" s="37"/>
      <c r="VQO308" s="33"/>
      <c r="VQP308" s="206"/>
      <c r="VQQ308" s="207"/>
      <c r="VQR308" s="204"/>
      <c r="VQS308" s="35"/>
      <c r="VQT308" s="202"/>
      <c r="VQU308" s="203"/>
      <c r="VQV308" s="36"/>
      <c r="VQW308" s="36"/>
      <c r="VQX308" s="205"/>
      <c r="VQY308" s="33"/>
      <c r="VQZ308" s="37"/>
      <c r="VRA308" s="37"/>
      <c r="VRB308" s="37"/>
      <c r="VRC308" s="37"/>
      <c r="VRD308" s="37"/>
      <c r="VRE308" s="33"/>
      <c r="VRF308" s="206"/>
      <c r="VRG308" s="207"/>
      <c r="VRH308" s="204"/>
      <c r="VRI308" s="35"/>
      <c r="VRJ308" s="202"/>
      <c r="VRK308" s="203"/>
      <c r="VRL308" s="36"/>
      <c r="VRM308" s="36"/>
      <c r="VRN308" s="205"/>
      <c r="VRO308" s="33"/>
      <c r="VRP308" s="37"/>
      <c r="VRQ308" s="37"/>
      <c r="VRR308" s="37"/>
      <c r="VRS308" s="37"/>
      <c r="VRT308" s="37"/>
      <c r="VRU308" s="33"/>
      <c r="VRV308" s="206"/>
      <c r="VRW308" s="207"/>
      <c r="VRX308" s="204"/>
      <c r="VRY308" s="35"/>
      <c r="VRZ308" s="202"/>
      <c r="VSA308" s="203"/>
      <c r="VSB308" s="36"/>
      <c r="VSC308" s="36"/>
      <c r="VSD308" s="205"/>
      <c r="VSE308" s="33"/>
      <c r="VSF308" s="37"/>
      <c r="VSG308" s="37"/>
      <c r="VSH308" s="37"/>
      <c r="VSI308" s="37"/>
      <c r="VSJ308" s="37"/>
      <c r="VSK308" s="33"/>
      <c r="VSL308" s="206"/>
      <c r="VSM308" s="207"/>
      <c r="VSN308" s="204"/>
      <c r="VSO308" s="35"/>
      <c r="VSP308" s="202"/>
      <c r="VSQ308" s="203"/>
      <c r="VSR308" s="36"/>
      <c r="VSS308" s="36"/>
      <c r="VST308" s="205"/>
      <c r="VSU308" s="33"/>
      <c r="VSV308" s="37"/>
      <c r="VSW308" s="37"/>
      <c r="VSX308" s="37"/>
      <c r="VSY308" s="37"/>
      <c r="VSZ308" s="37"/>
      <c r="VTA308" s="33"/>
      <c r="VTB308" s="206"/>
      <c r="VTC308" s="207"/>
      <c r="VTD308" s="204"/>
      <c r="VTE308" s="35"/>
      <c r="VTF308" s="202"/>
      <c r="VTG308" s="203"/>
      <c r="VTH308" s="36"/>
      <c r="VTI308" s="36"/>
      <c r="VTJ308" s="205"/>
      <c r="VTK308" s="33"/>
      <c r="VTL308" s="37"/>
      <c r="VTM308" s="37"/>
      <c r="VTN308" s="37"/>
      <c r="VTO308" s="37"/>
      <c r="VTP308" s="37"/>
      <c r="VTQ308" s="33"/>
      <c r="VTR308" s="206"/>
      <c r="VTS308" s="207"/>
      <c r="VTT308" s="204"/>
      <c r="VTU308" s="35"/>
      <c r="VTV308" s="202"/>
      <c r="VTW308" s="203"/>
      <c r="VTX308" s="36"/>
      <c r="VTY308" s="36"/>
      <c r="VTZ308" s="205"/>
      <c r="VUA308" s="33"/>
      <c r="VUB308" s="37"/>
      <c r="VUC308" s="37"/>
      <c r="VUD308" s="37"/>
      <c r="VUE308" s="37"/>
      <c r="VUF308" s="37"/>
      <c r="VUG308" s="33"/>
      <c r="VUH308" s="206"/>
      <c r="VUI308" s="207"/>
      <c r="VUJ308" s="204"/>
      <c r="VUK308" s="35"/>
      <c r="VUL308" s="202"/>
      <c r="VUM308" s="203"/>
      <c r="VUN308" s="36"/>
      <c r="VUO308" s="36"/>
      <c r="VUP308" s="205"/>
      <c r="VUQ308" s="33"/>
      <c r="VUR308" s="37"/>
      <c r="VUS308" s="37"/>
      <c r="VUT308" s="37"/>
      <c r="VUU308" s="37"/>
      <c r="VUV308" s="37"/>
      <c r="VUW308" s="33"/>
      <c r="VUX308" s="206"/>
      <c r="VUY308" s="207"/>
      <c r="VUZ308" s="204"/>
      <c r="VVA308" s="35"/>
      <c r="VVB308" s="202"/>
      <c r="VVC308" s="203"/>
      <c r="VVD308" s="36"/>
      <c r="VVE308" s="36"/>
      <c r="VVF308" s="205"/>
      <c r="VVG308" s="33"/>
      <c r="VVH308" s="37"/>
      <c r="VVI308" s="37"/>
      <c r="VVJ308" s="37"/>
      <c r="VVK308" s="37"/>
      <c r="VVL308" s="37"/>
      <c r="VVM308" s="33"/>
      <c r="VVN308" s="206"/>
      <c r="VVO308" s="207"/>
      <c r="VVP308" s="204"/>
      <c r="VVQ308" s="35"/>
      <c r="VVR308" s="202"/>
      <c r="VVS308" s="203"/>
      <c r="VVT308" s="36"/>
      <c r="VVU308" s="36"/>
      <c r="VVV308" s="205"/>
      <c r="VVW308" s="33"/>
      <c r="VVX308" s="37"/>
      <c r="VVY308" s="37"/>
      <c r="VVZ308" s="37"/>
      <c r="VWA308" s="37"/>
      <c r="VWB308" s="37"/>
      <c r="VWC308" s="33"/>
      <c r="VWD308" s="206"/>
      <c r="VWE308" s="207"/>
      <c r="VWF308" s="204"/>
      <c r="VWG308" s="35"/>
      <c r="VWH308" s="202"/>
      <c r="VWI308" s="203"/>
      <c r="VWJ308" s="36"/>
      <c r="VWK308" s="36"/>
      <c r="VWL308" s="205"/>
      <c r="VWM308" s="33"/>
      <c r="VWN308" s="37"/>
      <c r="VWO308" s="37"/>
      <c r="VWP308" s="37"/>
      <c r="VWQ308" s="37"/>
      <c r="VWR308" s="37"/>
      <c r="VWS308" s="33"/>
      <c r="VWT308" s="206"/>
      <c r="VWU308" s="207"/>
      <c r="VWV308" s="204"/>
      <c r="VWW308" s="35"/>
      <c r="VWX308" s="202"/>
      <c r="VWY308" s="203"/>
      <c r="VWZ308" s="36"/>
      <c r="VXA308" s="36"/>
      <c r="VXB308" s="205"/>
      <c r="VXC308" s="33"/>
      <c r="VXD308" s="37"/>
      <c r="VXE308" s="37"/>
      <c r="VXF308" s="37"/>
      <c r="VXG308" s="37"/>
      <c r="VXH308" s="37"/>
      <c r="VXI308" s="33"/>
      <c r="VXJ308" s="206"/>
      <c r="VXK308" s="207"/>
      <c r="VXL308" s="204"/>
      <c r="VXM308" s="35"/>
      <c r="VXN308" s="202"/>
      <c r="VXO308" s="203"/>
      <c r="VXP308" s="36"/>
      <c r="VXQ308" s="36"/>
      <c r="VXR308" s="205"/>
      <c r="VXS308" s="33"/>
      <c r="VXT308" s="37"/>
      <c r="VXU308" s="37"/>
      <c r="VXV308" s="37"/>
      <c r="VXW308" s="37"/>
      <c r="VXX308" s="37"/>
      <c r="VXY308" s="33"/>
      <c r="VXZ308" s="206"/>
      <c r="VYA308" s="207"/>
      <c r="VYB308" s="204"/>
      <c r="VYC308" s="35"/>
      <c r="VYD308" s="202"/>
      <c r="VYE308" s="203"/>
      <c r="VYF308" s="36"/>
      <c r="VYG308" s="36"/>
      <c r="VYH308" s="205"/>
      <c r="VYI308" s="33"/>
      <c r="VYJ308" s="37"/>
      <c r="VYK308" s="37"/>
      <c r="VYL308" s="37"/>
      <c r="VYM308" s="37"/>
      <c r="VYN308" s="37"/>
      <c r="VYO308" s="33"/>
      <c r="VYP308" s="206"/>
      <c r="VYQ308" s="207"/>
      <c r="VYR308" s="204"/>
      <c r="VYS308" s="35"/>
      <c r="VYT308" s="202"/>
      <c r="VYU308" s="203"/>
      <c r="VYV308" s="36"/>
      <c r="VYW308" s="36"/>
      <c r="VYX308" s="205"/>
      <c r="VYY308" s="33"/>
      <c r="VYZ308" s="37"/>
      <c r="VZA308" s="37"/>
      <c r="VZB308" s="37"/>
      <c r="VZC308" s="37"/>
      <c r="VZD308" s="37"/>
      <c r="VZE308" s="33"/>
      <c r="VZF308" s="206"/>
      <c r="VZG308" s="207"/>
      <c r="VZH308" s="204"/>
      <c r="VZI308" s="35"/>
      <c r="VZJ308" s="202"/>
      <c r="VZK308" s="203"/>
      <c r="VZL308" s="36"/>
      <c r="VZM308" s="36"/>
      <c r="VZN308" s="205"/>
      <c r="VZO308" s="33"/>
      <c r="VZP308" s="37"/>
      <c r="VZQ308" s="37"/>
      <c r="VZR308" s="37"/>
      <c r="VZS308" s="37"/>
      <c r="VZT308" s="37"/>
      <c r="VZU308" s="33"/>
      <c r="VZV308" s="206"/>
      <c r="VZW308" s="207"/>
      <c r="VZX308" s="204"/>
      <c r="VZY308" s="35"/>
      <c r="VZZ308" s="202"/>
      <c r="WAA308" s="203"/>
      <c r="WAB308" s="36"/>
      <c r="WAC308" s="36"/>
      <c r="WAD308" s="205"/>
      <c r="WAE308" s="33"/>
      <c r="WAF308" s="37"/>
      <c r="WAG308" s="37"/>
      <c r="WAH308" s="37"/>
      <c r="WAI308" s="37"/>
      <c r="WAJ308" s="37"/>
      <c r="WAK308" s="33"/>
      <c r="WAL308" s="206"/>
      <c r="WAM308" s="207"/>
      <c r="WAN308" s="204"/>
      <c r="WAO308" s="35"/>
      <c r="WAP308" s="202"/>
      <c r="WAQ308" s="203"/>
      <c r="WAR308" s="36"/>
      <c r="WAS308" s="36"/>
      <c r="WAT308" s="205"/>
      <c r="WAU308" s="33"/>
      <c r="WAV308" s="37"/>
      <c r="WAW308" s="37"/>
      <c r="WAX308" s="37"/>
      <c r="WAY308" s="37"/>
      <c r="WAZ308" s="37"/>
      <c r="WBA308" s="33"/>
      <c r="WBB308" s="206"/>
      <c r="WBC308" s="207"/>
      <c r="WBD308" s="204"/>
      <c r="WBE308" s="35"/>
      <c r="WBF308" s="202"/>
      <c r="WBG308" s="203"/>
      <c r="WBH308" s="36"/>
      <c r="WBI308" s="36"/>
      <c r="WBJ308" s="205"/>
      <c r="WBK308" s="33"/>
      <c r="WBL308" s="37"/>
      <c r="WBM308" s="37"/>
      <c r="WBN308" s="37"/>
      <c r="WBO308" s="37"/>
      <c r="WBP308" s="37"/>
      <c r="WBQ308" s="33"/>
      <c r="WBR308" s="206"/>
      <c r="WBS308" s="207"/>
      <c r="WBT308" s="204"/>
      <c r="WBU308" s="35"/>
      <c r="WBV308" s="202"/>
      <c r="WBW308" s="203"/>
      <c r="WBX308" s="36"/>
      <c r="WBY308" s="36"/>
      <c r="WBZ308" s="205"/>
      <c r="WCA308" s="33"/>
      <c r="WCB308" s="37"/>
      <c r="WCC308" s="37"/>
      <c r="WCD308" s="37"/>
      <c r="WCE308" s="37"/>
      <c r="WCF308" s="37"/>
      <c r="WCG308" s="33"/>
      <c r="WCH308" s="206"/>
      <c r="WCI308" s="207"/>
      <c r="WCJ308" s="204"/>
      <c r="WCK308" s="35"/>
      <c r="WCL308" s="202"/>
      <c r="WCM308" s="203"/>
      <c r="WCN308" s="36"/>
      <c r="WCO308" s="36"/>
      <c r="WCP308" s="205"/>
      <c r="WCQ308" s="33"/>
      <c r="WCR308" s="37"/>
      <c r="WCS308" s="37"/>
      <c r="WCT308" s="37"/>
      <c r="WCU308" s="37"/>
      <c r="WCV308" s="37"/>
      <c r="WCW308" s="33"/>
      <c r="WCX308" s="206"/>
      <c r="WCY308" s="207"/>
      <c r="WCZ308" s="204"/>
      <c r="WDA308" s="35"/>
      <c r="WDB308" s="202"/>
      <c r="WDC308" s="203"/>
      <c r="WDD308" s="36"/>
      <c r="WDE308" s="36"/>
      <c r="WDF308" s="205"/>
      <c r="WDG308" s="33"/>
      <c r="WDH308" s="37"/>
      <c r="WDI308" s="37"/>
      <c r="WDJ308" s="37"/>
      <c r="WDK308" s="37"/>
      <c r="WDL308" s="37"/>
      <c r="WDM308" s="33"/>
      <c r="WDN308" s="206"/>
      <c r="WDO308" s="207"/>
      <c r="WDP308" s="204"/>
      <c r="WDQ308" s="35"/>
      <c r="WDR308" s="202"/>
      <c r="WDS308" s="203"/>
      <c r="WDT308" s="36"/>
      <c r="WDU308" s="36"/>
      <c r="WDV308" s="205"/>
      <c r="WDW308" s="33"/>
      <c r="WDX308" s="37"/>
      <c r="WDY308" s="37"/>
      <c r="WDZ308" s="37"/>
      <c r="WEA308" s="37"/>
      <c r="WEB308" s="37"/>
      <c r="WEC308" s="33"/>
      <c r="WED308" s="206"/>
      <c r="WEE308" s="207"/>
      <c r="WEF308" s="204"/>
      <c r="WEG308" s="35"/>
      <c r="WEH308" s="202"/>
      <c r="WEI308" s="203"/>
      <c r="WEJ308" s="36"/>
      <c r="WEK308" s="36"/>
      <c r="WEL308" s="205"/>
      <c r="WEM308" s="33"/>
      <c r="WEN308" s="37"/>
      <c r="WEO308" s="37"/>
      <c r="WEP308" s="37"/>
      <c r="WEQ308" s="37"/>
      <c r="WER308" s="37"/>
      <c r="WES308" s="33"/>
      <c r="WET308" s="206"/>
      <c r="WEU308" s="207"/>
      <c r="WEV308" s="204"/>
      <c r="WEW308" s="35"/>
      <c r="WEX308" s="202"/>
      <c r="WEY308" s="203"/>
      <c r="WEZ308" s="36"/>
      <c r="WFA308" s="36"/>
      <c r="WFB308" s="205"/>
      <c r="WFC308" s="33"/>
      <c r="WFD308" s="37"/>
      <c r="WFE308" s="37"/>
      <c r="WFF308" s="37"/>
      <c r="WFG308" s="37"/>
      <c r="WFH308" s="37"/>
      <c r="WFI308" s="33"/>
      <c r="WFJ308" s="206"/>
      <c r="WFK308" s="207"/>
      <c r="WFL308" s="204"/>
      <c r="WFM308" s="35"/>
      <c r="WFN308" s="202"/>
      <c r="WFO308" s="203"/>
      <c r="WFP308" s="36"/>
      <c r="WFQ308" s="36"/>
      <c r="WFR308" s="205"/>
      <c r="WFS308" s="33"/>
      <c r="WFT308" s="37"/>
      <c r="WFU308" s="37"/>
      <c r="WFV308" s="37"/>
      <c r="WFW308" s="37"/>
      <c r="WFX308" s="37"/>
      <c r="WFY308" s="33"/>
      <c r="WFZ308" s="206"/>
      <c r="WGA308" s="207"/>
      <c r="WGB308" s="204"/>
      <c r="WGC308" s="35"/>
      <c r="WGD308" s="202"/>
      <c r="WGE308" s="203"/>
      <c r="WGF308" s="36"/>
      <c r="WGG308" s="36"/>
      <c r="WGH308" s="205"/>
      <c r="WGI308" s="33"/>
      <c r="WGJ308" s="37"/>
      <c r="WGK308" s="37"/>
      <c r="WGL308" s="37"/>
      <c r="WGM308" s="37"/>
      <c r="WGN308" s="37"/>
      <c r="WGO308" s="33"/>
      <c r="WGP308" s="206"/>
      <c r="WGQ308" s="207"/>
      <c r="WGR308" s="204"/>
      <c r="WGS308" s="35"/>
      <c r="WGT308" s="202"/>
      <c r="WGU308" s="203"/>
      <c r="WGV308" s="36"/>
      <c r="WGW308" s="36"/>
      <c r="WGX308" s="205"/>
      <c r="WGY308" s="33"/>
      <c r="WGZ308" s="37"/>
      <c r="WHA308" s="37"/>
      <c r="WHB308" s="37"/>
      <c r="WHC308" s="37"/>
      <c r="WHD308" s="37"/>
      <c r="WHE308" s="33"/>
      <c r="WHF308" s="206"/>
      <c r="WHG308" s="207"/>
      <c r="WHH308" s="204"/>
      <c r="WHI308" s="35"/>
      <c r="WHJ308" s="202"/>
      <c r="WHK308" s="203"/>
      <c r="WHL308" s="36"/>
      <c r="WHM308" s="36"/>
      <c r="WHN308" s="205"/>
      <c r="WHO308" s="33"/>
      <c r="WHP308" s="37"/>
      <c r="WHQ308" s="37"/>
      <c r="WHR308" s="37"/>
      <c r="WHS308" s="37"/>
      <c r="WHT308" s="37"/>
      <c r="WHU308" s="33"/>
      <c r="WHV308" s="206"/>
      <c r="WHW308" s="207"/>
      <c r="WHX308" s="204"/>
      <c r="WHY308" s="35"/>
      <c r="WHZ308" s="202"/>
      <c r="WIA308" s="203"/>
      <c r="WIB308" s="36"/>
      <c r="WIC308" s="36"/>
      <c r="WID308" s="205"/>
      <c r="WIE308" s="33"/>
      <c r="WIF308" s="37"/>
      <c r="WIG308" s="37"/>
      <c r="WIH308" s="37"/>
      <c r="WII308" s="37"/>
      <c r="WIJ308" s="37"/>
      <c r="WIK308" s="33"/>
      <c r="WIL308" s="206"/>
      <c r="WIM308" s="207"/>
      <c r="WIN308" s="204"/>
      <c r="WIO308" s="35"/>
      <c r="WIP308" s="202"/>
      <c r="WIQ308" s="203"/>
      <c r="WIR308" s="36"/>
      <c r="WIS308" s="36"/>
      <c r="WIT308" s="205"/>
      <c r="WIU308" s="33"/>
      <c r="WIV308" s="37"/>
      <c r="WIW308" s="37"/>
      <c r="WIX308" s="37"/>
      <c r="WIY308" s="37"/>
      <c r="WIZ308" s="37"/>
      <c r="WJA308" s="33"/>
      <c r="WJB308" s="206"/>
      <c r="WJC308" s="207"/>
      <c r="WJD308" s="204"/>
      <c r="WJE308" s="35"/>
      <c r="WJF308" s="202"/>
      <c r="WJG308" s="203"/>
      <c r="WJH308" s="36"/>
      <c r="WJI308" s="36"/>
      <c r="WJJ308" s="205"/>
      <c r="WJK308" s="33"/>
      <c r="WJL308" s="37"/>
      <c r="WJM308" s="37"/>
      <c r="WJN308" s="37"/>
      <c r="WJO308" s="37"/>
      <c r="WJP308" s="37"/>
      <c r="WJQ308" s="33"/>
      <c r="WJR308" s="206"/>
      <c r="WJS308" s="207"/>
      <c r="WJT308" s="204"/>
      <c r="WJU308" s="35"/>
      <c r="WJV308" s="202"/>
      <c r="WJW308" s="203"/>
      <c r="WJX308" s="36"/>
      <c r="WJY308" s="36"/>
      <c r="WJZ308" s="205"/>
      <c r="WKA308" s="33"/>
      <c r="WKB308" s="37"/>
      <c r="WKC308" s="37"/>
      <c r="WKD308" s="37"/>
      <c r="WKE308" s="37"/>
      <c r="WKF308" s="37"/>
      <c r="WKG308" s="33"/>
      <c r="WKH308" s="206"/>
      <c r="WKI308" s="207"/>
      <c r="WKJ308" s="204"/>
      <c r="WKK308" s="35"/>
      <c r="WKL308" s="202"/>
      <c r="WKM308" s="203"/>
      <c r="WKN308" s="36"/>
      <c r="WKO308" s="36"/>
      <c r="WKP308" s="205"/>
      <c r="WKQ308" s="33"/>
      <c r="WKR308" s="37"/>
      <c r="WKS308" s="37"/>
      <c r="WKT308" s="37"/>
      <c r="WKU308" s="37"/>
      <c r="WKV308" s="37"/>
      <c r="WKW308" s="33"/>
      <c r="WKX308" s="206"/>
      <c r="WKY308" s="207"/>
      <c r="WKZ308" s="204"/>
      <c r="WLA308" s="35"/>
      <c r="WLB308" s="202"/>
      <c r="WLC308" s="203"/>
      <c r="WLD308" s="36"/>
      <c r="WLE308" s="36"/>
      <c r="WLF308" s="205"/>
      <c r="WLG308" s="33"/>
      <c r="WLH308" s="37"/>
      <c r="WLI308" s="37"/>
      <c r="WLJ308" s="37"/>
      <c r="WLK308" s="37"/>
      <c r="WLL308" s="37"/>
      <c r="WLM308" s="33"/>
      <c r="WLN308" s="206"/>
      <c r="WLO308" s="207"/>
      <c r="WLP308" s="204"/>
      <c r="WLQ308" s="35"/>
      <c r="WLR308" s="202"/>
      <c r="WLS308" s="203"/>
      <c r="WLT308" s="36"/>
      <c r="WLU308" s="36"/>
      <c r="WLV308" s="205"/>
      <c r="WLW308" s="33"/>
      <c r="WLX308" s="37"/>
      <c r="WLY308" s="37"/>
      <c r="WLZ308" s="37"/>
      <c r="WMA308" s="37"/>
      <c r="WMB308" s="37"/>
      <c r="WMC308" s="33"/>
      <c r="WMD308" s="206"/>
      <c r="WME308" s="207"/>
      <c r="WMF308" s="204"/>
      <c r="WMG308" s="35"/>
      <c r="WMH308" s="202"/>
      <c r="WMI308" s="203"/>
      <c r="WMJ308" s="36"/>
      <c r="WMK308" s="36"/>
      <c r="WML308" s="205"/>
      <c r="WMM308" s="33"/>
      <c r="WMN308" s="37"/>
      <c r="WMO308" s="37"/>
      <c r="WMP308" s="37"/>
      <c r="WMQ308" s="37"/>
      <c r="WMR308" s="37"/>
      <c r="WMS308" s="33"/>
      <c r="WMT308" s="206"/>
      <c r="WMU308" s="207"/>
      <c r="WMV308" s="204"/>
      <c r="WMW308" s="35"/>
      <c r="WMX308" s="202"/>
      <c r="WMY308" s="203"/>
      <c r="WMZ308" s="36"/>
      <c r="WNA308" s="36"/>
      <c r="WNB308" s="205"/>
      <c r="WNC308" s="33"/>
      <c r="WND308" s="37"/>
      <c r="WNE308" s="37"/>
      <c r="WNF308" s="37"/>
      <c r="WNG308" s="37"/>
      <c r="WNH308" s="37"/>
      <c r="WNI308" s="33"/>
      <c r="WNJ308" s="206"/>
      <c r="WNK308" s="207"/>
      <c r="WNL308" s="204"/>
      <c r="WNM308" s="35"/>
      <c r="WNN308" s="202"/>
      <c r="WNO308" s="203"/>
      <c r="WNP308" s="36"/>
      <c r="WNQ308" s="36"/>
      <c r="WNR308" s="205"/>
      <c r="WNS308" s="33"/>
      <c r="WNT308" s="37"/>
      <c r="WNU308" s="37"/>
      <c r="WNV308" s="37"/>
      <c r="WNW308" s="37"/>
      <c r="WNX308" s="37"/>
      <c r="WNY308" s="33"/>
      <c r="WNZ308" s="206"/>
      <c r="WOA308" s="207"/>
      <c r="WOB308" s="204"/>
      <c r="WOC308" s="35"/>
      <c r="WOD308" s="202"/>
      <c r="WOE308" s="203"/>
      <c r="WOF308" s="36"/>
      <c r="WOG308" s="36"/>
      <c r="WOH308" s="205"/>
      <c r="WOI308" s="33"/>
      <c r="WOJ308" s="37"/>
      <c r="WOK308" s="37"/>
      <c r="WOL308" s="37"/>
      <c r="WOM308" s="37"/>
      <c r="WON308" s="37"/>
      <c r="WOO308" s="33"/>
      <c r="WOP308" s="206"/>
      <c r="WOQ308" s="207"/>
      <c r="WOR308" s="204"/>
      <c r="WOS308" s="35"/>
      <c r="WOT308" s="202"/>
      <c r="WOU308" s="203"/>
      <c r="WOV308" s="36"/>
      <c r="WOW308" s="36"/>
      <c r="WOX308" s="205"/>
      <c r="WOY308" s="33"/>
      <c r="WOZ308" s="37"/>
      <c r="WPA308" s="37"/>
      <c r="WPB308" s="37"/>
      <c r="WPC308" s="37"/>
      <c r="WPD308" s="37"/>
      <c r="WPE308" s="33"/>
      <c r="WPF308" s="206"/>
      <c r="WPG308" s="207"/>
      <c r="WPH308" s="204"/>
      <c r="WPI308" s="35"/>
      <c r="WPJ308" s="202"/>
      <c r="WPK308" s="203"/>
      <c r="WPL308" s="36"/>
      <c r="WPM308" s="36"/>
      <c r="WPN308" s="205"/>
      <c r="WPO308" s="33"/>
      <c r="WPP308" s="37"/>
      <c r="WPQ308" s="37"/>
      <c r="WPR308" s="37"/>
      <c r="WPS308" s="37"/>
      <c r="WPT308" s="37"/>
      <c r="WPU308" s="33"/>
      <c r="WPV308" s="206"/>
      <c r="WPW308" s="207"/>
      <c r="WPX308" s="204"/>
      <c r="WPY308" s="35"/>
      <c r="WPZ308" s="202"/>
      <c r="WQA308" s="203"/>
      <c r="WQB308" s="36"/>
      <c r="WQC308" s="36"/>
      <c r="WQD308" s="205"/>
      <c r="WQE308" s="33"/>
      <c r="WQF308" s="37"/>
      <c r="WQG308" s="37"/>
      <c r="WQH308" s="37"/>
      <c r="WQI308" s="37"/>
      <c r="WQJ308" s="37"/>
      <c r="WQK308" s="33"/>
      <c r="WQL308" s="206"/>
      <c r="WQM308" s="207"/>
      <c r="WQN308" s="204"/>
      <c r="WQO308" s="35"/>
      <c r="WQP308" s="202"/>
      <c r="WQQ308" s="203"/>
      <c r="WQR308" s="36"/>
      <c r="WQS308" s="36"/>
      <c r="WQT308" s="205"/>
      <c r="WQU308" s="33"/>
      <c r="WQV308" s="37"/>
      <c r="WQW308" s="37"/>
      <c r="WQX308" s="37"/>
      <c r="WQY308" s="37"/>
      <c r="WQZ308" s="37"/>
      <c r="WRA308" s="33"/>
      <c r="WRB308" s="206"/>
      <c r="WRC308" s="207"/>
      <c r="WRD308" s="204"/>
      <c r="WRE308" s="35"/>
      <c r="WRF308" s="202"/>
      <c r="WRG308" s="203"/>
      <c r="WRH308" s="36"/>
      <c r="WRI308" s="36"/>
      <c r="WRJ308" s="205"/>
      <c r="WRK308" s="33"/>
      <c r="WRL308" s="37"/>
      <c r="WRM308" s="37"/>
      <c r="WRN308" s="37"/>
      <c r="WRO308" s="37"/>
      <c r="WRP308" s="37"/>
      <c r="WRQ308" s="33"/>
      <c r="WRR308" s="206"/>
      <c r="WRS308" s="207"/>
      <c r="WRT308" s="204"/>
      <c r="WRU308" s="35"/>
      <c r="WRV308" s="202"/>
      <c r="WRW308" s="203"/>
      <c r="WRX308" s="36"/>
      <c r="WRY308" s="36"/>
      <c r="WRZ308" s="205"/>
      <c r="WSA308" s="33"/>
      <c r="WSB308" s="37"/>
      <c r="WSC308" s="37"/>
      <c r="WSD308" s="37"/>
      <c r="WSE308" s="37"/>
      <c r="WSF308" s="37"/>
      <c r="WSG308" s="33"/>
      <c r="WSH308" s="206"/>
      <c r="WSI308" s="207"/>
      <c r="WSJ308" s="204"/>
      <c r="WSK308" s="35"/>
      <c r="WSL308" s="202"/>
      <c r="WSM308" s="203"/>
      <c r="WSN308" s="36"/>
      <c r="WSO308" s="36"/>
      <c r="WSP308" s="205"/>
      <c r="WSQ308" s="33"/>
      <c r="WSR308" s="37"/>
      <c r="WSS308" s="37"/>
      <c r="WST308" s="37"/>
      <c r="WSU308" s="37"/>
      <c r="WSV308" s="37"/>
      <c r="WSW308" s="33"/>
      <c r="WSX308" s="206"/>
      <c r="WSY308" s="207"/>
      <c r="WSZ308" s="204"/>
      <c r="WTA308" s="35"/>
      <c r="WTB308" s="202"/>
      <c r="WTC308" s="203"/>
      <c r="WTD308" s="36"/>
      <c r="WTE308" s="36"/>
      <c r="WTF308" s="205"/>
      <c r="WTG308" s="33"/>
      <c r="WTH308" s="37"/>
      <c r="WTI308" s="37"/>
      <c r="WTJ308" s="37"/>
      <c r="WTK308" s="37"/>
      <c r="WTL308" s="37"/>
      <c r="WTM308" s="33"/>
      <c r="WTN308" s="206"/>
      <c r="WTO308" s="207"/>
      <c r="WTP308" s="204"/>
      <c r="WTQ308" s="35"/>
      <c r="WTR308" s="202"/>
      <c r="WTS308" s="203"/>
      <c r="WTT308" s="36"/>
      <c r="WTU308" s="36"/>
      <c r="WTV308" s="205"/>
      <c r="WTW308" s="33"/>
      <c r="WTX308" s="37"/>
      <c r="WTY308" s="37"/>
      <c r="WTZ308" s="37"/>
      <c r="WUA308" s="37"/>
      <c r="WUB308" s="37"/>
      <c r="WUC308" s="33"/>
      <c r="WUD308" s="206"/>
      <c r="WUE308" s="207"/>
      <c r="WUF308" s="204"/>
      <c r="WUG308" s="35"/>
      <c r="WUH308" s="202"/>
      <c r="WUI308" s="203"/>
      <c r="WUJ308" s="36"/>
      <c r="WUK308" s="36"/>
      <c r="WUL308" s="205"/>
      <c r="WUM308" s="33"/>
      <c r="WUN308" s="37"/>
      <c r="WUO308" s="37"/>
      <c r="WUP308" s="37"/>
      <c r="WUQ308" s="37"/>
      <c r="WUR308" s="37"/>
      <c r="WUS308" s="33"/>
      <c r="WUT308" s="206"/>
      <c r="WUU308" s="207"/>
      <c r="WUV308" s="204"/>
      <c r="WUW308" s="35"/>
      <c r="WUX308" s="202"/>
      <c r="WUY308" s="203"/>
      <c r="WUZ308" s="36"/>
      <c r="WVA308" s="36"/>
      <c r="WVB308" s="205"/>
      <c r="WVC308" s="33"/>
      <c r="WVD308" s="37"/>
      <c r="WVE308" s="37"/>
      <c r="WVF308" s="37"/>
      <c r="WVG308" s="37"/>
      <c r="WVH308" s="37"/>
      <c r="WVI308" s="33"/>
      <c r="WVJ308" s="206"/>
      <c r="WVK308" s="207"/>
      <c r="WVL308" s="204"/>
      <c r="WVM308" s="35"/>
      <c r="WVN308" s="202"/>
      <c r="WVO308" s="203"/>
      <c r="WVP308" s="36"/>
      <c r="WVQ308" s="36"/>
      <c r="WVR308" s="205"/>
      <c r="WVS308" s="33"/>
      <c r="WVT308" s="37"/>
      <c r="WVU308" s="37"/>
      <c r="WVV308" s="37"/>
      <c r="WVW308" s="37"/>
      <c r="WVX308" s="37"/>
      <c r="WVY308" s="33"/>
      <c r="WVZ308" s="206"/>
      <c r="WWA308" s="207"/>
      <c r="WWB308" s="204"/>
      <c r="WWC308" s="35"/>
      <c r="WWD308" s="202"/>
      <c r="WWE308" s="203"/>
      <c r="WWF308" s="36"/>
      <c r="WWG308" s="36"/>
      <c r="WWH308" s="205"/>
      <c r="WWI308" s="33"/>
      <c r="WWJ308" s="37"/>
      <c r="WWK308" s="37"/>
      <c r="WWL308" s="37"/>
      <c r="WWM308" s="37"/>
      <c r="WWN308" s="37"/>
      <c r="WWO308" s="33"/>
      <c r="WWP308" s="206"/>
      <c r="WWQ308" s="207"/>
      <c r="WWR308" s="204"/>
      <c r="WWS308" s="35"/>
      <c r="WWT308" s="202"/>
      <c r="WWU308" s="203"/>
      <c r="WWV308" s="36"/>
      <c r="WWW308" s="36"/>
      <c r="WWX308" s="205"/>
      <c r="WWY308" s="33"/>
      <c r="WWZ308" s="37"/>
      <c r="WXA308" s="37"/>
      <c r="WXB308" s="37"/>
      <c r="WXC308" s="37"/>
      <c r="WXD308" s="37"/>
      <c r="WXE308" s="33"/>
      <c r="WXF308" s="206"/>
      <c r="WXG308" s="207"/>
      <c r="WXH308" s="204"/>
      <c r="WXI308" s="35"/>
      <c r="WXJ308" s="202"/>
      <c r="WXK308" s="203"/>
      <c r="WXL308" s="36"/>
      <c r="WXM308" s="36"/>
      <c r="WXN308" s="205"/>
      <c r="WXO308" s="33"/>
      <c r="WXP308" s="37"/>
      <c r="WXQ308" s="37"/>
      <c r="WXR308" s="37"/>
      <c r="WXS308" s="37"/>
      <c r="WXT308" s="37"/>
      <c r="WXU308" s="33"/>
      <c r="WXV308" s="206"/>
      <c r="WXW308" s="207"/>
      <c r="WXX308" s="204"/>
      <c r="WXY308" s="35"/>
      <c r="WXZ308" s="202"/>
      <c r="WYA308" s="203"/>
      <c r="WYB308" s="36"/>
      <c r="WYC308" s="36"/>
      <c r="WYD308" s="205"/>
      <c r="WYE308" s="33"/>
      <c r="WYF308" s="37"/>
      <c r="WYG308" s="37"/>
      <c r="WYH308" s="37"/>
      <c r="WYI308" s="37"/>
      <c r="WYJ308" s="37"/>
      <c r="WYK308" s="33"/>
      <c r="WYL308" s="206"/>
      <c r="WYM308" s="207"/>
      <c r="WYN308" s="204"/>
      <c r="WYO308" s="35"/>
      <c r="WYP308" s="202"/>
      <c r="WYQ308" s="203"/>
      <c r="WYR308" s="36"/>
      <c r="WYS308" s="36"/>
      <c r="WYT308" s="205"/>
      <c r="WYU308" s="33"/>
      <c r="WYV308" s="37"/>
      <c r="WYW308" s="37"/>
      <c r="WYX308" s="37"/>
      <c r="WYY308" s="37"/>
      <c r="WYZ308" s="37"/>
      <c r="WZA308" s="33"/>
      <c r="WZB308" s="206"/>
      <c r="WZC308" s="207"/>
      <c r="WZD308" s="204"/>
      <c r="WZE308" s="35"/>
      <c r="WZF308" s="202"/>
      <c r="WZG308" s="203"/>
      <c r="WZH308" s="36"/>
      <c r="WZI308" s="36"/>
      <c r="WZJ308" s="205"/>
      <c r="WZK308" s="33"/>
      <c r="WZL308" s="37"/>
      <c r="WZM308" s="37"/>
      <c r="WZN308" s="37"/>
      <c r="WZO308" s="37"/>
      <c r="WZP308" s="37"/>
      <c r="WZQ308" s="33"/>
      <c r="WZR308" s="206"/>
      <c r="WZS308" s="207"/>
      <c r="WZT308" s="204"/>
      <c r="WZU308" s="35"/>
      <c r="WZV308" s="202"/>
      <c r="WZW308" s="203"/>
      <c r="WZX308" s="36"/>
      <c r="WZY308" s="36"/>
      <c r="WZZ308" s="205"/>
      <c r="XAA308" s="33"/>
      <c r="XAB308" s="37"/>
      <c r="XAC308" s="37"/>
      <c r="XAD308" s="37"/>
      <c r="XAE308" s="37"/>
      <c r="XAF308" s="37"/>
      <c r="XAG308" s="33"/>
      <c r="XAH308" s="206"/>
      <c r="XAI308" s="207"/>
      <c r="XAJ308" s="204"/>
      <c r="XAK308" s="35"/>
      <c r="XAL308" s="202"/>
      <c r="XAM308" s="203"/>
      <c r="XAN308" s="36"/>
      <c r="XAO308" s="36"/>
      <c r="XAP308" s="205"/>
      <c r="XAQ308" s="33"/>
      <c r="XAR308" s="37"/>
      <c r="XAS308" s="37"/>
      <c r="XAT308" s="37"/>
      <c r="XAU308" s="37"/>
      <c r="XAV308" s="37"/>
      <c r="XAW308" s="33"/>
      <c r="XAX308" s="206"/>
      <c r="XAY308" s="207"/>
      <c r="XAZ308" s="204"/>
      <c r="XBA308" s="35"/>
      <c r="XBB308" s="202"/>
      <c r="XBC308" s="203"/>
      <c r="XBD308" s="36"/>
      <c r="XBE308" s="36"/>
      <c r="XBF308" s="205"/>
      <c r="XBG308" s="33"/>
      <c r="XBH308" s="37"/>
      <c r="XBI308" s="37"/>
      <c r="XBJ308" s="37"/>
      <c r="XBK308" s="37"/>
      <c r="XBL308" s="37"/>
      <c r="XBM308" s="33"/>
      <c r="XBN308" s="206"/>
      <c r="XBO308" s="207"/>
      <c r="XBP308" s="204"/>
      <c r="XBQ308" s="35"/>
      <c r="XBR308" s="202"/>
      <c r="XBS308" s="203"/>
      <c r="XBT308" s="36"/>
      <c r="XBU308" s="36"/>
      <c r="XBV308" s="205"/>
      <c r="XBW308" s="33"/>
      <c r="XBX308" s="37"/>
      <c r="XBY308" s="37"/>
      <c r="XBZ308" s="37"/>
      <c r="XCA308" s="37"/>
      <c r="XCB308" s="37"/>
      <c r="XCC308" s="33"/>
      <c r="XCD308" s="206"/>
      <c r="XCE308" s="207"/>
      <c r="XCF308" s="204"/>
      <c r="XCG308" s="35"/>
      <c r="XCH308" s="202"/>
      <c r="XCI308" s="203"/>
      <c r="XCJ308" s="36"/>
      <c r="XCK308" s="36"/>
      <c r="XCL308" s="205"/>
      <c r="XCM308" s="33"/>
      <c r="XCN308" s="37"/>
      <c r="XCO308" s="37"/>
      <c r="XCP308" s="37"/>
      <c r="XCQ308" s="37"/>
      <c r="XCR308" s="37"/>
      <c r="XCS308" s="33"/>
      <c r="XCT308" s="206"/>
      <c r="XCU308" s="207"/>
      <c r="XCV308" s="204"/>
      <c r="XCW308" s="35"/>
      <c r="XCX308" s="202"/>
      <c r="XCY308" s="203"/>
      <c r="XCZ308" s="36"/>
      <c r="XDA308" s="36"/>
      <c r="XDB308" s="205"/>
      <c r="XDC308" s="33"/>
      <c r="XDD308" s="37"/>
      <c r="XDE308" s="37"/>
      <c r="XDF308" s="37"/>
      <c r="XDG308" s="37"/>
      <c r="XDH308" s="37"/>
      <c r="XDI308" s="33"/>
      <c r="XDJ308" s="206"/>
      <c r="XDK308" s="207"/>
      <c r="XDL308" s="204"/>
      <c r="XDM308" s="35"/>
      <c r="XDN308" s="202"/>
      <c r="XDO308" s="203"/>
      <c r="XDP308" s="36"/>
      <c r="XDQ308" s="36"/>
      <c r="XDR308" s="205"/>
      <c r="XDS308" s="33"/>
      <c r="XDT308" s="37"/>
      <c r="XDU308" s="37"/>
      <c r="XDV308" s="37"/>
      <c r="XDW308" s="37"/>
      <c r="XDX308" s="37"/>
      <c r="XDY308" s="33"/>
      <c r="XDZ308" s="206"/>
    </row>
    <row r="309" spans="1:16354" s="39" customFormat="1" ht="18.95" customHeight="1" outlineLevel="1" x14ac:dyDescent="0.25">
      <c r="A309" s="148"/>
      <c r="B309" s="166"/>
      <c r="C309" s="148"/>
      <c r="D309" s="137">
        <v>43454</v>
      </c>
      <c r="E309" s="137" t="s">
        <v>606</v>
      </c>
      <c r="F309" s="12">
        <v>43466</v>
      </c>
      <c r="G309" s="12">
        <v>43646</v>
      </c>
      <c r="H309" s="150"/>
      <c r="I309" s="91" t="s">
        <v>23</v>
      </c>
      <c r="J309" s="89" t="s">
        <v>23</v>
      </c>
      <c r="K309" s="89" t="s">
        <v>23</v>
      </c>
      <c r="L309" s="92" t="s">
        <v>23</v>
      </c>
      <c r="M309" s="92" t="s">
        <v>23</v>
      </c>
      <c r="N309" s="92" t="s">
        <v>23</v>
      </c>
      <c r="O309" s="29">
        <v>1961.56</v>
      </c>
      <c r="P309" s="153" t="s">
        <v>446</v>
      </c>
      <c r="Q309" s="17">
        <f t="shared" si="4"/>
        <v>1634.6333333333334</v>
      </c>
      <c r="R309" s="208"/>
      <c r="S309" s="209"/>
      <c r="T309" s="204"/>
      <c r="U309" s="35"/>
      <c r="V309" s="203"/>
      <c r="W309" s="203"/>
      <c r="X309" s="36"/>
      <c r="Y309" s="36"/>
      <c r="Z309" s="203"/>
      <c r="AA309" s="33"/>
      <c r="AB309" s="33"/>
      <c r="AC309" s="33"/>
      <c r="AD309" s="33"/>
      <c r="AE309" s="33"/>
      <c r="AF309" s="33"/>
      <c r="AG309" s="37"/>
      <c r="AH309" s="208"/>
      <c r="AI309" s="207"/>
      <c r="AJ309" s="204"/>
      <c r="AK309" s="35"/>
      <c r="AL309" s="203"/>
      <c r="AM309" s="203"/>
      <c r="AN309" s="36"/>
      <c r="AO309" s="36"/>
      <c r="AP309" s="203"/>
      <c r="AQ309" s="33"/>
      <c r="AR309" s="33"/>
      <c r="AS309" s="33"/>
      <c r="AT309" s="33"/>
      <c r="AU309" s="33"/>
      <c r="AV309" s="33"/>
      <c r="AW309" s="37"/>
      <c r="AX309" s="208"/>
      <c r="AY309" s="207"/>
      <c r="AZ309" s="204"/>
      <c r="BA309" s="35"/>
      <c r="BB309" s="203"/>
      <c r="BC309" s="203"/>
      <c r="BD309" s="36"/>
      <c r="BE309" s="36"/>
      <c r="BF309" s="203"/>
      <c r="BG309" s="33"/>
      <c r="BH309" s="33"/>
      <c r="BI309" s="33"/>
      <c r="BJ309" s="33"/>
      <c r="BK309" s="33"/>
      <c r="BL309" s="33"/>
      <c r="BM309" s="37"/>
      <c r="BN309" s="208"/>
      <c r="BO309" s="207"/>
      <c r="BP309" s="204"/>
      <c r="BQ309" s="35"/>
      <c r="BR309" s="203"/>
      <c r="BS309" s="203"/>
      <c r="BT309" s="36"/>
      <c r="BU309" s="36"/>
      <c r="BV309" s="203"/>
      <c r="BW309" s="33"/>
      <c r="BX309" s="33"/>
      <c r="BY309" s="33"/>
      <c r="BZ309" s="33"/>
      <c r="CA309" s="33"/>
      <c r="CB309" s="33"/>
      <c r="CC309" s="37"/>
      <c r="CD309" s="208"/>
      <c r="CE309" s="207"/>
      <c r="CF309" s="204"/>
      <c r="CG309" s="35"/>
      <c r="CH309" s="203"/>
      <c r="CI309" s="203"/>
      <c r="CJ309" s="36"/>
      <c r="CK309" s="36"/>
      <c r="CL309" s="203"/>
      <c r="CM309" s="33"/>
      <c r="CN309" s="33"/>
      <c r="CO309" s="33"/>
      <c r="CP309" s="33"/>
      <c r="CQ309" s="33"/>
      <c r="CR309" s="33"/>
      <c r="CS309" s="37"/>
      <c r="CT309" s="208"/>
      <c r="CU309" s="207"/>
      <c r="CV309" s="204"/>
      <c r="CW309" s="35"/>
      <c r="CX309" s="203"/>
      <c r="CY309" s="203"/>
      <c r="CZ309" s="36"/>
      <c r="DA309" s="36"/>
      <c r="DB309" s="203"/>
      <c r="DC309" s="33"/>
      <c r="DD309" s="33"/>
      <c r="DE309" s="33"/>
      <c r="DF309" s="33"/>
      <c r="DG309" s="33"/>
      <c r="DH309" s="33"/>
      <c r="DI309" s="37"/>
      <c r="DJ309" s="208"/>
      <c r="DK309" s="207"/>
      <c r="DL309" s="204"/>
      <c r="DM309" s="35"/>
      <c r="DN309" s="203"/>
      <c r="DO309" s="203"/>
      <c r="DP309" s="36"/>
      <c r="DQ309" s="36"/>
      <c r="DR309" s="203"/>
      <c r="DS309" s="33"/>
      <c r="DT309" s="33"/>
      <c r="DU309" s="33"/>
      <c r="DV309" s="33"/>
      <c r="DW309" s="33"/>
      <c r="DX309" s="33"/>
      <c r="DY309" s="37"/>
      <c r="DZ309" s="208"/>
      <c r="EA309" s="207"/>
      <c r="EB309" s="204"/>
      <c r="EC309" s="35"/>
      <c r="ED309" s="203"/>
      <c r="EE309" s="203"/>
      <c r="EF309" s="36"/>
      <c r="EG309" s="36"/>
      <c r="EH309" s="203"/>
      <c r="EI309" s="33"/>
      <c r="EJ309" s="33"/>
      <c r="EK309" s="33"/>
      <c r="EL309" s="33"/>
      <c r="EM309" s="33"/>
      <c r="EN309" s="33"/>
      <c r="EO309" s="37"/>
      <c r="EP309" s="208"/>
      <c r="EQ309" s="207"/>
      <c r="ER309" s="204"/>
      <c r="ES309" s="35"/>
      <c r="ET309" s="203"/>
      <c r="EU309" s="203"/>
      <c r="EV309" s="36"/>
      <c r="EW309" s="36"/>
      <c r="EX309" s="203"/>
      <c r="EY309" s="33"/>
      <c r="EZ309" s="33"/>
      <c r="FA309" s="33"/>
      <c r="FB309" s="33"/>
      <c r="FC309" s="33"/>
      <c r="FD309" s="33"/>
      <c r="FE309" s="37"/>
      <c r="FF309" s="208"/>
      <c r="FG309" s="207"/>
      <c r="FH309" s="204"/>
      <c r="FI309" s="35"/>
      <c r="FJ309" s="203"/>
      <c r="FK309" s="203"/>
      <c r="FL309" s="36"/>
      <c r="FM309" s="36"/>
      <c r="FN309" s="203"/>
      <c r="FO309" s="33"/>
      <c r="FP309" s="33"/>
      <c r="FQ309" s="33"/>
      <c r="FR309" s="33"/>
      <c r="FS309" s="33"/>
      <c r="FT309" s="33"/>
      <c r="FU309" s="37"/>
      <c r="FV309" s="208"/>
      <c r="FW309" s="207"/>
      <c r="FX309" s="204"/>
      <c r="FY309" s="35"/>
      <c r="FZ309" s="203"/>
      <c r="GA309" s="203"/>
      <c r="GB309" s="36"/>
      <c r="GC309" s="36"/>
      <c r="GD309" s="203"/>
      <c r="GE309" s="33"/>
      <c r="GF309" s="33"/>
      <c r="GG309" s="33"/>
      <c r="GH309" s="33"/>
      <c r="GI309" s="33"/>
      <c r="GJ309" s="33"/>
      <c r="GK309" s="37"/>
      <c r="GL309" s="208"/>
      <c r="GM309" s="207"/>
      <c r="GN309" s="204"/>
      <c r="GO309" s="35"/>
      <c r="GP309" s="203"/>
      <c r="GQ309" s="203"/>
      <c r="GR309" s="36"/>
      <c r="GS309" s="36"/>
      <c r="GT309" s="203"/>
      <c r="GU309" s="33"/>
      <c r="GV309" s="33"/>
      <c r="GW309" s="33"/>
      <c r="GX309" s="33"/>
      <c r="GY309" s="33"/>
      <c r="GZ309" s="33"/>
      <c r="HA309" s="37"/>
      <c r="HB309" s="208"/>
      <c r="HC309" s="207"/>
      <c r="HD309" s="204"/>
      <c r="HE309" s="35"/>
      <c r="HF309" s="203"/>
      <c r="HG309" s="203"/>
      <c r="HH309" s="36"/>
      <c r="HI309" s="36"/>
      <c r="HJ309" s="203"/>
      <c r="HK309" s="33"/>
      <c r="HL309" s="33"/>
      <c r="HM309" s="33"/>
      <c r="HN309" s="33"/>
      <c r="HO309" s="33"/>
      <c r="HP309" s="33"/>
      <c r="HQ309" s="37"/>
      <c r="HR309" s="208"/>
      <c r="HS309" s="207"/>
      <c r="HT309" s="204"/>
      <c r="HU309" s="35"/>
      <c r="HV309" s="203"/>
      <c r="HW309" s="203"/>
      <c r="HX309" s="36"/>
      <c r="HY309" s="36"/>
      <c r="HZ309" s="203"/>
      <c r="IA309" s="33"/>
      <c r="IB309" s="33"/>
      <c r="IC309" s="33"/>
      <c r="ID309" s="33"/>
      <c r="IE309" s="33"/>
      <c r="IF309" s="33"/>
      <c r="IG309" s="37"/>
      <c r="IH309" s="208"/>
      <c r="II309" s="207"/>
      <c r="IJ309" s="204"/>
      <c r="IK309" s="35"/>
      <c r="IL309" s="203"/>
      <c r="IM309" s="203"/>
      <c r="IN309" s="36"/>
      <c r="IO309" s="36"/>
      <c r="IP309" s="203"/>
      <c r="IQ309" s="33"/>
      <c r="IR309" s="33"/>
      <c r="IS309" s="33"/>
      <c r="IT309" s="33"/>
      <c r="IU309" s="33"/>
      <c r="IV309" s="33"/>
      <c r="IW309" s="37"/>
      <c r="IX309" s="208"/>
      <c r="IY309" s="207"/>
      <c r="IZ309" s="204"/>
      <c r="JA309" s="35"/>
      <c r="JB309" s="203"/>
      <c r="JC309" s="203"/>
      <c r="JD309" s="36"/>
      <c r="JE309" s="36"/>
      <c r="JF309" s="203"/>
      <c r="JG309" s="33"/>
      <c r="JH309" s="33"/>
      <c r="JI309" s="33"/>
      <c r="JJ309" s="33"/>
      <c r="JK309" s="33"/>
      <c r="JL309" s="33"/>
      <c r="JM309" s="37"/>
      <c r="JN309" s="208"/>
      <c r="JO309" s="207"/>
      <c r="JP309" s="204"/>
      <c r="JQ309" s="35"/>
      <c r="JR309" s="203"/>
      <c r="JS309" s="203"/>
      <c r="JT309" s="36"/>
      <c r="JU309" s="36"/>
      <c r="JV309" s="203"/>
      <c r="JW309" s="33"/>
      <c r="JX309" s="33"/>
      <c r="JY309" s="33"/>
      <c r="JZ309" s="33"/>
      <c r="KA309" s="33"/>
      <c r="KB309" s="33"/>
      <c r="KC309" s="37"/>
      <c r="KD309" s="208"/>
      <c r="KE309" s="207"/>
      <c r="KF309" s="204"/>
      <c r="KG309" s="35"/>
      <c r="KH309" s="203"/>
      <c r="KI309" s="203"/>
      <c r="KJ309" s="36"/>
      <c r="KK309" s="36"/>
      <c r="KL309" s="203"/>
      <c r="KM309" s="33"/>
      <c r="KN309" s="33"/>
      <c r="KO309" s="33"/>
      <c r="KP309" s="33"/>
      <c r="KQ309" s="33"/>
      <c r="KR309" s="33"/>
      <c r="KS309" s="37"/>
      <c r="KT309" s="208"/>
      <c r="KU309" s="207"/>
      <c r="KV309" s="204"/>
      <c r="KW309" s="35"/>
      <c r="KX309" s="203"/>
      <c r="KY309" s="203"/>
      <c r="KZ309" s="36"/>
      <c r="LA309" s="36"/>
      <c r="LB309" s="203"/>
      <c r="LC309" s="33"/>
      <c r="LD309" s="33"/>
      <c r="LE309" s="33"/>
      <c r="LF309" s="33"/>
      <c r="LG309" s="33"/>
      <c r="LH309" s="33"/>
      <c r="LI309" s="37"/>
      <c r="LJ309" s="208"/>
      <c r="LK309" s="207"/>
      <c r="LL309" s="204"/>
      <c r="LM309" s="35"/>
      <c r="LN309" s="203"/>
      <c r="LO309" s="203"/>
      <c r="LP309" s="36"/>
      <c r="LQ309" s="36"/>
      <c r="LR309" s="203"/>
      <c r="LS309" s="33"/>
      <c r="LT309" s="33"/>
      <c r="LU309" s="33"/>
      <c r="LV309" s="33"/>
      <c r="LW309" s="33"/>
      <c r="LX309" s="33"/>
      <c r="LY309" s="37"/>
      <c r="LZ309" s="208"/>
      <c r="MA309" s="207"/>
      <c r="MB309" s="204"/>
      <c r="MC309" s="35"/>
      <c r="MD309" s="203"/>
      <c r="ME309" s="203"/>
      <c r="MF309" s="36"/>
      <c r="MG309" s="36"/>
      <c r="MH309" s="203"/>
      <c r="MI309" s="33"/>
      <c r="MJ309" s="33"/>
      <c r="MK309" s="33"/>
      <c r="ML309" s="33"/>
      <c r="MM309" s="33"/>
      <c r="MN309" s="33"/>
      <c r="MO309" s="37"/>
      <c r="MP309" s="208"/>
      <c r="MQ309" s="207"/>
      <c r="MR309" s="204"/>
      <c r="MS309" s="35"/>
      <c r="MT309" s="203"/>
      <c r="MU309" s="203"/>
      <c r="MV309" s="36"/>
      <c r="MW309" s="36"/>
      <c r="MX309" s="203"/>
      <c r="MY309" s="33"/>
      <c r="MZ309" s="33"/>
      <c r="NA309" s="33"/>
      <c r="NB309" s="33"/>
      <c r="NC309" s="33"/>
      <c r="ND309" s="33"/>
      <c r="NE309" s="37"/>
      <c r="NF309" s="208"/>
      <c r="NG309" s="207"/>
      <c r="NH309" s="204"/>
      <c r="NI309" s="35"/>
      <c r="NJ309" s="203"/>
      <c r="NK309" s="203"/>
      <c r="NL309" s="36"/>
      <c r="NM309" s="36"/>
      <c r="NN309" s="203"/>
      <c r="NO309" s="33"/>
      <c r="NP309" s="33"/>
      <c r="NQ309" s="33"/>
      <c r="NR309" s="33"/>
      <c r="NS309" s="33"/>
      <c r="NT309" s="33"/>
      <c r="NU309" s="37"/>
      <c r="NV309" s="208"/>
      <c r="NW309" s="207"/>
      <c r="NX309" s="204"/>
      <c r="NY309" s="35"/>
      <c r="NZ309" s="203"/>
      <c r="OA309" s="203"/>
      <c r="OB309" s="36"/>
      <c r="OC309" s="36"/>
      <c r="OD309" s="203"/>
      <c r="OE309" s="33"/>
      <c r="OF309" s="33"/>
      <c r="OG309" s="33"/>
      <c r="OH309" s="33"/>
      <c r="OI309" s="33"/>
      <c r="OJ309" s="33"/>
      <c r="OK309" s="37"/>
      <c r="OL309" s="208"/>
      <c r="OM309" s="207"/>
      <c r="ON309" s="204"/>
      <c r="OO309" s="35"/>
      <c r="OP309" s="203"/>
      <c r="OQ309" s="203"/>
      <c r="OR309" s="36"/>
      <c r="OS309" s="36"/>
      <c r="OT309" s="203"/>
      <c r="OU309" s="33"/>
      <c r="OV309" s="33"/>
      <c r="OW309" s="33"/>
      <c r="OX309" s="33"/>
      <c r="OY309" s="33"/>
      <c r="OZ309" s="33"/>
      <c r="PA309" s="37"/>
      <c r="PB309" s="208"/>
      <c r="PC309" s="207"/>
      <c r="PD309" s="204"/>
      <c r="PE309" s="35"/>
      <c r="PF309" s="203"/>
      <c r="PG309" s="203"/>
      <c r="PH309" s="36"/>
      <c r="PI309" s="36"/>
      <c r="PJ309" s="203"/>
      <c r="PK309" s="33"/>
      <c r="PL309" s="33"/>
      <c r="PM309" s="33"/>
      <c r="PN309" s="33"/>
      <c r="PO309" s="33"/>
      <c r="PP309" s="33"/>
      <c r="PQ309" s="37"/>
      <c r="PR309" s="208"/>
      <c r="PS309" s="207"/>
      <c r="PT309" s="204"/>
      <c r="PU309" s="35"/>
      <c r="PV309" s="203"/>
      <c r="PW309" s="203"/>
      <c r="PX309" s="36"/>
      <c r="PY309" s="36"/>
      <c r="PZ309" s="203"/>
      <c r="QA309" s="33"/>
      <c r="QB309" s="33"/>
      <c r="QC309" s="33"/>
      <c r="QD309" s="33"/>
      <c r="QE309" s="33"/>
      <c r="QF309" s="33"/>
      <c r="QG309" s="37"/>
      <c r="QH309" s="208"/>
      <c r="QI309" s="207"/>
      <c r="QJ309" s="204"/>
      <c r="QK309" s="35"/>
      <c r="QL309" s="203"/>
      <c r="QM309" s="203"/>
      <c r="QN309" s="36"/>
      <c r="QO309" s="36"/>
      <c r="QP309" s="203"/>
      <c r="QQ309" s="33"/>
      <c r="QR309" s="33"/>
      <c r="QS309" s="33"/>
      <c r="QT309" s="33"/>
      <c r="QU309" s="33"/>
      <c r="QV309" s="33"/>
      <c r="QW309" s="37"/>
      <c r="QX309" s="208"/>
      <c r="QY309" s="207"/>
      <c r="QZ309" s="204"/>
      <c r="RA309" s="35"/>
      <c r="RB309" s="203"/>
      <c r="RC309" s="203"/>
      <c r="RD309" s="36"/>
      <c r="RE309" s="36"/>
      <c r="RF309" s="203"/>
      <c r="RG309" s="33"/>
      <c r="RH309" s="33"/>
      <c r="RI309" s="33"/>
      <c r="RJ309" s="33"/>
      <c r="RK309" s="33"/>
      <c r="RL309" s="33"/>
      <c r="RM309" s="37"/>
      <c r="RN309" s="208"/>
      <c r="RO309" s="207"/>
      <c r="RP309" s="204"/>
      <c r="RQ309" s="35"/>
      <c r="RR309" s="203"/>
      <c r="RS309" s="203"/>
      <c r="RT309" s="36"/>
      <c r="RU309" s="36"/>
      <c r="RV309" s="203"/>
      <c r="RW309" s="33"/>
      <c r="RX309" s="33"/>
      <c r="RY309" s="33"/>
      <c r="RZ309" s="33"/>
      <c r="SA309" s="33"/>
      <c r="SB309" s="33"/>
      <c r="SC309" s="37"/>
      <c r="SD309" s="208"/>
      <c r="SE309" s="207"/>
      <c r="SF309" s="204"/>
      <c r="SG309" s="35"/>
      <c r="SH309" s="203"/>
      <c r="SI309" s="203"/>
      <c r="SJ309" s="36"/>
      <c r="SK309" s="36"/>
      <c r="SL309" s="203"/>
      <c r="SM309" s="33"/>
      <c r="SN309" s="33"/>
      <c r="SO309" s="33"/>
      <c r="SP309" s="33"/>
      <c r="SQ309" s="33"/>
      <c r="SR309" s="33"/>
      <c r="SS309" s="37"/>
      <c r="ST309" s="208"/>
      <c r="SU309" s="207"/>
      <c r="SV309" s="204"/>
      <c r="SW309" s="35"/>
      <c r="SX309" s="203"/>
      <c r="SY309" s="203"/>
      <c r="SZ309" s="36"/>
      <c r="TA309" s="36"/>
      <c r="TB309" s="203"/>
      <c r="TC309" s="33"/>
      <c r="TD309" s="33"/>
      <c r="TE309" s="33"/>
      <c r="TF309" s="33"/>
      <c r="TG309" s="33"/>
      <c r="TH309" s="33"/>
      <c r="TI309" s="37"/>
      <c r="TJ309" s="208"/>
      <c r="TK309" s="207"/>
      <c r="TL309" s="204"/>
      <c r="TM309" s="35"/>
      <c r="TN309" s="203"/>
      <c r="TO309" s="203"/>
      <c r="TP309" s="36"/>
      <c r="TQ309" s="36"/>
      <c r="TR309" s="203"/>
      <c r="TS309" s="33"/>
      <c r="TT309" s="33"/>
      <c r="TU309" s="33"/>
      <c r="TV309" s="33"/>
      <c r="TW309" s="33"/>
      <c r="TX309" s="33"/>
      <c r="TY309" s="37"/>
      <c r="TZ309" s="208"/>
      <c r="UA309" s="207"/>
      <c r="UB309" s="204"/>
      <c r="UC309" s="35"/>
      <c r="UD309" s="203"/>
      <c r="UE309" s="203"/>
      <c r="UF309" s="36"/>
      <c r="UG309" s="36"/>
      <c r="UH309" s="203"/>
      <c r="UI309" s="33"/>
      <c r="UJ309" s="33"/>
      <c r="UK309" s="33"/>
      <c r="UL309" s="33"/>
      <c r="UM309" s="33"/>
      <c r="UN309" s="33"/>
      <c r="UO309" s="37"/>
      <c r="UP309" s="208"/>
      <c r="UQ309" s="207"/>
      <c r="UR309" s="204"/>
      <c r="US309" s="35"/>
      <c r="UT309" s="203"/>
      <c r="UU309" s="203"/>
      <c r="UV309" s="36"/>
      <c r="UW309" s="36"/>
      <c r="UX309" s="203"/>
      <c r="UY309" s="33"/>
      <c r="UZ309" s="33"/>
      <c r="VA309" s="33"/>
      <c r="VB309" s="33"/>
      <c r="VC309" s="33"/>
      <c r="VD309" s="33"/>
      <c r="VE309" s="37"/>
      <c r="VF309" s="208"/>
      <c r="VG309" s="207"/>
      <c r="VH309" s="204"/>
      <c r="VI309" s="35"/>
      <c r="VJ309" s="203"/>
      <c r="VK309" s="203"/>
      <c r="VL309" s="36"/>
      <c r="VM309" s="36"/>
      <c r="VN309" s="203"/>
      <c r="VO309" s="33"/>
      <c r="VP309" s="33"/>
      <c r="VQ309" s="33"/>
      <c r="VR309" s="33"/>
      <c r="VS309" s="33"/>
      <c r="VT309" s="33"/>
      <c r="VU309" s="37"/>
      <c r="VV309" s="208"/>
      <c r="VW309" s="207"/>
      <c r="VX309" s="204"/>
      <c r="VY309" s="35"/>
      <c r="VZ309" s="203"/>
      <c r="WA309" s="203"/>
      <c r="WB309" s="36"/>
      <c r="WC309" s="36"/>
      <c r="WD309" s="203"/>
      <c r="WE309" s="33"/>
      <c r="WF309" s="33"/>
      <c r="WG309" s="33"/>
      <c r="WH309" s="33"/>
      <c r="WI309" s="33"/>
      <c r="WJ309" s="33"/>
      <c r="WK309" s="37"/>
      <c r="WL309" s="208"/>
      <c r="WM309" s="207"/>
      <c r="WN309" s="204"/>
      <c r="WO309" s="35"/>
      <c r="WP309" s="203"/>
      <c r="WQ309" s="203"/>
      <c r="WR309" s="36"/>
      <c r="WS309" s="36"/>
      <c r="WT309" s="203"/>
      <c r="WU309" s="33"/>
      <c r="WV309" s="33"/>
      <c r="WW309" s="33"/>
      <c r="WX309" s="33"/>
      <c r="WY309" s="33"/>
      <c r="WZ309" s="33"/>
      <c r="XA309" s="37"/>
      <c r="XB309" s="208"/>
      <c r="XC309" s="207"/>
      <c r="XD309" s="204"/>
      <c r="XE309" s="35"/>
      <c r="XF309" s="203"/>
      <c r="XG309" s="203"/>
      <c r="XH309" s="36"/>
      <c r="XI309" s="36"/>
      <c r="XJ309" s="203"/>
      <c r="XK309" s="33"/>
      <c r="XL309" s="33"/>
      <c r="XM309" s="33"/>
      <c r="XN309" s="33"/>
      <c r="XO309" s="33"/>
      <c r="XP309" s="33"/>
      <c r="XQ309" s="37"/>
      <c r="XR309" s="208"/>
      <c r="XS309" s="207"/>
      <c r="XT309" s="204"/>
      <c r="XU309" s="35"/>
      <c r="XV309" s="203"/>
      <c r="XW309" s="203"/>
      <c r="XX309" s="36"/>
      <c r="XY309" s="36"/>
      <c r="XZ309" s="203"/>
      <c r="YA309" s="33"/>
      <c r="YB309" s="33"/>
      <c r="YC309" s="33"/>
      <c r="YD309" s="33"/>
      <c r="YE309" s="33"/>
      <c r="YF309" s="33"/>
      <c r="YG309" s="37"/>
      <c r="YH309" s="208"/>
      <c r="YI309" s="207"/>
      <c r="YJ309" s="204"/>
      <c r="YK309" s="35"/>
      <c r="YL309" s="203"/>
      <c r="YM309" s="203"/>
      <c r="YN309" s="36"/>
      <c r="YO309" s="36"/>
      <c r="YP309" s="203"/>
      <c r="YQ309" s="33"/>
      <c r="YR309" s="33"/>
      <c r="YS309" s="33"/>
      <c r="YT309" s="33"/>
      <c r="YU309" s="33"/>
      <c r="YV309" s="33"/>
      <c r="YW309" s="37"/>
      <c r="YX309" s="208"/>
      <c r="YY309" s="207"/>
      <c r="YZ309" s="204"/>
      <c r="ZA309" s="35"/>
      <c r="ZB309" s="203"/>
      <c r="ZC309" s="203"/>
      <c r="ZD309" s="36"/>
      <c r="ZE309" s="36"/>
      <c r="ZF309" s="203"/>
      <c r="ZG309" s="33"/>
      <c r="ZH309" s="33"/>
      <c r="ZI309" s="33"/>
      <c r="ZJ309" s="33"/>
      <c r="ZK309" s="33"/>
      <c r="ZL309" s="33"/>
      <c r="ZM309" s="37"/>
      <c r="ZN309" s="208"/>
      <c r="ZO309" s="207"/>
      <c r="ZP309" s="204"/>
      <c r="ZQ309" s="35"/>
      <c r="ZR309" s="203"/>
      <c r="ZS309" s="203"/>
      <c r="ZT309" s="36"/>
      <c r="ZU309" s="36"/>
      <c r="ZV309" s="203"/>
      <c r="ZW309" s="33"/>
      <c r="ZX309" s="33"/>
      <c r="ZY309" s="33"/>
      <c r="ZZ309" s="33"/>
      <c r="AAA309" s="33"/>
      <c r="AAB309" s="33"/>
      <c r="AAC309" s="37"/>
      <c r="AAD309" s="208"/>
      <c r="AAE309" s="207"/>
      <c r="AAF309" s="204"/>
      <c r="AAG309" s="35"/>
      <c r="AAH309" s="203"/>
      <c r="AAI309" s="203"/>
      <c r="AAJ309" s="36"/>
      <c r="AAK309" s="36"/>
      <c r="AAL309" s="203"/>
      <c r="AAM309" s="33"/>
      <c r="AAN309" s="33"/>
      <c r="AAO309" s="33"/>
      <c r="AAP309" s="33"/>
      <c r="AAQ309" s="33"/>
      <c r="AAR309" s="33"/>
      <c r="AAS309" s="37"/>
      <c r="AAT309" s="208"/>
      <c r="AAU309" s="207"/>
      <c r="AAV309" s="204"/>
      <c r="AAW309" s="35"/>
      <c r="AAX309" s="203"/>
      <c r="AAY309" s="203"/>
      <c r="AAZ309" s="36"/>
      <c r="ABA309" s="36"/>
      <c r="ABB309" s="203"/>
      <c r="ABC309" s="33"/>
      <c r="ABD309" s="33"/>
      <c r="ABE309" s="33"/>
      <c r="ABF309" s="33"/>
      <c r="ABG309" s="33"/>
      <c r="ABH309" s="33"/>
      <c r="ABI309" s="37"/>
      <c r="ABJ309" s="208"/>
      <c r="ABK309" s="207"/>
      <c r="ABL309" s="204"/>
      <c r="ABM309" s="35"/>
      <c r="ABN309" s="203"/>
      <c r="ABO309" s="203"/>
      <c r="ABP309" s="36"/>
      <c r="ABQ309" s="36"/>
      <c r="ABR309" s="203"/>
      <c r="ABS309" s="33"/>
      <c r="ABT309" s="33"/>
      <c r="ABU309" s="33"/>
      <c r="ABV309" s="33"/>
      <c r="ABW309" s="33"/>
      <c r="ABX309" s="33"/>
      <c r="ABY309" s="37"/>
      <c r="ABZ309" s="208"/>
      <c r="ACA309" s="207"/>
      <c r="ACB309" s="204"/>
      <c r="ACC309" s="35"/>
      <c r="ACD309" s="203"/>
      <c r="ACE309" s="203"/>
      <c r="ACF309" s="36"/>
      <c r="ACG309" s="36"/>
      <c r="ACH309" s="203"/>
      <c r="ACI309" s="33"/>
      <c r="ACJ309" s="33"/>
      <c r="ACK309" s="33"/>
      <c r="ACL309" s="33"/>
      <c r="ACM309" s="33"/>
      <c r="ACN309" s="33"/>
      <c r="ACO309" s="37"/>
      <c r="ACP309" s="208"/>
      <c r="ACQ309" s="207"/>
      <c r="ACR309" s="204"/>
      <c r="ACS309" s="35"/>
      <c r="ACT309" s="203"/>
      <c r="ACU309" s="203"/>
      <c r="ACV309" s="36"/>
      <c r="ACW309" s="36"/>
      <c r="ACX309" s="203"/>
      <c r="ACY309" s="33"/>
      <c r="ACZ309" s="33"/>
      <c r="ADA309" s="33"/>
      <c r="ADB309" s="33"/>
      <c r="ADC309" s="33"/>
      <c r="ADD309" s="33"/>
      <c r="ADE309" s="37"/>
      <c r="ADF309" s="208"/>
      <c r="ADG309" s="207"/>
      <c r="ADH309" s="204"/>
      <c r="ADI309" s="35"/>
      <c r="ADJ309" s="203"/>
      <c r="ADK309" s="203"/>
      <c r="ADL309" s="36"/>
      <c r="ADM309" s="36"/>
      <c r="ADN309" s="203"/>
      <c r="ADO309" s="33"/>
      <c r="ADP309" s="33"/>
      <c r="ADQ309" s="33"/>
      <c r="ADR309" s="33"/>
      <c r="ADS309" s="33"/>
      <c r="ADT309" s="33"/>
      <c r="ADU309" s="37"/>
      <c r="ADV309" s="208"/>
      <c r="ADW309" s="207"/>
      <c r="ADX309" s="204"/>
      <c r="ADY309" s="35"/>
      <c r="ADZ309" s="203"/>
      <c r="AEA309" s="203"/>
      <c r="AEB309" s="36"/>
      <c r="AEC309" s="36"/>
      <c r="AED309" s="203"/>
      <c r="AEE309" s="33"/>
      <c r="AEF309" s="33"/>
      <c r="AEG309" s="33"/>
      <c r="AEH309" s="33"/>
      <c r="AEI309" s="33"/>
      <c r="AEJ309" s="33"/>
      <c r="AEK309" s="37"/>
      <c r="AEL309" s="208"/>
      <c r="AEM309" s="207"/>
      <c r="AEN309" s="204"/>
      <c r="AEO309" s="35"/>
      <c r="AEP309" s="203"/>
      <c r="AEQ309" s="203"/>
      <c r="AER309" s="36"/>
      <c r="AES309" s="36"/>
      <c r="AET309" s="203"/>
      <c r="AEU309" s="33"/>
      <c r="AEV309" s="33"/>
      <c r="AEW309" s="33"/>
      <c r="AEX309" s="33"/>
      <c r="AEY309" s="33"/>
      <c r="AEZ309" s="33"/>
      <c r="AFA309" s="37"/>
      <c r="AFB309" s="208"/>
      <c r="AFC309" s="207"/>
      <c r="AFD309" s="204"/>
      <c r="AFE309" s="35"/>
      <c r="AFF309" s="203"/>
      <c r="AFG309" s="203"/>
      <c r="AFH309" s="36"/>
      <c r="AFI309" s="36"/>
      <c r="AFJ309" s="203"/>
      <c r="AFK309" s="33"/>
      <c r="AFL309" s="33"/>
      <c r="AFM309" s="33"/>
      <c r="AFN309" s="33"/>
      <c r="AFO309" s="33"/>
      <c r="AFP309" s="33"/>
      <c r="AFQ309" s="37"/>
      <c r="AFR309" s="208"/>
      <c r="AFS309" s="207"/>
      <c r="AFT309" s="204"/>
      <c r="AFU309" s="35"/>
      <c r="AFV309" s="203"/>
      <c r="AFW309" s="203"/>
      <c r="AFX309" s="36"/>
      <c r="AFY309" s="36"/>
      <c r="AFZ309" s="203"/>
      <c r="AGA309" s="33"/>
      <c r="AGB309" s="33"/>
      <c r="AGC309" s="33"/>
      <c r="AGD309" s="33"/>
      <c r="AGE309" s="33"/>
      <c r="AGF309" s="33"/>
      <c r="AGG309" s="37"/>
      <c r="AGH309" s="208"/>
      <c r="AGI309" s="207"/>
      <c r="AGJ309" s="204"/>
      <c r="AGK309" s="35"/>
      <c r="AGL309" s="203"/>
      <c r="AGM309" s="203"/>
      <c r="AGN309" s="36"/>
      <c r="AGO309" s="36"/>
      <c r="AGP309" s="203"/>
      <c r="AGQ309" s="33"/>
      <c r="AGR309" s="33"/>
      <c r="AGS309" s="33"/>
      <c r="AGT309" s="33"/>
      <c r="AGU309" s="33"/>
      <c r="AGV309" s="33"/>
      <c r="AGW309" s="37"/>
      <c r="AGX309" s="208"/>
      <c r="AGY309" s="207"/>
      <c r="AGZ309" s="204"/>
      <c r="AHA309" s="35"/>
      <c r="AHB309" s="203"/>
      <c r="AHC309" s="203"/>
      <c r="AHD309" s="36"/>
      <c r="AHE309" s="36"/>
      <c r="AHF309" s="203"/>
      <c r="AHG309" s="33"/>
      <c r="AHH309" s="33"/>
      <c r="AHI309" s="33"/>
      <c r="AHJ309" s="33"/>
      <c r="AHK309" s="33"/>
      <c r="AHL309" s="33"/>
      <c r="AHM309" s="37"/>
      <c r="AHN309" s="208"/>
      <c r="AHO309" s="207"/>
      <c r="AHP309" s="204"/>
      <c r="AHQ309" s="35"/>
      <c r="AHR309" s="203"/>
      <c r="AHS309" s="203"/>
      <c r="AHT309" s="36"/>
      <c r="AHU309" s="36"/>
      <c r="AHV309" s="203"/>
      <c r="AHW309" s="33"/>
      <c r="AHX309" s="33"/>
      <c r="AHY309" s="33"/>
      <c r="AHZ309" s="33"/>
      <c r="AIA309" s="33"/>
      <c r="AIB309" s="33"/>
      <c r="AIC309" s="37"/>
      <c r="AID309" s="208"/>
      <c r="AIE309" s="207"/>
      <c r="AIF309" s="204"/>
      <c r="AIG309" s="35"/>
      <c r="AIH309" s="203"/>
      <c r="AII309" s="203"/>
      <c r="AIJ309" s="36"/>
      <c r="AIK309" s="36"/>
      <c r="AIL309" s="203"/>
      <c r="AIM309" s="33"/>
      <c r="AIN309" s="33"/>
      <c r="AIO309" s="33"/>
      <c r="AIP309" s="33"/>
      <c r="AIQ309" s="33"/>
      <c r="AIR309" s="33"/>
      <c r="AIS309" s="37"/>
      <c r="AIT309" s="208"/>
      <c r="AIU309" s="207"/>
      <c r="AIV309" s="204"/>
      <c r="AIW309" s="35"/>
      <c r="AIX309" s="203"/>
      <c r="AIY309" s="203"/>
      <c r="AIZ309" s="36"/>
      <c r="AJA309" s="36"/>
      <c r="AJB309" s="203"/>
      <c r="AJC309" s="33"/>
      <c r="AJD309" s="33"/>
      <c r="AJE309" s="33"/>
      <c r="AJF309" s="33"/>
      <c r="AJG309" s="33"/>
      <c r="AJH309" s="33"/>
      <c r="AJI309" s="37"/>
      <c r="AJJ309" s="208"/>
      <c r="AJK309" s="207"/>
      <c r="AJL309" s="204"/>
      <c r="AJM309" s="35"/>
      <c r="AJN309" s="203"/>
      <c r="AJO309" s="203"/>
      <c r="AJP309" s="36"/>
      <c r="AJQ309" s="36"/>
      <c r="AJR309" s="203"/>
      <c r="AJS309" s="33"/>
      <c r="AJT309" s="33"/>
      <c r="AJU309" s="33"/>
      <c r="AJV309" s="33"/>
      <c r="AJW309" s="33"/>
      <c r="AJX309" s="33"/>
      <c r="AJY309" s="37"/>
      <c r="AJZ309" s="208"/>
      <c r="AKA309" s="207"/>
      <c r="AKB309" s="204"/>
      <c r="AKC309" s="35"/>
      <c r="AKD309" s="203"/>
      <c r="AKE309" s="203"/>
      <c r="AKF309" s="36"/>
      <c r="AKG309" s="36"/>
      <c r="AKH309" s="203"/>
      <c r="AKI309" s="33"/>
      <c r="AKJ309" s="33"/>
      <c r="AKK309" s="33"/>
      <c r="AKL309" s="33"/>
      <c r="AKM309" s="33"/>
      <c r="AKN309" s="33"/>
      <c r="AKO309" s="37"/>
      <c r="AKP309" s="208"/>
      <c r="AKQ309" s="207"/>
      <c r="AKR309" s="204"/>
      <c r="AKS309" s="35"/>
      <c r="AKT309" s="203"/>
      <c r="AKU309" s="203"/>
      <c r="AKV309" s="36"/>
      <c r="AKW309" s="36"/>
      <c r="AKX309" s="203"/>
      <c r="AKY309" s="33"/>
      <c r="AKZ309" s="33"/>
      <c r="ALA309" s="33"/>
      <c r="ALB309" s="33"/>
      <c r="ALC309" s="33"/>
      <c r="ALD309" s="33"/>
      <c r="ALE309" s="37"/>
      <c r="ALF309" s="208"/>
      <c r="ALG309" s="207"/>
      <c r="ALH309" s="204"/>
      <c r="ALI309" s="35"/>
      <c r="ALJ309" s="203"/>
      <c r="ALK309" s="203"/>
      <c r="ALL309" s="36"/>
      <c r="ALM309" s="36"/>
      <c r="ALN309" s="203"/>
      <c r="ALO309" s="33"/>
      <c r="ALP309" s="33"/>
      <c r="ALQ309" s="33"/>
      <c r="ALR309" s="33"/>
      <c r="ALS309" s="33"/>
      <c r="ALT309" s="33"/>
      <c r="ALU309" s="37"/>
      <c r="ALV309" s="208"/>
      <c r="ALW309" s="207"/>
      <c r="ALX309" s="204"/>
      <c r="ALY309" s="35"/>
      <c r="ALZ309" s="203"/>
      <c r="AMA309" s="203"/>
      <c r="AMB309" s="36"/>
      <c r="AMC309" s="36"/>
      <c r="AMD309" s="203"/>
      <c r="AME309" s="33"/>
      <c r="AMF309" s="33"/>
      <c r="AMG309" s="33"/>
      <c r="AMH309" s="33"/>
      <c r="AMI309" s="33"/>
      <c r="AMJ309" s="33"/>
      <c r="AMK309" s="37"/>
      <c r="AML309" s="208"/>
      <c r="AMM309" s="207"/>
      <c r="AMN309" s="204"/>
      <c r="AMO309" s="35"/>
      <c r="AMP309" s="203"/>
      <c r="AMQ309" s="203"/>
      <c r="AMR309" s="36"/>
      <c r="AMS309" s="36"/>
      <c r="AMT309" s="203"/>
      <c r="AMU309" s="33"/>
      <c r="AMV309" s="33"/>
      <c r="AMW309" s="33"/>
      <c r="AMX309" s="33"/>
      <c r="AMY309" s="33"/>
      <c r="AMZ309" s="33"/>
      <c r="ANA309" s="37"/>
      <c r="ANB309" s="208"/>
      <c r="ANC309" s="207"/>
      <c r="AND309" s="204"/>
      <c r="ANE309" s="35"/>
      <c r="ANF309" s="203"/>
      <c r="ANG309" s="203"/>
      <c r="ANH309" s="36"/>
      <c r="ANI309" s="36"/>
      <c r="ANJ309" s="203"/>
      <c r="ANK309" s="33"/>
      <c r="ANL309" s="33"/>
      <c r="ANM309" s="33"/>
      <c r="ANN309" s="33"/>
      <c r="ANO309" s="33"/>
      <c r="ANP309" s="33"/>
      <c r="ANQ309" s="37"/>
      <c r="ANR309" s="208"/>
      <c r="ANS309" s="207"/>
      <c r="ANT309" s="204"/>
      <c r="ANU309" s="35"/>
      <c r="ANV309" s="203"/>
      <c r="ANW309" s="203"/>
      <c r="ANX309" s="36"/>
      <c r="ANY309" s="36"/>
      <c r="ANZ309" s="203"/>
      <c r="AOA309" s="33"/>
      <c r="AOB309" s="33"/>
      <c r="AOC309" s="33"/>
      <c r="AOD309" s="33"/>
      <c r="AOE309" s="33"/>
      <c r="AOF309" s="33"/>
      <c r="AOG309" s="37"/>
      <c r="AOH309" s="208"/>
      <c r="AOI309" s="207"/>
      <c r="AOJ309" s="204"/>
      <c r="AOK309" s="35"/>
      <c r="AOL309" s="203"/>
      <c r="AOM309" s="203"/>
      <c r="AON309" s="36"/>
      <c r="AOO309" s="36"/>
      <c r="AOP309" s="203"/>
      <c r="AOQ309" s="33"/>
      <c r="AOR309" s="33"/>
      <c r="AOS309" s="33"/>
      <c r="AOT309" s="33"/>
      <c r="AOU309" s="33"/>
      <c r="AOV309" s="33"/>
      <c r="AOW309" s="37"/>
      <c r="AOX309" s="208"/>
      <c r="AOY309" s="207"/>
      <c r="AOZ309" s="204"/>
      <c r="APA309" s="35"/>
      <c r="APB309" s="203"/>
      <c r="APC309" s="203"/>
      <c r="APD309" s="36"/>
      <c r="APE309" s="36"/>
      <c r="APF309" s="203"/>
      <c r="APG309" s="33"/>
      <c r="APH309" s="33"/>
      <c r="API309" s="33"/>
      <c r="APJ309" s="33"/>
      <c r="APK309" s="33"/>
      <c r="APL309" s="33"/>
      <c r="APM309" s="37"/>
      <c r="APN309" s="208"/>
      <c r="APO309" s="207"/>
      <c r="APP309" s="204"/>
      <c r="APQ309" s="35"/>
      <c r="APR309" s="203"/>
      <c r="APS309" s="203"/>
      <c r="APT309" s="36"/>
      <c r="APU309" s="36"/>
      <c r="APV309" s="203"/>
      <c r="APW309" s="33"/>
      <c r="APX309" s="33"/>
      <c r="APY309" s="33"/>
      <c r="APZ309" s="33"/>
      <c r="AQA309" s="33"/>
      <c r="AQB309" s="33"/>
      <c r="AQC309" s="37"/>
      <c r="AQD309" s="208"/>
      <c r="AQE309" s="207"/>
      <c r="AQF309" s="204"/>
      <c r="AQG309" s="35"/>
      <c r="AQH309" s="203"/>
      <c r="AQI309" s="203"/>
      <c r="AQJ309" s="36"/>
      <c r="AQK309" s="36"/>
      <c r="AQL309" s="203"/>
      <c r="AQM309" s="33"/>
      <c r="AQN309" s="33"/>
      <c r="AQO309" s="33"/>
      <c r="AQP309" s="33"/>
      <c r="AQQ309" s="33"/>
      <c r="AQR309" s="33"/>
      <c r="AQS309" s="37"/>
      <c r="AQT309" s="208"/>
      <c r="AQU309" s="207"/>
      <c r="AQV309" s="204"/>
      <c r="AQW309" s="35"/>
      <c r="AQX309" s="203"/>
      <c r="AQY309" s="203"/>
      <c r="AQZ309" s="36"/>
      <c r="ARA309" s="36"/>
      <c r="ARB309" s="203"/>
      <c r="ARC309" s="33"/>
      <c r="ARD309" s="33"/>
      <c r="ARE309" s="33"/>
      <c r="ARF309" s="33"/>
      <c r="ARG309" s="33"/>
      <c r="ARH309" s="33"/>
      <c r="ARI309" s="37"/>
      <c r="ARJ309" s="208"/>
      <c r="ARK309" s="207"/>
      <c r="ARL309" s="204"/>
      <c r="ARM309" s="35"/>
      <c r="ARN309" s="203"/>
      <c r="ARO309" s="203"/>
      <c r="ARP309" s="36"/>
      <c r="ARQ309" s="36"/>
      <c r="ARR309" s="203"/>
      <c r="ARS309" s="33"/>
      <c r="ART309" s="33"/>
      <c r="ARU309" s="33"/>
      <c r="ARV309" s="33"/>
      <c r="ARW309" s="33"/>
      <c r="ARX309" s="33"/>
      <c r="ARY309" s="37"/>
      <c r="ARZ309" s="208"/>
      <c r="ASA309" s="207"/>
      <c r="ASB309" s="204"/>
      <c r="ASC309" s="35"/>
      <c r="ASD309" s="203"/>
      <c r="ASE309" s="203"/>
      <c r="ASF309" s="36"/>
      <c r="ASG309" s="36"/>
      <c r="ASH309" s="203"/>
      <c r="ASI309" s="33"/>
      <c r="ASJ309" s="33"/>
      <c r="ASK309" s="33"/>
      <c r="ASL309" s="33"/>
      <c r="ASM309" s="33"/>
      <c r="ASN309" s="33"/>
      <c r="ASO309" s="37"/>
      <c r="ASP309" s="208"/>
      <c r="ASQ309" s="207"/>
      <c r="ASR309" s="204"/>
      <c r="ASS309" s="35"/>
      <c r="AST309" s="203"/>
      <c r="ASU309" s="203"/>
      <c r="ASV309" s="36"/>
      <c r="ASW309" s="36"/>
      <c r="ASX309" s="203"/>
      <c r="ASY309" s="33"/>
      <c r="ASZ309" s="33"/>
      <c r="ATA309" s="33"/>
      <c r="ATB309" s="33"/>
      <c r="ATC309" s="33"/>
      <c r="ATD309" s="33"/>
      <c r="ATE309" s="37"/>
      <c r="ATF309" s="208"/>
      <c r="ATG309" s="207"/>
      <c r="ATH309" s="204"/>
      <c r="ATI309" s="35"/>
      <c r="ATJ309" s="203"/>
      <c r="ATK309" s="203"/>
      <c r="ATL309" s="36"/>
      <c r="ATM309" s="36"/>
      <c r="ATN309" s="203"/>
      <c r="ATO309" s="33"/>
      <c r="ATP309" s="33"/>
      <c r="ATQ309" s="33"/>
      <c r="ATR309" s="33"/>
      <c r="ATS309" s="33"/>
      <c r="ATT309" s="33"/>
      <c r="ATU309" s="37"/>
      <c r="ATV309" s="208"/>
      <c r="ATW309" s="207"/>
      <c r="ATX309" s="204"/>
      <c r="ATY309" s="35"/>
      <c r="ATZ309" s="203"/>
      <c r="AUA309" s="203"/>
      <c r="AUB309" s="36"/>
      <c r="AUC309" s="36"/>
      <c r="AUD309" s="203"/>
      <c r="AUE309" s="33"/>
      <c r="AUF309" s="33"/>
      <c r="AUG309" s="33"/>
      <c r="AUH309" s="33"/>
      <c r="AUI309" s="33"/>
      <c r="AUJ309" s="33"/>
      <c r="AUK309" s="37"/>
      <c r="AUL309" s="208"/>
      <c r="AUM309" s="207"/>
      <c r="AUN309" s="204"/>
      <c r="AUO309" s="35"/>
      <c r="AUP309" s="203"/>
      <c r="AUQ309" s="203"/>
      <c r="AUR309" s="36"/>
      <c r="AUS309" s="36"/>
      <c r="AUT309" s="203"/>
      <c r="AUU309" s="33"/>
      <c r="AUV309" s="33"/>
      <c r="AUW309" s="33"/>
      <c r="AUX309" s="33"/>
      <c r="AUY309" s="33"/>
      <c r="AUZ309" s="33"/>
      <c r="AVA309" s="37"/>
      <c r="AVB309" s="208"/>
      <c r="AVC309" s="207"/>
      <c r="AVD309" s="204"/>
      <c r="AVE309" s="35"/>
      <c r="AVF309" s="203"/>
      <c r="AVG309" s="203"/>
      <c r="AVH309" s="36"/>
      <c r="AVI309" s="36"/>
      <c r="AVJ309" s="203"/>
      <c r="AVK309" s="33"/>
      <c r="AVL309" s="33"/>
      <c r="AVM309" s="33"/>
      <c r="AVN309" s="33"/>
      <c r="AVO309" s="33"/>
      <c r="AVP309" s="33"/>
      <c r="AVQ309" s="37"/>
      <c r="AVR309" s="208"/>
      <c r="AVS309" s="207"/>
      <c r="AVT309" s="204"/>
      <c r="AVU309" s="35"/>
      <c r="AVV309" s="203"/>
      <c r="AVW309" s="203"/>
      <c r="AVX309" s="36"/>
      <c r="AVY309" s="36"/>
      <c r="AVZ309" s="203"/>
      <c r="AWA309" s="33"/>
      <c r="AWB309" s="33"/>
      <c r="AWC309" s="33"/>
      <c r="AWD309" s="33"/>
      <c r="AWE309" s="33"/>
      <c r="AWF309" s="33"/>
      <c r="AWG309" s="37"/>
      <c r="AWH309" s="208"/>
      <c r="AWI309" s="207"/>
      <c r="AWJ309" s="204"/>
      <c r="AWK309" s="35"/>
      <c r="AWL309" s="203"/>
      <c r="AWM309" s="203"/>
      <c r="AWN309" s="36"/>
      <c r="AWO309" s="36"/>
      <c r="AWP309" s="203"/>
      <c r="AWQ309" s="33"/>
      <c r="AWR309" s="33"/>
      <c r="AWS309" s="33"/>
      <c r="AWT309" s="33"/>
      <c r="AWU309" s="33"/>
      <c r="AWV309" s="33"/>
      <c r="AWW309" s="37"/>
      <c r="AWX309" s="208"/>
      <c r="AWY309" s="207"/>
      <c r="AWZ309" s="204"/>
      <c r="AXA309" s="35"/>
      <c r="AXB309" s="203"/>
      <c r="AXC309" s="203"/>
      <c r="AXD309" s="36"/>
      <c r="AXE309" s="36"/>
      <c r="AXF309" s="203"/>
      <c r="AXG309" s="33"/>
      <c r="AXH309" s="33"/>
      <c r="AXI309" s="33"/>
      <c r="AXJ309" s="33"/>
      <c r="AXK309" s="33"/>
      <c r="AXL309" s="33"/>
      <c r="AXM309" s="37"/>
      <c r="AXN309" s="208"/>
      <c r="AXO309" s="207"/>
      <c r="AXP309" s="204"/>
      <c r="AXQ309" s="35"/>
      <c r="AXR309" s="203"/>
      <c r="AXS309" s="203"/>
      <c r="AXT309" s="36"/>
      <c r="AXU309" s="36"/>
      <c r="AXV309" s="203"/>
      <c r="AXW309" s="33"/>
      <c r="AXX309" s="33"/>
      <c r="AXY309" s="33"/>
      <c r="AXZ309" s="33"/>
      <c r="AYA309" s="33"/>
      <c r="AYB309" s="33"/>
      <c r="AYC309" s="37"/>
      <c r="AYD309" s="208"/>
      <c r="AYE309" s="207"/>
      <c r="AYF309" s="204"/>
      <c r="AYG309" s="35"/>
      <c r="AYH309" s="203"/>
      <c r="AYI309" s="203"/>
      <c r="AYJ309" s="36"/>
      <c r="AYK309" s="36"/>
      <c r="AYL309" s="203"/>
      <c r="AYM309" s="33"/>
      <c r="AYN309" s="33"/>
      <c r="AYO309" s="33"/>
      <c r="AYP309" s="33"/>
      <c r="AYQ309" s="33"/>
      <c r="AYR309" s="33"/>
      <c r="AYS309" s="37"/>
      <c r="AYT309" s="208"/>
      <c r="AYU309" s="207"/>
      <c r="AYV309" s="204"/>
      <c r="AYW309" s="35"/>
      <c r="AYX309" s="203"/>
      <c r="AYY309" s="203"/>
      <c r="AYZ309" s="36"/>
      <c r="AZA309" s="36"/>
      <c r="AZB309" s="203"/>
      <c r="AZC309" s="33"/>
      <c r="AZD309" s="33"/>
      <c r="AZE309" s="33"/>
      <c r="AZF309" s="33"/>
      <c r="AZG309" s="33"/>
      <c r="AZH309" s="33"/>
      <c r="AZI309" s="37"/>
      <c r="AZJ309" s="208"/>
      <c r="AZK309" s="207"/>
      <c r="AZL309" s="204"/>
      <c r="AZM309" s="35"/>
      <c r="AZN309" s="203"/>
      <c r="AZO309" s="203"/>
      <c r="AZP309" s="36"/>
      <c r="AZQ309" s="36"/>
      <c r="AZR309" s="203"/>
      <c r="AZS309" s="33"/>
      <c r="AZT309" s="33"/>
      <c r="AZU309" s="33"/>
      <c r="AZV309" s="33"/>
      <c r="AZW309" s="33"/>
      <c r="AZX309" s="33"/>
      <c r="AZY309" s="37"/>
      <c r="AZZ309" s="208"/>
      <c r="BAA309" s="207"/>
      <c r="BAB309" s="204"/>
      <c r="BAC309" s="35"/>
      <c r="BAD309" s="203"/>
      <c r="BAE309" s="203"/>
      <c r="BAF309" s="36"/>
      <c r="BAG309" s="36"/>
      <c r="BAH309" s="203"/>
      <c r="BAI309" s="33"/>
      <c r="BAJ309" s="33"/>
      <c r="BAK309" s="33"/>
      <c r="BAL309" s="33"/>
      <c r="BAM309" s="33"/>
      <c r="BAN309" s="33"/>
      <c r="BAO309" s="37"/>
      <c r="BAP309" s="208"/>
      <c r="BAQ309" s="207"/>
      <c r="BAR309" s="204"/>
      <c r="BAS309" s="35"/>
      <c r="BAT309" s="203"/>
      <c r="BAU309" s="203"/>
      <c r="BAV309" s="36"/>
      <c r="BAW309" s="36"/>
      <c r="BAX309" s="203"/>
      <c r="BAY309" s="33"/>
      <c r="BAZ309" s="33"/>
      <c r="BBA309" s="33"/>
      <c r="BBB309" s="33"/>
      <c r="BBC309" s="33"/>
      <c r="BBD309" s="33"/>
      <c r="BBE309" s="37"/>
      <c r="BBF309" s="208"/>
      <c r="BBG309" s="207"/>
      <c r="BBH309" s="204"/>
      <c r="BBI309" s="35"/>
      <c r="BBJ309" s="203"/>
      <c r="BBK309" s="203"/>
      <c r="BBL309" s="36"/>
      <c r="BBM309" s="36"/>
      <c r="BBN309" s="203"/>
      <c r="BBO309" s="33"/>
      <c r="BBP309" s="33"/>
      <c r="BBQ309" s="33"/>
      <c r="BBR309" s="33"/>
      <c r="BBS309" s="33"/>
      <c r="BBT309" s="33"/>
      <c r="BBU309" s="37"/>
      <c r="BBV309" s="208"/>
      <c r="BBW309" s="207"/>
      <c r="BBX309" s="204"/>
      <c r="BBY309" s="35"/>
      <c r="BBZ309" s="203"/>
      <c r="BCA309" s="203"/>
      <c r="BCB309" s="36"/>
      <c r="BCC309" s="36"/>
      <c r="BCD309" s="203"/>
      <c r="BCE309" s="33"/>
      <c r="BCF309" s="33"/>
      <c r="BCG309" s="33"/>
      <c r="BCH309" s="33"/>
      <c r="BCI309" s="33"/>
      <c r="BCJ309" s="33"/>
      <c r="BCK309" s="37"/>
      <c r="BCL309" s="208"/>
      <c r="BCM309" s="207"/>
      <c r="BCN309" s="204"/>
      <c r="BCO309" s="35"/>
      <c r="BCP309" s="203"/>
      <c r="BCQ309" s="203"/>
      <c r="BCR309" s="36"/>
      <c r="BCS309" s="36"/>
      <c r="BCT309" s="203"/>
      <c r="BCU309" s="33"/>
      <c r="BCV309" s="33"/>
      <c r="BCW309" s="33"/>
      <c r="BCX309" s="33"/>
      <c r="BCY309" s="33"/>
      <c r="BCZ309" s="33"/>
      <c r="BDA309" s="37"/>
      <c r="BDB309" s="208"/>
      <c r="BDC309" s="207"/>
      <c r="BDD309" s="204"/>
      <c r="BDE309" s="35"/>
      <c r="BDF309" s="203"/>
      <c r="BDG309" s="203"/>
      <c r="BDH309" s="36"/>
      <c r="BDI309" s="36"/>
      <c r="BDJ309" s="203"/>
      <c r="BDK309" s="33"/>
      <c r="BDL309" s="33"/>
      <c r="BDM309" s="33"/>
      <c r="BDN309" s="33"/>
      <c r="BDO309" s="33"/>
      <c r="BDP309" s="33"/>
      <c r="BDQ309" s="37"/>
      <c r="BDR309" s="208"/>
      <c r="BDS309" s="207"/>
      <c r="BDT309" s="204"/>
      <c r="BDU309" s="35"/>
      <c r="BDV309" s="203"/>
      <c r="BDW309" s="203"/>
      <c r="BDX309" s="36"/>
      <c r="BDY309" s="36"/>
      <c r="BDZ309" s="203"/>
      <c r="BEA309" s="33"/>
      <c r="BEB309" s="33"/>
      <c r="BEC309" s="33"/>
      <c r="BED309" s="33"/>
      <c r="BEE309" s="33"/>
      <c r="BEF309" s="33"/>
      <c r="BEG309" s="37"/>
      <c r="BEH309" s="208"/>
      <c r="BEI309" s="207"/>
      <c r="BEJ309" s="204"/>
      <c r="BEK309" s="35"/>
      <c r="BEL309" s="203"/>
      <c r="BEM309" s="203"/>
      <c r="BEN309" s="36"/>
      <c r="BEO309" s="36"/>
      <c r="BEP309" s="203"/>
      <c r="BEQ309" s="33"/>
      <c r="BER309" s="33"/>
      <c r="BES309" s="33"/>
      <c r="BET309" s="33"/>
      <c r="BEU309" s="33"/>
      <c r="BEV309" s="33"/>
      <c r="BEW309" s="37"/>
      <c r="BEX309" s="208"/>
      <c r="BEY309" s="207"/>
      <c r="BEZ309" s="204"/>
      <c r="BFA309" s="35"/>
      <c r="BFB309" s="203"/>
      <c r="BFC309" s="203"/>
      <c r="BFD309" s="36"/>
      <c r="BFE309" s="36"/>
      <c r="BFF309" s="203"/>
      <c r="BFG309" s="33"/>
      <c r="BFH309" s="33"/>
      <c r="BFI309" s="33"/>
      <c r="BFJ309" s="33"/>
      <c r="BFK309" s="33"/>
      <c r="BFL309" s="33"/>
      <c r="BFM309" s="37"/>
      <c r="BFN309" s="208"/>
      <c r="BFO309" s="207"/>
      <c r="BFP309" s="204"/>
      <c r="BFQ309" s="35"/>
      <c r="BFR309" s="203"/>
      <c r="BFS309" s="203"/>
      <c r="BFT309" s="36"/>
      <c r="BFU309" s="36"/>
      <c r="BFV309" s="203"/>
      <c r="BFW309" s="33"/>
      <c r="BFX309" s="33"/>
      <c r="BFY309" s="33"/>
      <c r="BFZ309" s="33"/>
      <c r="BGA309" s="33"/>
      <c r="BGB309" s="33"/>
      <c r="BGC309" s="37"/>
      <c r="BGD309" s="208"/>
      <c r="BGE309" s="207"/>
      <c r="BGF309" s="204"/>
      <c r="BGG309" s="35"/>
      <c r="BGH309" s="203"/>
      <c r="BGI309" s="203"/>
      <c r="BGJ309" s="36"/>
      <c r="BGK309" s="36"/>
      <c r="BGL309" s="203"/>
      <c r="BGM309" s="33"/>
      <c r="BGN309" s="33"/>
      <c r="BGO309" s="33"/>
      <c r="BGP309" s="33"/>
      <c r="BGQ309" s="33"/>
      <c r="BGR309" s="33"/>
      <c r="BGS309" s="37"/>
      <c r="BGT309" s="208"/>
      <c r="BGU309" s="207"/>
      <c r="BGV309" s="204"/>
      <c r="BGW309" s="35"/>
      <c r="BGX309" s="203"/>
      <c r="BGY309" s="203"/>
      <c r="BGZ309" s="36"/>
      <c r="BHA309" s="36"/>
      <c r="BHB309" s="203"/>
      <c r="BHC309" s="33"/>
      <c r="BHD309" s="33"/>
      <c r="BHE309" s="33"/>
      <c r="BHF309" s="33"/>
      <c r="BHG309" s="33"/>
      <c r="BHH309" s="33"/>
      <c r="BHI309" s="37"/>
      <c r="BHJ309" s="208"/>
      <c r="BHK309" s="207"/>
      <c r="BHL309" s="204"/>
      <c r="BHM309" s="35"/>
      <c r="BHN309" s="203"/>
      <c r="BHO309" s="203"/>
      <c r="BHP309" s="36"/>
      <c r="BHQ309" s="36"/>
      <c r="BHR309" s="203"/>
      <c r="BHS309" s="33"/>
      <c r="BHT309" s="33"/>
      <c r="BHU309" s="33"/>
      <c r="BHV309" s="33"/>
      <c r="BHW309" s="33"/>
      <c r="BHX309" s="33"/>
      <c r="BHY309" s="37"/>
      <c r="BHZ309" s="208"/>
      <c r="BIA309" s="207"/>
      <c r="BIB309" s="204"/>
      <c r="BIC309" s="35"/>
      <c r="BID309" s="203"/>
      <c r="BIE309" s="203"/>
      <c r="BIF309" s="36"/>
      <c r="BIG309" s="36"/>
      <c r="BIH309" s="203"/>
      <c r="BII309" s="33"/>
      <c r="BIJ309" s="33"/>
      <c r="BIK309" s="33"/>
      <c r="BIL309" s="33"/>
      <c r="BIM309" s="33"/>
      <c r="BIN309" s="33"/>
      <c r="BIO309" s="37"/>
      <c r="BIP309" s="208"/>
      <c r="BIQ309" s="207"/>
      <c r="BIR309" s="204"/>
      <c r="BIS309" s="35"/>
      <c r="BIT309" s="203"/>
      <c r="BIU309" s="203"/>
      <c r="BIV309" s="36"/>
      <c r="BIW309" s="36"/>
      <c r="BIX309" s="203"/>
      <c r="BIY309" s="33"/>
      <c r="BIZ309" s="33"/>
      <c r="BJA309" s="33"/>
      <c r="BJB309" s="33"/>
      <c r="BJC309" s="33"/>
      <c r="BJD309" s="33"/>
      <c r="BJE309" s="37"/>
      <c r="BJF309" s="208"/>
      <c r="BJG309" s="207"/>
      <c r="BJH309" s="204"/>
      <c r="BJI309" s="35"/>
      <c r="BJJ309" s="203"/>
      <c r="BJK309" s="203"/>
      <c r="BJL309" s="36"/>
      <c r="BJM309" s="36"/>
      <c r="BJN309" s="203"/>
      <c r="BJO309" s="33"/>
      <c r="BJP309" s="33"/>
      <c r="BJQ309" s="33"/>
      <c r="BJR309" s="33"/>
      <c r="BJS309" s="33"/>
      <c r="BJT309" s="33"/>
      <c r="BJU309" s="37"/>
      <c r="BJV309" s="208"/>
      <c r="BJW309" s="207"/>
      <c r="BJX309" s="204"/>
      <c r="BJY309" s="35"/>
      <c r="BJZ309" s="203"/>
      <c r="BKA309" s="203"/>
      <c r="BKB309" s="36"/>
      <c r="BKC309" s="36"/>
      <c r="BKD309" s="203"/>
      <c r="BKE309" s="33"/>
      <c r="BKF309" s="33"/>
      <c r="BKG309" s="33"/>
      <c r="BKH309" s="33"/>
      <c r="BKI309" s="33"/>
      <c r="BKJ309" s="33"/>
      <c r="BKK309" s="37"/>
      <c r="BKL309" s="208"/>
      <c r="BKM309" s="207"/>
      <c r="BKN309" s="204"/>
      <c r="BKO309" s="35"/>
      <c r="BKP309" s="203"/>
      <c r="BKQ309" s="203"/>
      <c r="BKR309" s="36"/>
      <c r="BKS309" s="36"/>
      <c r="BKT309" s="203"/>
      <c r="BKU309" s="33"/>
      <c r="BKV309" s="33"/>
      <c r="BKW309" s="33"/>
      <c r="BKX309" s="33"/>
      <c r="BKY309" s="33"/>
      <c r="BKZ309" s="33"/>
      <c r="BLA309" s="37"/>
      <c r="BLB309" s="208"/>
      <c r="BLC309" s="207"/>
      <c r="BLD309" s="204"/>
      <c r="BLE309" s="35"/>
      <c r="BLF309" s="203"/>
      <c r="BLG309" s="203"/>
      <c r="BLH309" s="36"/>
      <c r="BLI309" s="36"/>
      <c r="BLJ309" s="203"/>
      <c r="BLK309" s="33"/>
      <c r="BLL309" s="33"/>
      <c r="BLM309" s="33"/>
      <c r="BLN309" s="33"/>
      <c r="BLO309" s="33"/>
      <c r="BLP309" s="33"/>
      <c r="BLQ309" s="37"/>
      <c r="BLR309" s="208"/>
      <c r="BLS309" s="207"/>
      <c r="BLT309" s="204"/>
      <c r="BLU309" s="35"/>
      <c r="BLV309" s="203"/>
      <c r="BLW309" s="203"/>
      <c r="BLX309" s="36"/>
      <c r="BLY309" s="36"/>
      <c r="BLZ309" s="203"/>
      <c r="BMA309" s="33"/>
      <c r="BMB309" s="33"/>
      <c r="BMC309" s="33"/>
      <c r="BMD309" s="33"/>
      <c r="BME309" s="33"/>
      <c r="BMF309" s="33"/>
      <c r="BMG309" s="37"/>
      <c r="BMH309" s="208"/>
      <c r="BMI309" s="207"/>
      <c r="BMJ309" s="204"/>
      <c r="BMK309" s="35"/>
      <c r="BML309" s="203"/>
      <c r="BMM309" s="203"/>
      <c r="BMN309" s="36"/>
      <c r="BMO309" s="36"/>
      <c r="BMP309" s="203"/>
      <c r="BMQ309" s="33"/>
      <c r="BMR309" s="33"/>
      <c r="BMS309" s="33"/>
      <c r="BMT309" s="33"/>
      <c r="BMU309" s="33"/>
      <c r="BMV309" s="33"/>
      <c r="BMW309" s="37"/>
      <c r="BMX309" s="208"/>
      <c r="BMY309" s="207"/>
      <c r="BMZ309" s="204"/>
      <c r="BNA309" s="35"/>
      <c r="BNB309" s="203"/>
      <c r="BNC309" s="203"/>
      <c r="BND309" s="36"/>
      <c r="BNE309" s="36"/>
      <c r="BNF309" s="203"/>
      <c r="BNG309" s="33"/>
      <c r="BNH309" s="33"/>
      <c r="BNI309" s="33"/>
      <c r="BNJ309" s="33"/>
      <c r="BNK309" s="33"/>
      <c r="BNL309" s="33"/>
      <c r="BNM309" s="37"/>
      <c r="BNN309" s="208"/>
      <c r="BNO309" s="207"/>
      <c r="BNP309" s="204"/>
      <c r="BNQ309" s="35"/>
      <c r="BNR309" s="203"/>
      <c r="BNS309" s="203"/>
      <c r="BNT309" s="36"/>
      <c r="BNU309" s="36"/>
      <c r="BNV309" s="203"/>
      <c r="BNW309" s="33"/>
      <c r="BNX309" s="33"/>
      <c r="BNY309" s="33"/>
      <c r="BNZ309" s="33"/>
      <c r="BOA309" s="33"/>
      <c r="BOB309" s="33"/>
      <c r="BOC309" s="37"/>
      <c r="BOD309" s="208"/>
      <c r="BOE309" s="207"/>
      <c r="BOF309" s="204"/>
      <c r="BOG309" s="35"/>
      <c r="BOH309" s="203"/>
      <c r="BOI309" s="203"/>
      <c r="BOJ309" s="36"/>
      <c r="BOK309" s="36"/>
      <c r="BOL309" s="203"/>
      <c r="BOM309" s="33"/>
      <c r="BON309" s="33"/>
      <c r="BOO309" s="33"/>
      <c r="BOP309" s="33"/>
      <c r="BOQ309" s="33"/>
      <c r="BOR309" s="33"/>
      <c r="BOS309" s="37"/>
      <c r="BOT309" s="208"/>
      <c r="BOU309" s="207"/>
      <c r="BOV309" s="204"/>
      <c r="BOW309" s="35"/>
      <c r="BOX309" s="203"/>
      <c r="BOY309" s="203"/>
      <c r="BOZ309" s="36"/>
      <c r="BPA309" s="36"/>
      <c r="BPB309" s="203"/>
      <c r="BPC309" s="33"/>
      <c r="BPD309" s="33"/>
      <c r="BPE309" s="33"/>
      <c r="BPF309" s="33"/>
      <c r="BPG309" s="33"/>
      <c r="BPH309" s="33"/>
      <c r="BPI309" s="37"/>
      <c r="BPJ309" s="208"/>
      <c r="BPK309" s="207"/>
      <c r="BPL309" s="204"/>
      <c r="BPM309" s="35"/>
      <c r="BPN309" s="203"/>
      <c r="BPO309" s="203"/>
      <c r="BPP309" s="36"/>
      <c r="BPQ309" s="36"/>
      <c r="BPR309" s="203"/>
      <c r="BPS309" s="33"/>
      <c r="BPT309" s="33"/>
      <c r="BPU309" s="33"/>
      <c r="BPV309" s="33"/>
      <c r="BPW309" s="33"/>
      <c r="BPX309" s="33"/>
      <c r="BPY309" s="37"/>
      <c r="BPZ309" s="208"/>
      <c r="BQA309" s="207"/>
      <c r="BQB309" s="204"/>
      <c r="BQC309" s="35"/>
      <c r="BQD309" s="203"/>
      <c r="BQE309" s="203"/>
      <c r="BQF309" s="36"/>
      <c r="BQG309" s="36"/>
      <c r="BQH309" s="203"/>
      <c r="BQI309" s="33"/>
      <c r="BQJ309" s="33"/>
      <c r="BQK309" s="33"/>
      <c r="BQL309" s="33"/>
      <c r="BQM309" s="33"/>
      <c r="BQN309" s="33"/>
      <c r="BQO309" s="37"/>
      <c r="BQP309" s="208"/>
      <c r="BQQ309" s="207"/>
      <c r="BQR309" s="204"/>
      <c r="BQS309" s="35"/>
      <c r="BQT309" s="203"/>
      <c r="BQU309" s="203"/>
      <c r="BQV309" s="36"/>
      <c r="BQW309" s="36"/>
      <c r="BQX309" s="203"/>
      <c r="BQY309" s="33"/>
      <c r="BQZ309" s="33"/>
      <c r="BRA309" s="33"/>
      <c r="BRB309" s="33"/>
      <c r="BRC309" s="33"/>
      <c r="BRD309" s="33"/>
      <c r="BRE309" s="37"/>
      <c r="BRF309" s="208"/>
      <c r="BRG309" s="207"/>
      <c r="BRH309" s="204"/>
      <c r="BRI309" s="35"/>
      <c r="BRJ309" s="203"/>
      <c r="BRK309" s="203"/>
      <c r="BRL309" s="36"/>
      <c r="BRM309" s="36"/>
      <c r="BRN309" s="203"/>
      <c r="BRO309" s="33"/>
      <c r="BRP309" s="33"/>
      <c r="BRQ309" s="33"/>
      <c r="BRR309" s="33"/>
      <c r="BRS309" s="33"/>
      <c r="BRT309" s="33"/>
      <c r="BRU309" s="37"/>
      <c r="BRV309" s="208"/>
      <c r="BRW309" s="207"/>
      <c r="BRX309" s="204"/>
      <c r="BRY309" s="35"/>
      <c r="BRZ309" s="203"/>
      <c r="BSA309" s="203"/>
      <c r="BSB309" s="36"/>
      <c r="BSC309" s="36"/>
      <c r="BSD309" s="203"/>
      <c r="BSE309" s="33"/>
      <c r="BSF309" s="33"/>
      <c r="BSG309" s="33"/>
      <c r="BSH309" s="33"/>
      <c r="BSI309" s="33"/>
      <c r="BSJ309" s="33"/>
      <c r="BSK309" s="37"/>
      <c r="BSL309" s="208"/>
      <c r="BSM309" s="207"/>
      <c r="BSN309" s="204"/>
      <c r="BSO309" s="35"/>
      <c r="BSP309" s="203"/>
      <c r="BSQ309" s="203"/>
      <c r="BSR309" s="36"/>
      <c r="BSS309" s="36"/>
      <c r="BST309" s="203"/>
      <c r="BSU309" s="33"/>
      <c r="BSV309" s="33"/>
      <c r="BSW309" s="33"/>
      <c r="BSX309" s="33"/>
      <c r="BSY309" s="33"/>
      <c r="BSZ309" s="33"/>
      <c r="BTA309" s="37"/>
      <c r="BTB309" s="208"/>
      <c r="BTC309" s="207"/>
      <c r="BTD309" s="204"/>
      <c r="BTE309" s="35"/>
      <c r="BTF309" s="203"/>
      <c r="BTG309" s="203"/>
      <c r="BTH309" s="36"/>
      <c r="BTI309" s="36"/>
      <c r="BTJ309" s="203"/>
      <c r="BTK309" s="33"/>
      <c r="BTL309" s="33"/>
      <c r="BTM309" s="33"/>
      <c r="BTN309" s="33"/>
      <c r="BTO309" s="33"/>
      <c r="BTP309" s="33"/>
      <c r="BTQ309" s="37"/>
      <c r="BTR309" s="208"/>
      <c r="BTS309" s="207"/>
      <c r="BTT309" s="204"/>
      <c r="BTU309" s="35"/>
      <c r="BTV309" s="203"/>
      <c r="BTW309" s="203"/>
      <c r="BTX309" s="36"/>
      <c r="BTY309" s="36"/>
      <c r="BTZ309" s="203"/>
      <c r="BUA309" s="33"/>
      <c r="BUB309" s="33"/>
      <c r="BUC309" s="33"/>
      <c r="BUD309" s="33"/>
      <c r="BUE309" s="33"/>
      <c r="BUF309" s="33"/>
      <c r="BUG309" s="37"/>
      <c r="BUH309" s="208"/>
      <c r="BUI309" s="207"/>
      <c r="BUJ309" s="204"/>
      <c r="BUK309" s="35"/>
      <c r="BUL309" s="203"/>
      <c r="BUM309" s="203"/>
      <c r="BUN309" s="36"/>
      <c r="BUO309" s="36"/>
      <c r="BUP309" s="203"/>
      <c r="BUQ309" s="33"/>
      <c r="BUR309" s="33"/>
      <c r="BUS309" s="33"/>
      <c r="BUT309" s="33"/>
      <c r="BUU309" s="33"/>
      <c r="BUV309" s="33"/>
      <c r="BUW309" s="37"/>
      <c r="BUX309" s="208"/>
      <c r="BUY309" s="207"/>
      <c r="BUZ309" s="204"/>
      <c r="BVA309" s="35"/>
      <c r="BVB309" s="203"/>
      <c r="BVC309" s="203"/>
      <c r="BVD309" s="36"/>
      <c r="BVE309" s="36"/>
      <c r="BVF309" s="203"/>
      <c r="BVG309" s="33"/>
      <c r="BVH309" s="33"/>
      <c r="BVI309" s="33"/>
      <c r="BVJ309" s="33"/>
      <c r="BVK309" s="33"/>
      <c r="BVL309" s="33"/>
      <c r="BVM309" s="37"/>
      <c r="BVN309" s="208"/>
      <c r="BVO309" s="207"/>
      <c r="BVP309" s="204"/>
      <c r="BVQ309" s="35"/>
      <c r="BVR309" s="203"/>
      <c r="BVS309" s="203"/>
      <c r="BVT309" s="36"/>
      <c r="BVU309" s="36"/>
      <c r="BVV309" s="203"/>
      <c r="BVW309" s="33"/>
      <c r="BVX309" s="33"/>
      <c r="BVY309" s="33"/>
      <c r="BVZ309" s="33"/>
      <c r="BWA309" s="33"/>
      <c r="BWB309" s="33"/>
      <c r="BWC309" s="37"/>
      <c r="BWD309" s="208"/>
      <c r="BWE309" s="207"/>
      <c r="BWF309" s="204"/>
      <c r="BWG309" s="35"/>
      <c r="BWH309" s="203"/>
      <c r="BWI309" s="203"/>
      <c r="BWJ309" s="36"/>
      <c r="BWK309" s="36"/>
      <c r="BWL309" s="203"/>
      <c r="BWM309" s="33"/>
      <c r="BWN309" s="33"/>
      <c r="BWO309" s="33"/>
      <c r="BWP309" s="33"/>
      <c r="BWQ309" s="33"/>
      <c r="BWR309" s="33"/>
      <c r="BWS309" s="37"/>
      <c r="BWT309" s="208"/>
      <c r="BWU309" s="207"/>
      <c r="BWV309" s="204"/>
      <c r="BWW309" s="35"/>
      <c r="BWX309" s="203"/>
      <c r="BWY309" s="203"/>
      <c r="BWZ309" s="36"/>
      <c r="BXA309" s="36"/>
      <c r="BXB309" s="203"/>
      <c r="BXC309" s="33"/>
      <c r="BXD309" s="33"/>
      <c r="BXE309" s="33"/>
      <c r="BXF309" s="33"/>
      <c r="BXG309" s="33"/>
      <c r="BXH309" s="33"/>
      <c r="BXI309" s="37"/>
      <c r="BXJ309" s="208"/>
      <c r="BXK309" s="207"/>
      <c r="BXL309" s="204"/>
      <c r="BXM309" s="35"/>
      <c r="BXN309" s="203"/>
      <c r="BXO309" s="203"/>
      <c r="BXP309" s="36"/>
      <c r="BXQ309" s="36"/>
      <c r="BXR309" s="203"/>
      <c r="BXS309" s="33"/>
      <c r="BXT309" s="33"/>
      <c r="BXU309" s="33"/>
      <c r="BXV309" s="33"/>
      <c r="BXW309" s="33"/>
      <c r="BXX309" s="33"/>
      <c r="BXY309" s="37"/>
      <c r="BXZ309" s="208"/>
      <c r="BYA309" s="207"/>
      <c r="BYB309" s="204"/>
      <c r="BYC309" s="35"/>
      <c r="BYD309" s="203"/>
      <c r="BYE309" s="203"/>
      <c r="BYF309" s="36"/>
      <c r="BYG309" s="36"/>
      <c r="BYH309" s="203"/>
      <c r="BYI309" s="33"/>
      <c r="BYJ309" s="33"/>
      <c r="BYK309" s="33"/>
      <c r="BYL309" s="33"/>
      <c r="BYM309" s="33"/>
      <c r="BYN309" s="33"/>
      <c r="BYO309" s="37"/>
      <c r="BYP309" s="208"/>
      <c r="BYQ309" s="207"/>
      <c r="BYR309" s="204"/>
      <c r="BYS309" s="35"/>
      <c r="BYT309" s="203"/>
      <c r="BYU309" s="203"/>
      <c r="BYV309" s="36"/>
      <c r="BYW309" s="36"/>
      <c r="BYX309" s="203"/>
      <c r="BYY309" s="33"/>
      <c r="BYZ309" s="33"/>
      <c r="BZA309" s="33"/>
      <c r="BZB309" s="33"/>
      <c r="BZC309" s="33"/>
      <c r="BZD309" s="33"/>
      <c r="BZE309" s="37"/>
      <c r="BZF309" s="208"/>
      <c r="BZG309" s="207"/>
      <c r="BZH309" s="204"/>
      <c r="BZI309" s="35"/>
      <c r="BZJ309" s="203"/>
      <c r="BZK309" s="203"/>
      <c r="BZL309" s="36"/>
      <c r="BZM309" s="36"/>
      <c r="BZN309" s="203"/>
      <c r="BZO309" s="33"/>
      <c r="BZP309" s="33"/>
      <c r="BZQ309" s="33"/>
      <c r="BZR309" s="33"/>
      <c r="BZS309" s="33"/>
      <c r="BZT309" s="33"/>
      <c r="BZU309" s="37"/>
      <c r="BZV309" s="208"/>
      <c r="BZW309" s="207"/>
      <c r="BZX309" s="204"/>
      <c r="BZY309" s="35"/>
      <c r="BZZ309" s="203"/>
      <c r="CAA309" s="203"/>
      <c r="CAB309" s="36"/>
      <c r="CAC309" s="36"/>
      <c r="CAD309" s="203"/>
      <c r="CAE309" s="33"/>
      <c r="CAF309" s="33"/>
      <c r="CAG309" s="33"/>
      <c r="CAH309" s="33"/>
      <c r="CAI309" s="33"/>
      <c r="CAJ309" s="33"/>
      <c r="CAK309" s="37"/>
      <c r="CAL309" s="208"/>
      <c r="CAM309" s="207"/>
      <c r="CAN309" s="204"/>
      <c r="CAO309" s="35"/>
      <c r="CAP309" s="203"/>
      <c r="CAQ309" s="203"/>
      <c r="CAR309" s="36"/>
      <c r="CAS309" s="36"/>
      <c r="CAT309" s="203"/>
      <c r="CAU309" s="33"/>
      <c r="CAV309" s="33"/>
      <c r="CAW309" s="33"/>
      <c r="CAX309" s="33"/>
      <c r="CAY309" s="33"/>
      <c r="CAZ309" s="33"/>
      <c r="CBA309" s="37"/>
      <c r="CBB309" s="208"/>
      <c r="CBC309" s="207"/>
      <c r="CBD309" s="204"/>
      <c r="CBE309" s="35"/>
      <c r="CBF309" s="203"/>
      <c r="CBG309" s="203"/>
      <c r="CBH309" s="36"/>
      <c r="CBI309" s="36"/>
      <c r="CBJ309" s="203"/>
      <c r="CBK309" s="33"/>
      <c r="CBL309" s="33"/>
      <c r="CBM309" s="33"/>
      <c r="CBN309" s="33"/>
      <c r="CBO309" s="33"/>
      <c r="CBP309" s="33"/>
      <c r="CBQ309" s="37"/>
      <c r="CBR309" s="208"/>
      <c r="CBS309" s="207"/>
      <c r="CBT309" s="204"/>
      <c r="CBU309" s="35"/>
      <c r="CBV309" s="203"/>
      <c r="CBW309" s="203"/>
      <c r="CBX309" s="36"/>
      <c r="CBY309" s="36"/>
      <c r="CBZ309" s="203"/>
      <c r="CCA309" s="33"/>
      <c r="CCB309" s="33"/>
      <c r="CCC309" s="33"/>
      <c r="CCD309" s="33"/>
      <c r="CCE309" s="33"/>
      <c r="CCF309" s="33"/>
      <c r="CCG309" s="37"/>
      <c r="CCH309" s="208"/>
      <c r="CCI309" s="207"/>
      <c r="CCJ309" s="204"/>
      <c r="CCK309" s="35"/>
      <c r="CCL309" s="203"/>
      <c r="CCM309" s="203"/>
      <c r="CCN309" s="36"/>
      <c r="CCO309" s="36"/>
      <c r="CCP309" s="203"/>
      <c r="CCQ309" s="33"/>
      <c r="CCR309" s="33"/>
      <c r="CCS309" s="33"/>
      <c r="CCT309" s="33"/>
      <c r="CCU309" s="33"/>
      <c r="CCV309" s="33"/>
      <c r="CCW309" s="37"/>
      <c r="CCX309" s="208"/>
      <c r="CCY309" s="207"/>
      <c r="CCZ309" s="204"/>
      <c r="CDA309" s="35"/>
      <c r="CDB309" s="203"/>
      <c r="CDC309" s="203"/>
      <c r="CDD309" s="36"/>
      <c r="CDE309" s="36"/>
      <c r="CDF309" s="203"/>
      <c r="CDG309" s="33"/>
      <c r="CDH309" s="33"/>
      <c r="CDI309" s="33"/>
      <c r="CDJ309" s="33"/>
      <c r="CDK309" s="33"/>
      <c r="CDL309" s="33"/>
      <c r="CDM309" s="37"/>
      <c r="CDN309" s="208"/>
      <c r="CDO309" s="207"/>
      <c r="CDP309" s="204"/>
      <c r="CDQ309" s="35"/>
      <c r="CDR309" s="203"/>
      <c r="CDS309" s="203"/>
      <c r="CDT309" s="36"/>
      <c r="CDU309" s="36"/>
      <c r="CDV309" s="203"/>
      <c r="CDW309" s="33"/>
      <c r="CDX309" s="33"/>
      <c r="CDY309" s="33"/>
      <c r="CDZ309" s="33"/>
      <c r="CEA309" s="33"/>
      <c r="CEB309" s="33"/>
      <c r="CEC309" s="37"/>
      <c r="CED309" s="208"/>
      <c r="CEE309" s="207"/>
      <c r="CEF309" s="204"/>
      <c r="CEG309" s="35"/>
      <c r="CEH309" s="203"/>
      <c r="CEI309" s="203"/>
      <c r="CEJ309" s="36"/>
      <c r="CEK309" s="36"/>
      <c r="CEL309" s="203"/>
      <c r="CEM309" s="33"/>
      <c r="CEN309" s="33"/>
      <c r="CEO309" s="33"/>
      <c r="CEP309" s="33"/>
      <c r="CEQ309" s="33"/>
      <c r="CER309" s="33"/>
      <c r="CES309" s="37"/>
      <c r="CET309" s="208"/>
      <c r="CEU309" s="207"/>
      <c r="CEV309" s="204"/>
      <c r="CEW309" s="35"/>
      <c r="CEX309" s="203"/>
      <c r="CEY309" s="203"/>
      <c r="CEZ309" s="36"/>
      <c r="CFA309" s="36"/>
      <c r="CFB309" s="203"/>
      <c r="CFC309" s="33"/>
      <c r="CFD309" s="33"/>
      <c r="CFE309" s="33"/>
      <c r="CFF309" s="33"/>
      <c r="CFG309" s="33"/>
      <c r="CFH309" s="33"/>
      <c r="CFI309" s="37"/>
      <c r="CFJ309" s="208"/>
      <c r="CFK309" s="207"/>
      <c r="CFL309" s="204"/>
      <c r="CFM309" s="35"/>
      <c r="CFN309" s="203"/>
      <c r="CFO309" s="203"/>
      <c r="CFP309" s="36"/>
      <c r="CFQ309" s="36"/>
      <c r="CFR309" s="203"/>
      <c r="CFS309" s="33"/>
      <c r="CFT309" s="33"/>
      <c r="CFU309" s="33"/>
      <c r="CFV309" s="33"/>
      <c r="CFW309" s="33"/>
      <c r="CFX309" s="33"/>
      <c r="CFY309" s="37"/>
      <c r="CFZ309" s="208"/>
      <c r="CGA309" s="207"/>
      <c r="CGB309" s="204"/>
      <c r="CGC309" s="35"/>
      <c r="CGD309" s="203"/>
      <c r="CGE309" s="203"/>
      <c r="CGF309" s="36"/>
      <c r="CGG309" s="36"/>
      <c r="CGH309" s="203"/>
      <c r="CGI309" s="33"/>
      <c r="CGJ309" s="33"/>
      <c r="CGK309" s="33"/>
      <c r="CGL309" s="33"/>
      <c r="CGM309" s="33"/>
      <c r="CGN309" s="33"/>
      <c r="CGO309" s="37"/>
      <c r="CGP309" s="208"/>
      <c r="CGQ309" s="207"/>
      <c r="CGR309" s="204"/>
      <c r="CGS309" s="35"/>
      <c r="CGT309" s="203"/>
      <c r="CGU309" s="203"/>
      <c r="CGV309" s="36"/>
      <c r="CGW309" s="36"/>
      <c r="CGX309" s="203"/>
      <c r="CGY309" s="33"/>
      <c r="CGZ309" s="33"/>
      <c r="CHA309" s="33"/>
      <c r="CHB309" s="33"/>
      <c r="CHC309" s="33"/>
      <c r="CHD309" s="33"/>
      <c r="CHE309" s="37"/>
      <c r="CHF309" s="208"/>
      <c r="CHG309" s="207"/>
      <c r="CHH309" s="204"/>
      <c r="CHI309" s="35"/>
      <c r="CHJ309" s="203"/>
      <c r="CHK309" s="203"/>
      <c r="CHL309" s="36"/>
      <c r="CHM309" s="36"/>
      <c r="CHN309" s="203"/>
      <c r="CHO309" s="33"/>
      <c r="CHP309" s="33"/>
      <c r="CHQ309" s="33"/>
      <c r="CHR309" s="33"/>
      <c r="CHS309" s="33"/>
      <c r="CHT309" s="33"/>
      <c r="CHU309" s="37"/>
      <c r="CHV309" s="208"/>
      <c r="CHW309" s="207"/>
      <c r="CHX309" s="204"/>
      <c r="CHY309" s="35"/>
      <c r="CHZ309" s="203"/>
      <c r="CIA309" s="203"/>
      <c r="CIB309" s="36"/>
      <c r="CIC309" s="36"/>
      <c r="CID309" s="203"/>
      <c r="CIE309" s="33"/>
      <c r="CIF309" s="33"/>
      <c r="CIG309" s="33"/>
      <c r="CIH309" s="33"/>
      <c r="CII309" s="33"/>
      <c r="CIJ309" s="33"/>
      <c r="CIK309" s="37"/>
      <c r="CIL309" s="208"/>
      <c r="CIM309" s="207"/>
      <c r="CIN309" s="204"/>
      <c r="CIO309" s="35"/>
      <c r="CIP309" s="203"/>
      <c r="CIQ309" s="203"/>
      <c r="CIR309" s="36"/>
      <c r="CIS309" s="36"/>
      <c r="CIT309" s="203"/>
      <c r="CIU309" s="33"/>
      <c r="CIV309" s="33"/>
      <c r="CIW309" s="33"/>
      <c r="CIX309" s="33"/>
      <c r="CIY309" s="33"/>
      <c r="CIZ309" s="33"/>
      <c r="CJA309" s="37"/>
      <c r="CJB309" s="208"/>
      <c r="CJC309" s="207"/>
      <c r="CJD309" s="204"/>
      <c r="CJE309" s="35"/>
      <c r="CJF309" s="203"/>
      <c r="CJG309" s="203"/>
      <c r="CJH309" s="36"/>
      <c r="CJI309" s="36"/>
      <c r="CJJ309" s="203"/>
      <c r="CJK309" s="33"/>
      <c r="CJL309" s="33"/>
      <c r="CJM309" s="33"/>
      <c r="CJN309" s="33"/>
      <c r="CJO309" s="33"/>
      <c r="CJP309" s="33"/>
      <c r="CJQ309" s="37"/>
      <c r="CJR309" s="208"/>
      <c r="CJS309" s="207"/>
      <c r="CJT309" s="204"/>
      <c r="CJU309" s="35"/>
      <c r="CJV309" s="203"/>
      <c r="CJW309" s="203"/>
      <c r="CJX309" s="36"/>
      <c r="CJY309" s="36"/>
      <c r="CJZ309" s="203"/>
      <c r="CKA309" s="33"/>
      <c r="CKB309" s="33"/>
      <c r="CKC309" s="33"/>
      <c r="CKD309" s="33"/>
      <c r="CKE309" s="33"/>
      <c r="CKF309" s="33"/>
      <c r="CKG309" s="37"/>
      <c r="CKH309" s="208"/>
      <c r="CKI309" s="207"/>
      <c r="CKJ309" s="204"/>
      <c r="CKK309" s="35"/>
      <c r="CKL309" s="203"/>
      <c r="CKM309" s="203"/>
      <c r="CKN309" s="36"/>
      <c r="CKO309" s="36"/>
      <c r="CKP309" s="203"/>
      <c r="CKQ309" s="33"/>
      <c r="CKR309" s="33"/>
      <c r="CKS309" s="33"/>
      <c r="CKT309" s="33"/>
      <c r="CKU309" s="33"/>
      <c r="CKV309" s="33"/>
      <c r="CKW309" s="37"/>
      <c r="CKX309" s="208"/>
      <c r="CKY309" s="207"/>
      <c r="CKZ309" s="204"/>
      <c r="CLA309" s="35"/>
      <c r="CLB309" s="203"/>
      <c r="CLC309" s="203"/>
      <c r="CLD309" s="36"/>
      <c r="CLE309" s="36"/>
      <c r="CLF309" s="203"/>
      <c r="CLG309" s="33"/>
      <c r="CLH309" s="33"/>
      <c r="CLI309" s="33"/>
      <c r="CLJ309" s="33"/>
      <c r="CLK309" s="33"/>
      <c r="CLL309" s="33"/>
      <c r="CLM309" s="37"/>
      <c r="CLN309" s="208"/>
      <c r="CLO309" s="207"/>
      <c r="CLP309" s="204"/>
      <c r="CLQ309" s="35"/>
      <c r="CLR309" s="203"/>
      <c r="CLS309" s="203"/>
      <c r="CLT309" s="36"/>
      <c r="CLU309" s="36"/>
      <c r="CLV309" s="203"/>
      <c r="CLW309" s="33"/>
      <c r="CLX309" s="33"/>
      <c r="CLY309" s="33"/>
      <c r="CLZ309" s="33"/>
      <c r="CMA309" s="33"/>
      <c r="CMB309" s="33"/>
      <c r="CMC309" s="37"/>
      <c r="CMD309" s="208"/>
      <c r="CME309" s="207"/>
      <c r="CMF309" s="204"/>
      <c r="CMG309" s="35"/>
      <c r="CMH309" s="203"/>
      <c r="CMI309" s="203"/>
      <c r="CMJ309" s="36"/>
      <c r="CMK309" s="36"/>
      <c r="CML309" s="203"/>
      <c r="CMM309" s="33"/>
      <c r="CMN309" s="33"/>
      <c r="CMO309" s="33"/>
      <c r="CMP309" s="33"/>
      <c r="CMQ309" s="33"/>
      <c r="CMR309" s="33"/>
      <c r="CMS309" s="37"/>
      <c r="CMT309" s="208"/>
      <c r="CMU309" s="207"/>
      <c r="CMV309" s="204"/>
      <c r="CMW309" s="35"/>
      <c r="CMX309" s="203"/>
      <c r="CMY309" s="203"/>
      <c r="CMZ309" s="36"/>
      <c r="CNA309" s="36"/>
      <c r="CNB309" s="203"/>
      <c r="CNC309" s="33"/>
      <c r="CND309" s="33"/>
      <c r="CNE309" s="33"/>
      <c r="CNF309" s="33"/>
      <c r="CNG309" s="33"/>
      <c r="CNH309" s="33"/>
      <c r="CNI309" s="37"/>
      <c r="CNJ309" s="208"/>
      <c r="CNK309" s="207"/>
      <c r="CNL309" s="204"/>
      <c r="CNM309" s="35"/>
      <c r="CNN309" s="203"/>
      <c r="CNO309" s="203"/>
      <c r="CNP309" s="36"/>
      <c r="CNQ309" s="36"/>
      <c r="CNR309" s="203"/>
      <c r="CNS309" s="33"/>
      <c r="CNT309" s="33"/>
      <c r="CNU309" s="33"/>
      <c r="CNV309" s="33"/>
      <c r="CNW309" s="33"/>
      <c r="CNX309" s="33"/>
      <c r="CNY309" s="37"/>
      <c r="CNZ309" s="208"/>
      <c r="COA309" s="207"/>
      <c r="COB309" s="204"/>
      <c r="COC309" s="35"/>
      <c r="COD309" s="203"/>
      <c r="COE309" s="203"/>
      <c r="COF309" s="36"/>
      <c r="COG309" s="36"/>
      <c r="COH309" s="203"/>
      <c r="COI309" s="33"/>
      <c r="COJ309" s="33"/>
      <c r="COK309" s="33"/>
      <c r="COL309" s="33"/>
      <c r="COM309" s="33"/>
      <c r="CON309" s="33"/>
      <c r="COO309" s="37"/>
      <c r="COP309" s="208"/>
      <c r="COQ309" s="207"/>
      <c r="COR309" s="204"/>
      <c r="COS309" s="35"/>
      <c r="COT309" s="203"/>
      <c r="COU309" s="203"/>
      <c r="COV309" s="36"/>
      <c r="COW309" s="36"/>
      <c r="COX309" s="203"/>
      <c r="COY309" s="33"/>
      <c r="COZ309" s="33"/>
      <c r="CPA309" s="33"/>
      <c r="CPB309" s="33"/>
      <c r="CPC309" s="33"/>
      <c r="CPD309" s="33"/>
      <c r="CPE309" s="37"/>
      <c r="CPF309" s="208"/>
      <c r="CPG309" s="207"/>
      <c r="CPH309" s="204"/>
      <c r="CPI309" s="35"/>
      <c r="CPJ309" s="203"/>
      <c r="CPK309" s="203"/>
      <c r="CPL309" s="36"/>
      <c r="CPM309" s="36"/>
      <c r="CPN309" s="203"/>
      <c r="CPO309" s="33"/>
      <c r="CPP309" s="33"/>
      <c r="CPQ309" s="33"/>
      <c r="CPR309" s="33"/>
      <c r="CPS309" s="33"/>
      <c r="CPT309" s="33"/>
      <c r="CPU309" s="37"/>
      <c r="CPV309" s="208"/>
      <c r="CPW309" s="207"/>
      <c r="CPX309" s="204"/>
      <c r="CPY309" s="35"/>
      <c r="CPZ309" s="203"/>
      <c r="CQA309" s="203"/>
      <c r="CQB309" s="36"/>
      <c r="CQC309" s="36"/>
      <c r="CQD309" s="203"/>
      <c r="CQE309" s="33"/>
      <c r="CQF309" s="33"/>
      <c r="CQG309" s="33"/>
      <c r="CQH309" s="33"/>
      <c r="CQI309" s="33"/>
      <c r="CQJ309" s="33"/>
      <c r="CQK309" s="37"/>
      <c r="CQL309" s="208"/>
      <c r="CQM309" s="207"/>
      <c r="CQN309" s="204"/>
      <c r="CQO309" s="35"/>
      <c r="CQP309" s="203"/>
      <c r="CQQ309" s="203"/>
      <c r="CQR309" s="36"/>
      <c r="CQS309" s="36"/>
      <c r="CQT309" s="203"/>
      <c r="CQU309" s="33"/>
      <c r="CQV309" s="33"/>
      <c r="CQW309" s="33"/>
      <c r="CQX309" s="33"/>
      <c r="CQY309" s="33"/>
      <c r="CQZ309" s="33"/>
      <c r="CRA309" s="37"/>
      <c r="CRB309" s="208"/>
      <c r="CRC309" s="207"/>
      <c r="CRD309" s="204"/>
      <c r="CRE309" s="35"/>
      <c r="CRF309" s="203"/>
      <c r="CRG309" s="203"/>
      <c r="CRH309" s="36"/>
      <c r="CRI309" s="36"/>
      <c r="CRJ309" s="203"/>
      <c r="CRK309" s="33"/>
      <c r="CRL309" s="33"/>
      <c r="CRM309" s="33"/>
      <c r="CRN309" s="33"/>
      <c r="CRO309" s="33"/>
      <c r="CRP309" s="33"/>
      <c r="CRQ309" s="37"/>
      <c r="CRR309" s="208"/>
      <c r="CRS309" s="207"/>
      <c r="CRT309" s="204"/>
      <c r="CRU309" s="35"/>
      <c r="CRV309" s="203"/>
      <c r="CRW309" s="203"/>
      <c r="CRX309" s="36"/>
      <c r="CRY309" s="36"/>
      <c r="CRZ309" s="203"/>
      <c r="CSA309" s="33"/>
      <c r="CSB309" s="33"/>
      <c r="CSC309" s="33"/>
      <c r="CSD309" s="33"/>
      <c r="CSE309" s="33"/>
      <c r="CSF309" s="33"/>
      <c r="CSG309" s="37"/>
      <c r="CSH309" s="208"/>
      <c r="CSI309" s="207"/>
      <c r="CSJ309" s="204"/>
      <c r="CSK309" s="35"/>
      <c r="CSL309" s="203"/>
      <c r="CSM309" s="203"/>
      <c r="CSN309" s="36"/>
      <c r="CSO309" s="36"/>
      <c r="CSP309" s="203"/>
      <c r="CSQ309" s="33"/>
      <c r="CSR309" s="33"/>
      <c r="CSS309" s="33"/>
      <c r="CST309" s="33"/>
      <c r="CSU309" s="33"/>
      <c r="CSV309" s="33"/>
      <c r="CSW309" s="37"/>
      <c r="CSX309" s="208"/>
      <c r="CSY309" s="207"/>
      <c r="CSZ309" s="204"/>
      <c r="CTA309" s="35"/>
      <c r="CTB309" s="203"/>
      <c r="CTC309" s="203"/>
      <c r="CTD309" s="36"/>
      <c r="CTE309" s="36"/>
      <c r="CTF309" s="203"/>
      <c r="CTG309" s="33"/>
      <c r="CTH309" s="33"/>
      <c r="CTI309" s="33"/>
      <c r="CTJ309" s="33"/>
      <c r="CTK309" s="33"/>
      <c r="CTL309" s="33"/>
      <c r="CTM309" s="37"/>
      <c r="CTN309" s="208"/>
      <c r="CTO309" s="207"/>
      <c r="CTP309" s="204"/>
      <c r="CTQ309" s="35"/>
      <c r="CTR309" s="203"/>
      <c r="CTS309" s="203"/>
      <c r="CTT309" s="36"/>
      <c r="CTU309" s="36"/>
      <c r="CTV309" s="203"/>
      <c r="CTW309" s="33"/>
      <c r="CTX309" s="33"/>
      <c r="CTY309" s="33"/>
      <c r="CTZ309" s="33"/>
      <c r="CUA309" s="33"/>
      <c r="CUB309" s="33"/>
      <c r="CUC309" s="37"/>
      <c r="CUD309" s="208"/>
      <c r="CUE309" s="207"/>
      <c r="CUF309" s="204"/>
      <c r="CUG309" s="35"/>
      <c r="CUH309" s="203"/>
      <c r="CUI309" s="203"/>
      <c r="CUJ309" s="36"/>
      <c r="CUK309" s="36"/>
      <c r="CUL309" s="203"/>
      <c r="CUM309" s="33"/>
      <c r="CUN309" s="33"/>
      <c r="CUO309" s="33"/>
      <c r="CUP309" s="33"/>
      <c r="CUQ309" s="33"/>
      <c r="CUR309" s="33"/>
      <c r="CUS309" s="37"/>
      <c r="CUT309" s="208"/>
      <c r="CUU309" s="207"/>
      <c r="CUV309" s="204"/>
      <c r="CUW309" s="35"/>
      <c r="CUX309" s="203"/>
      <c r="CUY309" s="203"/>
      <c r="CUZ309" s="36"/>
      <c r="CVA309" s="36"/>
      <c r="CVB309" s="203"/>
      <c r="CVC309" s="33"/>
      <c r="CVD309" s="33"/>
      <c r="CVE309" s="33"/>
      <c r="CVF309" s="33"/>
      <c r="CVG309" s="33"/>
      <c r="CVH309" s="33"/>
      <c r="CVI309" s="37"/>
      <c r="CVJ309" s="208"/>
      <c r="CVK309" s="207"/>
      <c r="CVL309" s="204"/>
      <c r="CVM309" s="35"/>
      <c r="CVN309" s="203"/>
      <c r="CVO309" s="203"/>
      <c r="CVP309" s="36"/>
      <c r="CVQ309" s="36"/>
      <c r="CVR309" s="203"/>
      <c r="CVS309" s="33"/>
      <c r="CVT309" s="33"/>
      <c r="CVU309" s="33"/>
      <c r="CVV309" s="33"/>
      <c r="CVW309" s="33"/>
      <c r="CVX309" s="33"/>
      <c r="CVY309" s="37"/>
      <c r="CVZ309" s="208"/>
      <c r="CWA309" s="207"/>
      <c r="CWB309" s="204"/>
      <c r="CWC309" s="35"/>
      <c r="CWD309" s="203"/>
      <c r="CWE309" s="203"/>
      <c r="CWF309" s="36"/>
      <c r="CWG309" s="36"/>
      <c r="CWH309" s="203"/>
      <c r="CWI309" s="33"/>
      <c r="CWJ309" s="33"/>
      <c r="CWK309" s="33"/>
      <c r="CWL309" s="33"/>
      <c r="CWM309" s="33"/>
      <c r="CWN309" s="33"/>
      <c r="CWO309" s="37"/>
      <c r="CWP309" s="208"/>
      <c r="CWQ309" s="207"/>
      <c r="CWR309" s="204"/>
      <c r="CWS309" s="35"/>
      <c r="CWT309" s="203"/>
      <c r="CWU309" s="203"/>
      <c r="CWV309" s="36"/>
      <c r="CWW309" s="36"/>
      <c r="CWX309" s="203"/>
      <c r="CWY309" s="33"/>
      <c r="CWZ309" s="33"/>
      <c r="CXA309" s="33"/>
      <c r="CXB309" s="33"/>
      <c r="CXC309" s="33"/>
      <c r="CXD309" s="33"/>
      <c r="CXE309" s="37"/>
      <c r="CXF309" s="208"/>
      <c r="CXG309" s="207"/>
      <c r="CXH309" s="204"/>
      <c r="CXI309" s="35"/>
      <c r="CXJ309" s="203"/>
      <c r="CXK309" s="203"/>
      <c r="CXL309" s="36"/>
      <c r="CXM309" s="36"/>
      <c r="CXN309" s="203"/>
      <c r="CXO309" s="33"/>
      <c r="CXP309" s="33"/>
      <c r="CXQ309" s="33"/>
      <c r="CXR309" s="33"/>
      <c r="CXS309" s="33"/>
      <c r="CXT309" s="33"/>
      <c r="CXU309" s="37"/>
      <c r="CXV309" s="208"/>
      <c r="CXW309" s="207"/>
      <c r="CXX309" s="204"/>
      <c r="CXY309" s="35"/>
      <c r="CXZ309" s="203"/>
      <c r="CYA309" s="203"/>
      <c r="CYB309" s="36"/>
      <c r="CYC309" s="36"/>
      <c r="CYD309" s="203"/>
      <c r="CYE309" s="33"/>
      <c r="CYF309" s="33"/>
      <c r="CYG309" s="33"/>
      <c r="CYH309" s="33"/>
      <c r="CYI309" s="33"/>
      <c r="CYJ309" s="33"/>
      <c r="CYK309" s="37"/>
      <c r="CYL309" s="208"/>
      <c r="CYM309" s="207"/>
      <c r="CYN309" s="204"/>
      <c r="CYO309" s="35"/>
      <c r="CYP309" s="203"/>
      <c r="CYQ309" s="203"/>
      <c r="CYR309" s="36"/>
      <c r="CYS309" s="36"/>
      <c r="CYT309" s="203"/>
      <c r="CYU309" s="33"/>
      <c r="CYV309" s="33"/>
      <c r="CYW309" s="33"/>
      <c r="CYX309" s="33"/>
      <c r="CYY309" s="33"/>
      <c r="CYZ309" s="33"/>
      <c r="CZA309" s="37"/>
      <c r="CZB309" s="208"/>
      <c r="CZC309" s="207"/>
      <c r="CZD309" s="204"/>
      <c r="CZE309" s="35"/>
      <c r="CZF309" s="203"/>
      <c r="CZG309" s="203"/>
      <c r="CZH309" s="36"/>
      <c r="CZI309" s="36"/>
      <c r="CZJ309" s="203"/>
      <c r="CZK309" s="33"/>
      <c r="CZL309" s="33"/>
      <c r="CZM309" s="33"/>
      <c r="CZN309" s="33"/>
      <c r="CZO309" s="33"/>
      <c r="CZP309" s="33"/>
      <c r="CZQ309" s="37"/>
      <c r="CZR309" s="208"/>
      <c r="CZS309" s="207"/>
      <c r="CZT309" s="204"/>
      <c r="CZU309" s="35"/>
      <c r="CZV309" s="203"/>
      <c r="CZW309" s="203"/>
      <c r="CZX309" s="36"/>
      <c r="CZY309" s="36"/>
      <c r="CZZ309" s="203"/>
      <c r="DAA309" s="33"/>
      <c r="DAB309" s="33"/>
      <c r="DAC309" s="33"/>
      <c r="DAD309" s="33"/>
      <c r="DAE309" s="33"/>
      <c r="DAF309" s="33"/>
      <c r="DAG309" s="37"/>
      <c r="DAH309" s="208"/>
      <c r="DAI309" s="207"/>
      <c r="DAJ309" s="204"/>
      <c r="DAK309" s="35"/>
      <c r="DAL309" s="203"/>
      <c r="DAM309" s="203"/>
      <c r="DAN309" s="36"/>
      <c r="DAO309" s="36"/>
      <c r="DAP309" s="203"/>
      <c r="DAQ309" s="33"/>
      <c r="DAR309" s="33"/>
      <c r="DAS309" s="33"/>
      <c r="DAT309" s="33"/>
      <c r="DAU309" s="33"/>
      <c r="DAV309" s="33"/>
      <c r="DAW309" s="37"/>
      <c r="DAX309" s="208"/>
      <c r="DAY309" s="207"/>
      <c r="DAZ309" s="204"/>
      <c r="DBA309" s="35"/>
      <c r="DBB309" s="203"/>
      <c r="DBC309" s="203"/>
      <c r="DBD309" s="36"/>
      <c r="DBE309" s="36"/>
      <c r="DBF309" s="203"/>
      <c r="DBG309" s="33"/>
      <c r="DBH309" s="33"/>
      <c r="DBI309" s="33"/>
      <c r="DBJ309" s="33"/>
      <c r="DBK309" s="33"/>
      <c r="DBL309" s="33"/>
      <c r="DBM309" s="37"/>
      <c r="DBN309" s="208"/>
      <c r="DBO309" s="207"/>
      <c r="DBP309" s="204"/>
      <c r="DBQ309" s="35"/>
      <c r="DBR309" s="203"/>
      <c r="DBS309" s="203"/>
      <c r="DBT309" s="36"/>
      <c r="DBU309" s="36"/>
      <c r="DBV309" s="203"/>
      <c r="DBW309" s="33"/>
      <c r="DBX309" s="33"/>
      <c r="DBY309" s="33"/>
      <c r="DBZ309" s="33"/>
      <c r="DCA309" s="33"/>
      <c r="DCB309" s="33"/>
      <c r="DCC309" s="37"/>
      <c r="DCD309" s="208"/>
      <c r="DCE309" s="207"/>
      <c r="DCF309" s="204"/>
      <c r="DCG309" s="35"/>
      <c r="DCH309" s="203"/>
      <c r="DCI309" s="203"/>
      <c r="DCJ309" s="36"/>
      <c r="DCK309" s="36"/>
      <c r="DCL309" s="203"/>
      <c r="DCM309" s="33"/>
      <c r="DCN309" s="33"/>
      <c r="DCO309" s="33"/>
      <c r="DCP309" s="33"/>
      <c r="DCQ309" s="33"/>
      <c r="DCR309" s="33"/>
      <c r="DCS309" s="37"/>
      <c r="DCT309" s="208"/>
      <c r="DCU309" s="207"/>
      <c r="DCV309" s="204"/>
      <c r="DCW309" s="35"/>
      <c r="DCX309" s="203"/>
      <c r="DCY309" s="203"/>
      <c r="DCZ309" s="36"/>
      <c r="DDA309" s="36"/>
      <c r="DDB309" s="203"/>
      <c r="DDC309" s="33"/>
      <c r="DDD309" s="33"/>
      <c r="DDE309" s="33"/>
      <c r="DDF309" s="33"/>
      <c r="DDG309" s="33"/>
      <c r="DDH309" s="33"/>
      <c r="DDI309" s="37"/>
      <c r="DDJ309" s="208"/>
      <c r="DDK309" s="207"/>
      <c r="DDL309" s="204"/>
      <c r="DDM309" s="35"/>
      <c r="DDN309" s="203"/>
      <c r="DDO309" s="203"/>
      <c r="DDP309" s="36"/>
      <c r="DDQ309" s="36"/>
      <c r="DDR309" s="203"/>
      <c r="DDS309" s="33"/>
      <c r="DDT309" s="33"/>
      <c r="DDU309" s="33"/>
      <c r="DDV309" s="33"/>
      <c r="DDW309" s="33"/>
      <c r="DDX309" s="33"/>
      <c r="DDY309" s="37"/>
      <c r="DDZ309" s="208"/>
      <c r="DEA309" s="207"/>
      <c r="DEB309" s="204"/>
      <c r="DEC309" s="35"/>
      <c r="DED309" s="203"/>
      <c r="DEE309" s="203"/>
      <c r="DEF309" s="36"/>
      <c r="DEG309" s="36"/>
      <c r="DEH309" s="203"/>
      <c r="DEI309" s="33"/>
      <c r="DEJ309" s="33"/>
      <c r="DEK309" s="33"/>
      <c r="DEL309" s="33"/>
      <c r="DEM309" s="33"/>
      <c r="DEN309" s="33"/>
      <c r="DEO309" s="37"/>
      <c r="DEP309" s="208"/>
      <c r="DEQ309" s="207"/>
      <c r="DER309" s="204"/>
      <c r="DES309" s="35"/>
      <c r="DET309" s="203"/>
      <c r="DEU309" s="203"/>
      <c r="DEV309" s="36"/>
      <c r="DEW309" s="36"/>
      <c r="DEX309" s="203"/>
      <c r="DEY309" s="33"/>
      <c r="DEZ309" s="33"/>
      <c r="DFA309" s="33"/>
      <c r="DFB309" s="33"/>
      <c r="DFC309" s="33"/>
      <c r="DFD309" s="33"/>
      <c r="DFE309" s="37"/>
      <c r="DFF309" s="208"/>
      <c r="DFG309" s="207"/>
      <c r="DFH309" s="204"/>
      <c r="DFI309" s="35"/>
      <c r="DFJ309" s="203"/>
      <c r="DFK309" s="203"/>
      <c r="DFL309" s="36"/>
      <c r="DFM309" s="36"/>
      <c r="DFN309" s="203"/>
      <c r="DFO309" s="33"/>
      <c r="DFP309" s="33"/>
      <c r="DFQ309" s="33"/>
      <c r="DFR309" s="33"/>
      <c r="DFS309" s="33"/>
      <c r="DFT309" s="33"/>
      <c r="DFU309" s="37"/>
      <c r="DFV309" s="208"/>
      <c r="DFW309" s="207"/>
      <c r="DFX309" s="204"/>
      <c r="DFY309" s="35"/>
      <c r="DFZ309" s="203"/>
      <c r="DGA309" s="203"/>
      <c r="DGB309" s="36"/>
      <c r="DGC309" s="36"/>
      <c r="DGD309" s="203"/>
      <c r="DGE309" s="33"/>
      <c r="DGF309" s="33"/>
      <c r="DGG309" s="33"/>
      <c r="DGH309" s="33"/>
      <c r="DGI309" s="33"/>
      <c r="DGJ309" s="33"/>
      <c r="DGK309" s="37"/>
      <c r="DGL309" s="208"/>
      <c r="DGM309" s="207"/>
      <c r="DGN309" s="204"/>
      <c r="DGO309" s="35"/>
      <c r="DGP309" s="203"/>
      <c r="DGQ309" s="203"/>
      <c r="DGR309" s="36"/>
      <c r="DGS309" s="36"/>
      <c r="DGT309" s="203"/>
      <c r="DGU309" s="33"/>
      <c r="DGV309" s="33"/>
      <c r="DGW309" s="33"/>
      <c r="DGX309" s="33"/>
      <c r="DGY309" s="33"/>
      <c r="DGZ309" s="33"/>
      <c r="DHA309" s="37"/>
      <c r="DHB309" s="208"/>
      <c r="DHC309" s="207"/>
      <c r="DHD309" s="204"/>
      <c r="DHE309" s="35"/>
      <c r="DHF309" s="203"/>
      <c r="DHG309" s="203"/>
      <c r="DHH309" s="36"/>
      <c r="DHI309" s="36"/>
      <c r="DHJ309" s="203"/>
      <c r="DHK309" s="33"/>
      <c r="DHL309" s="33"/>
      <c r="DHM309" s="33"/>
      <c r="DHN309" s="33"/>
      <c r="DHO309" s="33"/>
      <c r="DHP309" s="33"/>
      <c r="DHQ309" s="37"/>
      <c r="DHR309" s="208"/>
      <c r="DHS309" s="207"/>
      <c r="DHT309" s="204"/>
      <c r="DHU309" s="35"/>
      <c r="DHV309" s="203"/>
      <c r="DHW309" s="203"/>
      <c r="DHX309" s="36"/>
      <c r="DHY309" s="36"/>
      <c r="DHZ309" s="203"/>
      <c r="DIA309" s="33"/>
      <c r="DIB309" s="33"/>
      <c r="DIC309" s="33"/>
      <c r="DID309" s="33"/>
      <c r="DIE309" s="33"/>
      <c r="DIF309" s="33"/>
      <c r="DIG309" s="37"/>
      <c r="DIH309" s="208"/>
      <c r="DII309" s="207"/>
      <c r="DIJ309" s="204"/>
      <c r="DIK309" s="35"/>
      <c r="DIL309" s="203"/>
      <c r="DIM309" s="203"/>
      <c r="DIN309" s="36"/>
      <c r="DIO309" s="36"/>
      <c r="DIP309" s="203"/>
      <c r="DIQ309" s="33"/>
      <c r="DIR309" s="33"/>
      <c r="DIS309" s="33"/>
      <c r="DIT309" s="33"/>
      <c r="DIU309" s="33"/>
      <c r="DIV309" s="33"/>
      <c r="DIW309" s="37"/>
      <c r="DIX309" s="208"/>
      <c r="DIY309" s="207"/>
      <c r="DIZ309" s="204"/>
      <c r="DJA309" s="35"/>
      <c r="DJB309" s="203"/>
      <c r="DJC309" s="203"/>
      <c r="DJD309" s="36"/>
      <c r="DJE309" s="36"/>
      <c r="DJF309" s="203"/>
      <c r="DJG309" s="33"/>
      <c r="DJH309" s="33"/>
      <c r="DJI309" s="33"/>
      <c r="DJJ309" s="33"/>
      <c r="DJK309" s="33"/>
      <c r="DJL309" s="33"/>
      <c r="DJM309" s="37"/>
      <c r="DJN309" s="208"/>
      <c r="DJO309" s="207"/>
      <c r="DJP309" s="204"/>
      <c r="DJQ309" s="35"/>
      <c r="DJR309" s="203"/>
      <c r="DJS309" s="203"/>
      <c r="DJT309" s="36"/>
      <c r="DJU309" s="36"/>
      <c r="DJV309" s="203"/>
      <c r="DJW309" s="33"/>
      <c r="DJX309" s="33"/>
      <c r="DJY309" s="33"/>
      <c r="DJZ309" s="33"/>
      <c r="DKA309" s="33"/>
      <c r="DKB309" s="33"/>
      <c r="DKC309" s="37"/>
      <c r="DKD309" s="208"/>
      <c r="DKE309" s="207"/>
      <c r="DKF309" s="204"/>
      <c r="DKG309" s="35"/>
      <c r="DKH309" s="203"/>
      <c r="DKI309" s="203"/>
      <c r="DKJ309" s="36"/>
      <c r="DKK309" s="36"/>
      <c r="DKL309" s="203"/>
      <c r="DKM309" s="33"/>
      <c r="DKN309" s="33"/>
      <c r="DKO309" s="33"/>
      <c r="DKP309" s="33"/>
      <c r="DKQ309" s="33"/>
      <c r="DKR309" s="33"/>
      <c r="DKS309" s="37"/>
      <c r="DKT309" s="208"/>
      <c r="DKU309" s="207"/>
      <c r="DKV309" s="204"/>
      <c r="DKW309" s="35"/>
      <c r="DKX309" s="203"/>
      <c r="DKY309" s="203"/>
      <c r="DKZ309" s="36"/>
      <c r="DLA309" s="36"/>
      <c r="DLB309" s="203"/>
      <c r="DLC309" s="33"/>
      <c r="DLD309" s="33"/>
      <c r="DLE309" s="33"/>
      <c r="DLF309" s="33"/>
      <c r="DLG309" s="33"/>
      <c r="DLH309" s="33"/>
      <c r="DLI309" s="37"/>
      <c r="DLJ309" s="208"/>
      <c r="DLK309" s="207"/>
      <c r="DLL309" s="204"/>
      <c r="DLM309" s="35"/>
      <c r="DLN309" s="203"/>
      <c r="DLO309" s="203"/>
      <c r="DLP309" s="36"/>
      <c r="DLQ309" s="36"/>
      <c r="DLR309" s="203"/>
      <c r="DLS309" s="33"/>
      <c r="DLT309" s="33"/>
      <c r="DLU309" s="33"/>
      <c r="DLV309" s="33"/>
      <c r="DLW309" s="33"/>
      <c r="DLX309" s="33"/>
      <c r="DLY309" s="37"/>
      <c r="DLZ309" s="208"/>
      <c r="DMA309" s="207"/>
      <c r="DMB309" s="204"/>
      <c r="DMC309" s="35"/>
      <c r="DMD309" s="203"/>
      <c r="DME309" s="203"/>
      <c r="DMF309" s="36"/>
      <c r="DMG309" s="36"/>
      <c r="DMH309" s="203"/>
      <c r="DMI309" s="33"/>
      <c r="DMJ309" s="33"/>
      <c r="DMK309" s="33"/>
      <c r="DML309" s="33"/>
      <c r="DMM309" s="33"/>
      <c r="DMN309" s="33"/>
      <c r="DMO309" s="37"/>
      <c r="DMP309" s="208"/>
      <c r="DMQ309" s="207"/>
      <c r="DMR309" s="204"/>
      <c r="DMS309" s="35"/>
      <c r="DMT309" s="203"/>
      <c r="DMU309" s="203"/>
      <c r="DMV309" s="36"/>
      <c r="DMW309" s="36"/>
      <c r="DMX309" s="203"/>
      <c r="DMY309" s="33"/>
      <c r="DMZ309" s="33"/>
      <c r="DNA309" s="33"/>
      <c r="DNB309" s="33"/>
      <c r="DNC309" s="33"/>
      <c r="DND309" s="33"/>
      <c r="DNE309" s="37"/>
      <c r="DNF309" s="208"/>
      <c r="DNG309" s="207"/>
      <c r="DNH309" s="204"/>
      <c r="DNI309" s="35"/>
      <c r="DNJ309" s="203"/>
      <c r="DNK309" s="203"/>
      <c r="DNL309" s="36"/>
      <c r="DNM309" s="36"/>
      <c r="DNN309" s="203"/>
      <c r="DNO309" s="33"/>
      <c r="DNP309" s="33"/>
      <c r="DNQ309" s="33"/>
      <c r="DNR309" s="33"/>
      <c r="DNS309" s="33"/>
      <c r="DNT309" s="33"/>
      <c r="DNU309" s="37"/>
      <c r="DNV309" s="208"/>
      <c r="DNW309" s="207"/>
      <c r="DNX309" s="204"/>
      <c r="DNY309" s="35"/>
      <c r="DNZ309" s="203"/>
      <c r="DOA309" s="203"/>
      <c r="DOB309" s="36"/>
      <c r="DOC309" s="36"/>
      <c r="DOD309" s="203"/>
      <c r="DOE309" s="33"/>
      <c r="DOF309" s="33"/>
      <c r="DOG309" s="33"/>
      <c r="DOH309" s="33"/>
      <c r="DOI309" s="33"/>
      <c r="DOJ309" s="33"/>
      <c r="DOK309" s="37"/>
      <c r="DOL309" s="208"/>
      <c r="DOM309" s="207"/>
      <c r="DON309" s="204"/>
      <c r="DOO309" s="35"/>
      <c r="DOP309" s="203"/>
      <c r="DOQ309" s="203"/>
      <c r="DOR309" s="36"/>
      <c r="DOS309" s="36"/>
      <c r="DOT309" s="203"/>
      <c r="DOU309" s="33"/>
      <c r="DOV309" s="33"/>
      <c r="DOW309" s="33"/>
      <c r="DOX309" s="33"/>
      <c r="DOY309" s="33"/>
      <c r="DOZ309" s="33"/>
      <c r="DPA309" s="37"/>
      <c r="DPB309" s="208"/>
      <c r="DPC309" s="207"/>
      <c r="DPD309" s="204"/>
      <c r="DPE309" s="35"/>
      <c r="DPF309" s="203"/>
      <c r="DPG309" s="203"/>
      <c r="DPH309" s="36"/>
      <c r="DPI309" s="36"/>
      <c r="DPJ309" s="203"/>
      <c r="DPK309" s="33"/>
      <c r="DPL309" s="33"/>
      <c r="DPM309" s="33"/>
      <c r="DPN309" s="33"/>
      <c r="DPO309" s="33"/>
      <c r="DPP309" s="33"/>
      <c r="DPQ309" s="37"/>
      <c r="DPR309" s="208"/>
      <c r="DPS309" s="207"/>
      <c r="DPT309" s="204"/>
      <c r="DPU309" s="35"/>
      <c r="DPV309" s="203"/>
      <c r="DPW309" s="203"/>
      <c r="DPX309" s="36"/>
      <c r="DPY309" s="36"/>
      <c r="DPZ309" s="203"/>
      <c r="DQA309" s="33"/>
      <c r="DQB309" s="33"/>
      <c r="DQC309" s="33"/>
      <c r="DQD309" s="33"/>
      <c r="DQE309" s="33"/>
      <c r="DQF309" s="33"/>
      <c r="DQG309" s="37"/>
      <c r="DQH309" s="208"/>
      <c r="DQI309" s="207"/>
      <c r="DQJ309" s="204"/>
      <c r="DQK309" s="35"/>
      <c r="DQL309" s="203"/>
      <c r="DQM309" s="203"/>
      <c r="DQN309" s="36"/>
      <c r="DQO309" s="36"/>
      <c r="DQP309" s="203"/>
      <c r="DQQ309" s="33"/>
      <c r="DQR309" s="33"/>
      <c r="DQS309" s="33"/>
      <c r="DQT309" s="33"/>
      <c r="DQU309" s="33"/>
      <c r="DQV309" s="33"/>
      <c r="DQW309" s="37"/>
      <c r="DQX309" s="208"/>
      <c r="DQY309" s="207"/>
      <c r="DQZ309" s="204"/>
      <c r="DRA309" s="35"/>
      <c r="DRB309" s="203"/>
      <c r="DRC309" s="203"/>
      <c r="DRD309" s="36"/>
      <c r="DRE309" s="36"/>
      <c r="DRF309" s="203"/>
      <c r="DRG309" s="33"/>
      <c r="DRH309" s="33"/>
      <c r="DRI309" s="33"/>
      <c r="DRJ309" s="33"/>
      <c r="DRK309" s="33"/>
      <c r="DRL309" s="33"/>
      <c r="DRM309" s="37"/>
      <c r="DRN309" s="208"/>
      <c r="DRO309" s="207"/>
      <c r="DRP309" s="204"/>
      <c r="DRQ309" s="35"/>
      <c r="DRR309" s="203"/>
      <c r="DRS309" s="203"/>
      <c r="DRT309" s="36"/>
      <c r="DRU309" s="36"/>
      <c r="DRV309" s="203"/>
      <c r="DRW309" s="33"/>
      <c r="DRX309" s="33"/>
      <c r="DRY309" s="33"/>
      <c r="DRZ309" s="33"/>
      <c r="DSA309" s="33"/>
      <c r="DSB309" s="33"/>
      <c r="DSC309" s="37"/>
      <c r="DSD309" s="208"/>
      <c r="DSE309" s="207"/>
      <c r="DSF309" s="204"/>
      <c r="DSG309" s="35"/>
      <c r="DSH309" s="203"/>
      <c r="DSI309" s="203"/>
      <c r="DSJ309" s="36"/>
      <c r="DSK309" s="36"/>
      <c r="DSL309" s="203"/>
      <c r="DSM309" s="33"/>
      <c r="DSN309" s="33"/>
      <c r="DSO309" s="33"/>
      <c r="DSP309" s="33"/>
      <c r="DSQ309" s="33"/>
      <c r="DSR309" s="33"/>
      <c r="DSS309" s="37"/>
      <c r="DST309" s="208"/>
      <c r="DSU309" s="207"/>
      <c r="DSV309" s="204"/>
      <c r="DSW309" s="35"/>
      <c r="DSX309" s="203"/>
      <c r="DSY309" s="203"/>
      <c r="DSZ309" s="36"/>
      <c r="DTA309" s="36"/>
      <c r="DTB309" s="203"/>
      <c r="DTC309" s="33"/>
      <c r="DTD309" s="33"/>
      <c r="DTE309" s="33"/>
      <c r="DTF309" s="33"/>
      <c r="DTG309" s="33"/>
      <c r="DTH309" s="33"/>
      <c r="DTI309" s="37"/>
      <c r="DTJ309" s="208"/>
      <c r="DTK309" s="207"/>
      <c r="DTL309" s="204"/>
      <c r="DTM309" s="35"/>
      <c r="DTN309" s="203"/>
      <c r="DTO309" s="203"/>
      <c r="DTP309" s="36"/>
      <c r="DTQ309" s="36"/>
      <c r="DTR309" s="203"/>
      <c r="DTS309" s="33"/>
      <c r="DTT309" s="33"/>
      <c r="DTU309" s="33"/>
      <c r="DTV309" s="33"/>
      <c r="DTW309" s="33"/>
      <c r="DTX309" s="33"/>
      <c r="DTY309" s="37"/>
      <c r="DTZ309" s="208"/>
      <c r="DUA309" s="207"/>
      <c r="DUB309" s="204"/>
      <c r="DUC309" s="35"/>
      <c r="DUD309" s="203"/>
      <c r="DUE309" s="203"/>
      <c r="DUF309" s="36"/>
      <c r="DUG309" s="36"/>
      <c r="DUH309" s="203"/>
      <c r="DUI309" s="33"/>
      <c r="DUJ309" s="33"/>
      <c r="DUK309" s="33"/>
      <c r="DUL309" s="33"/>
      <c r="DUM309" s="33"/>
      <c r="DUN309" s="33"/>
      <c r="DUO309" s="37"/>
      <c r="DUP309" s="208"/>
      <c r="DUQ309" s="207"/>
      <c r="DUR309" s="204"/>
      <c r="DUS309" s="35"/>
      <c r="DUT309" s="203"/>
      <c r="DUU309" s="203"/>
      <c r="DUV309" s="36"/>
      <c r="DUW309" s="36"/>
      <c r="DUX309" s="203"/>
      <c r="DUY309" s="33"/>
      <c r="DUZ309" s="33"/>
      <c r="DVA309" s="33"/>
      <c r="DVB309" s="33"/>
      <c r="DVC309" s="33"/>
      <c r="DVD309" s="33"/>
      <c r="DVE309" s="37"/>
      <c r="DVF309" s="208"/>
      <c r="DVG309" s="207"/>
      <c r="DVH309" s="204"/>
      <c r="DVI309" s="35"/>
      <c r="DVJ309" s="203"/>
      <c r="DVK309" s="203"/>
      <c r="DVL309" s="36"/>
      <c r="DVM309" s="36"/>
      <c r="DVN309" s="203"/>
      <c r="DVO309" s="33"/>
      <c r="DVP309" s="33"/>
      <c r="DVQ309" s="33"/>
      <c r="DVR309" s="33"/>
      <c r="DVS309" s="33"/>
      <c r="DVT309" s="33"/>
      <c r="DVU309" s="37"/>
      <c r="DVV309" s="208"/>
      <c r="DVW309" s="207"/>
      <c r="DVX309" s="204"/>
      <c r="DVY309" s="35"/>
      <c r="DVZ309" s="203"/>
      <c r="DWA309" s="203"/>
      <c r="DWB309" s="36"/>
      <c r="DWC309" s="36"/>
      <c r="DWD309" s="203"/>
      <c r="DWE309" s="33"/>
      <c r="DWF309" s="33"/>
      <c r="DWG309" s="33"/>
      <c r="DWH309" s="33"/>
      <c r="DWI309" s="33"/>
      <c r="DWJ309" s="33"/>
      <c r="DWK309" s="37"/>
      <c r="DWL309" s="208"/>
      <c r="DWM309" s="207"/>
      <c r="DWN309" s="204"/>
      <c r="DWO309" s="35"/>
      <c r="DWP309" s="203"/>
      <c r="DWQ309" s="203"/>
      <c r="DWR309" s="36"/>
      <c r="DWS309" s="36"/>
      <c r="DWT309" s="203"/>
      <c r="DWU309" s="33"/>
      <c r="DWV309" s="33"/>
      <c r="DWW309" s="33"/>
      <c r="DWX309" s="33"/>
      <c r="DWY309" s="33"/>
      <c r="DWZ309" s="33"/>
      <c r="DXA309" s="37"/>
      <c r="DXB309" s="208"/>
      <c r="DXC309" s="207"/>
      <c r="DXD309" s="204"/>
      <c r="DXE309" s="35"/>
      <c r="DXF309" s="203"/>
      <c r="DXG309" s="203"/>
      <c r="DXH309" s="36"/>
      <c r="DXI309" s="36"/>
      <c r="DXJ309" s="203"/>
      <c r="DXK309" s="33"/>
      <c r="DXL309" s="33"/>
      <c r="DXM309" s="33"/>
      <c r="DXN309" s="33"/>
      <c r="DXO309" s="33"/>
      <c r="DXP309" s="33"/>
      <c r="DXQ309" s="37"/>
      <c r="DXR309" s="208"/>
      <c r="DXS309" s="207"/>
      <c r="DXT309" s="204"/>
      <c r="DXU309" s="35"/>
      <c r="DXV309" s="203"/>
      <c r="DXW309" s="203"/>
      <c r="DXX309" s="36"/>
      <c r="DXY309" s="36"/>
      <c r="DXZ309" s="203"/>
      <c r="DYA309" s="33"/>
      <c r="DYB309" s="33"/>
      <c r="DYC309" s="33"/>
      <c r="DYD309" s="33"/>
      <c r="DYE309" s="33"/>
      <c r="DYF309" s="33"/>
      <c r="DYG309" s="37"/>
      <c r="DYH309" s="208"/>
      <c r="DYI309" s="207"/>
      <c r="DYJ309" s="204"/>
      <c r="DYK309" s="35"/>
      <c r="DYL309" s="203"/>
      <c r="DYM309" s="203"/>
      <c r="DYN309" s="36"/>
      <c r="DYO309" s="36"/>
      <c r="DYP309" s="203"/>
      <c r="DYQ309" s="33"/>
      <c r="DYR309" s="33"/>
      <c r="DYS309" s="33"/>
      <c r="DYT309" s="33"/>
      <c r="DYU309" s="33"/>
      <c r="DYV309" s="33"/>
      <c r="DYW309" s="37"/>
      <c r="DYX309" s="208"/>
      <c r="DYY309" s="207"/>
      <c r="DYZ309" s="204"/>
      <c r="DZA309" s="35"/>
      <c r="DZB309" s="203"/>
      <c r="DZC309" s="203"/>
      <c r="DZD309" s="36"/>
      <c r="DZE309" s="36"/>
      <c r="DZF309" s="203"/>
      <c r="DZG309" s="33"/>
      <c r="DZH309" s="33"/>
      <c r="DZI309" s="33"/>
      <c r="DZJ309" s="33"/>
      <c r="DZK309" s="33"/>
      <c r="DZL309" s="33"/>
      <c r="DZM309" s="37"/>
      <c r="DZN309" s="208"/>
      <c r="DZO309" s="207"/>
      <c r="DZP309" s="204"/>
      <c r="DZQ309" s="35"/>
      <c r="DZR309" s="203"/>
      <c r="DZS309" s="203"/>
      <c r="DZT309" s="36"/>
      <c r="DZU309" s="36"/>
      <c r="DZV309" s="203"/>
      <c r="DZW309" s="33"/>
      <c r="DZX309" s="33"/>
      <c r="DZY309" s="33"/>
      <c r="DZZ309" s="33"/>
      <c r="EAA309" s="33"/>
      <c r="EAB309" s="33"/>
      <c r="EAC309" s="37"/>
      <c r="EAD309" s="208"/>
      <c r="EAE309" s="207"/>
      <c r="EAF309" s="204"/>
      <c r="EAG309" s="35"/>
      <c r="EAH309" s="203"/>
      <c r="EAI309" s="203"/>
      <c r="EAJ309" s="36"/>
      <c r="EAK309" s="36"/>
      <c r="EAL309" s="203"/>
      <c r="EAM309" s="33"/>
      <c r="EAN309" s="33"/>
      <c r="EAO309" s="33"/>
      <c r="EAP309" s="33"/>
      <c r="EAQ309" s="33"/>
      <c r="EAR309" s="33"/>
      <c r="EAS309" s="37"/>
      <c r="EAT309" s="208"/>
      <c r="EAU309" s="207"/>
      <c r="EAV309" s="204"/>
      <c r="EAW309" s="35"/>
      <c r="EAX309" s="203"/>
      <c r="EAY309" s="203"/>
      <c r="EAZ309" s="36"/>
      <c r="EBA309" s="36"/>
      <c r="EBB309" s="203"/>
      <c r="EBC309" s="33"/>
      <c r="EBD309" s="33"/>
      <c r="EBE309" s="33"/>
      <c r="EBF309" s="33"/>
      <c r="EBG309" s="33"/>
      <c r="EBH309" s="33"/>
      <c r="EBI309" s="37"/>
      <c r="EBJ309" s="208"/>
      <c r="EBK309" s="207"/>
      <c r="EBL309" s="204"/>
      <c r="EBM309" s="35"/>
      <c r="EBN309" s="203"/>
      <c r="EBO309" s="203"/>
      <c r="EBP309" s="36"/>
      <c r="EBQ309" s="36"/>
      <c r="EBR309" s="203"/>
      <c r="EBS309" s="33"/>
      <c r="EBT309" s="33"/>
      <c r="EBU309" s="33"/>
      <c r="EBV309" s="33"/>
      <c r="EBW309" s="33"/>
      <c r="EBX309" s="33"/>
      <c r="EBY309" s="37"/>
      <c r="EBZ309" s="208"/>
      <c r="ECA309" s="207"/>
      <c r="ECB309" s="204"/>
      <c r="ECC309" s="35"/>
      <c r="ECD309" s="203"/>
      <c r="ECE309" s="203"/>
      <c r="ECF309" s="36"/>
      <c r="ECG309" s="36"/>
      <c r="ECH309" s="203"/>
      <c r="ECI309" s="33"/>
      <c r="ECJ309" s="33"/>
      <c r="ECK309" s="33"/>
      <c r="ECL309" s="33"/>
      <c r="ECM309" s="33"/>
      <c r="ECN309" s="33"/>
      <c r="ECO309" s="37"/>
      <c r="ECP309" s="208"/>
      <c r="ECQ309" s="207"/>
      <c r="ECR309" s="204"/>
      <c r="ECS309" s="35"/>
      <c r="ECT309" s="203"/>
      <c r="ECU309" s="203"/>
      <c r="ECV309" s="36"/>
      <c r="ECW309" s="36"/>
      <c r="ECX309" s="203"/>
      <c r="ECY309" s="33"/>
      <c r="ECZ309" s="33"/>
      <c r="EDA309" s="33"/>
      <c r="EDB309" s="33"/>
      <c r="EDC309" s="33"/>
      <c r="EDD309" s="33"/>
      <c r="EDE309" s="37"/>
      <c r="EDF309" s="208"/>
      <c r="EDG309" s="207"/>
      <c r="EDH309" s="204"/>
      <c r="EDI309" s="35"/>
      <c r="EDJ309" s="203"/>
      <c r="EDK309" s="203"/>
      <c r="EDL309" s="36"/>
      <c r="EDM309" s="36"/>
      <c r="EDN309" s="203"/>
      <c r="EDO309" s="33"/>
      <c r="EDP309" s="33"/>
      <c r="EDQ309" s="33"/>
      <c r="EDR309" s="33"/>
      <c r="EDS309" s="33"/>
      <c r="EDT309" s="33"/>
      <c r="EDU309" s="37"/>
      <c r="EDV309" s="208"/>
      <c r="EDW309" s="207"/>
      <c r="EDX309" s="204"/>
      <c r="EDY309" s="35"/>
      <c r="EDZ309" s="203"/>
      <c r="EEA309" s="203"/>
      <c r="EEB309" s="36"/>
      <c r="EEC309" s="36"/>
      <c r="EED309" s="203"/>
      <c r="EEE309" s="33"/>
      <c r="EEF309" s="33"/>
      <c r="EEG309" s="33"/>
      <c r="EEH309" s="33"/>
      <c r="EEI309" s="33"/>
      <c r="EEJ309" s="33"/>
      <c r="EEK309" s="37"/>
      <c r="EEL309" s="208"/>
      <c r="EEM309" s="207"/>
      <c r="EEN309" s="204"/>
      <c r="EEO309" s="35"/>
      <c r="EEP309" s="203"/>
      <c r="EEQ309" s="203"/>
      <c r="EER309" s="36"/>
      <c r="EES309" s="36"/>
      <c r="EET309" s="203"/>
      <c r="EEU309" s="33"/>
      <c r="EEV309" s="33"/>
      <c r="EEW309" s="33"/>
      <c r="EEX309" s="33"/>
      <c r="EEY309" s="33"/>
      <c r="EEZ309" s="33"/>
      <c r="EFA309" s="37"/>
      <c r="EFB309" s="208"/>
      <c r="EFC309" s="207"/>
      <c r="EFD309" s="204"/>
      <c r="EFE309" s="35"/>
      <c r="EFF309" s="203"/>
      <c r="EFG309" s="203"/>
      <c r="EFH309" s="36"/>
      <c r="EFI309" s="36"/>
      <c r="EFJ309" s="203"/>
      <c r="EFK309" s="33"/>
      <c r="EFL309" s="33"/>
      <c r="EFM309" s="33"/>
      <c r="EFN309" s="33"/>
      <c r="EFO309" s="33"/>
      <c r="EFP309" s="33"/>
      <c r="EFQ309" s="37"/>
      <c r="EFR309" s="208"/>
      <c r="EFS309" s="207"/>
      <c r="EFT309" s="204"/>
      <c r="EFU309" s="35"/>
      <c r="EFV309" s="203"/>
      <c r="EFW309" s="203"/>
      <c r="EFX309" s="36"/>
      <c r="EFY309" s="36"/>
      <c r="EFZ309" s="203"/>
      <c r="EGA309" s="33"/>
      <c r="EGB309" s="33"/>
      <c r="EGC309" s="33"/>
      <c r="EGD309" s="33"/>
      <c r="EGE309" s="33"/>
      <c r="EGF309" s="33"/>
      <c r="EGG309" s="37"/>
      <c r="EGH309" s="208"/>
      <c r="EGI309" s="207"/>
      <c r="EGJ309" s="204"/>
      <c r="EGK309" s="35"/>
      <c r="EGL309" s="203"/>
      <c r="EGM309" s="203"/>
      <c r="EGN309" s="36"/>
      <c r="EGO309" s="36"/>
      <c r="EGP309" s="203"/>
      <c r="EGQ309" s="33"/>
      <c r="EGR309" s="33"/>
      <c r="EGS309" s="33"/>
      <c r="EGT309" s="33"/>
      <c r="EGU309" s="33"/>
      <c r="EGV309" s="33"/>
      <c r="EGW309" s="37"/>
      <c r="EGX309" s="208"/>
      <c r="EGY309" s="207"/>
      <c r="EGZ309" s="204"/>
      <c r="EHA309" s="35"/>
      <c r="EHB309" s="203"/>
      <c r="EHC309" s="203"/>
      <c r="EHD309" s="36"/>
      <c r="EHE309" s="36"/>
      <c r="EHF309" s="203"/>
      <c r="EHG309" s="33"/>
      <c r="EHH309" s="33"/>
      <c r="EHI309" s="33"/>
      <c r="EHJ309" s="33"/>
      <c r="EHK309" s="33"/>
      <c r="EHL309" s="33"/>
      <c r="EHM309" s="37"/>
      <c r="EHN309" s="208"/>
      <c r="EHO309" s="207"/>
      <c r="EHP309" s="204"/>
      <c r="EHQ309" s="35"/>
      <c r="EHR309" s="203"/>
      <c r="EHS309" s="203"/>
      <c r="EHT309" s="36"/>
      <c r="EHU309" s="36"/>
      <c r="EHV309" s="203"/>
      <c r="EHW309" s="33"/>
      <c r="EHX309" s="33"/>
      <c r="EHY309" s="33"/>
      <c r="EHZ309" s="33"/>
      <c r="EIA309" s="33"/>
      <c r="EIB309" s="33"/>
      <c r="EIC309" s="37"/>
      <c r="EID309" s="208"/>
      <c r="EIE309" s="207"/>
      <c r="EIF309" s="204"/>
      <c r="EIG309" s="35"/>
      <c r="EIH309" s="203"/>
      <c r="EII309" s="203"/>
      <c r="EIJ309" s="36"/>
      <c r="EIK309" s="36"/>
      <c r="EIL309" s="203"/>
      <c r="EIM309" s="33"/>
      <c r="EIN309" s="33"/>
      <c r="EIO309" s="33"/>
      <c r="EIP309" s="33"/>
      <c r="EIQ309" s="33"/>
      <c r="EIR309" s="33"/>
      <c r="EIS309" s="37"/>
      <c r="EIT309" s="208"/>
      <c r="EIU309" s="207"/>
      <c r="EIV309" s="204"/>
      <c r="EIW309" s="35"/>
      <c r="EIX309" s="203"/>
      <c r="EIY309" s="203"/>
      <c r="EIZ309" s="36"/>
      <c r="EJA309" s="36"/>
      <c r="EJB309" s="203"/>
      <c r="EJC309" s="33"/>
      <c r="EJD309" s="33"/>
      <c r="EJE309" s="33"/>
      <c r="EJF309" s="33"/>
      <c r="EJG309" s="33"/>
      <c r="EJH309" s="33"/>
      <c r="EJI309" s="37"/>
      <c r="EJJ309" s="208"/>
      <c r="EJK309" s="207"/>
      <c r="EJL309" s="204"/>
      <c r="EJM309" s="35"/>
      <c r="EJN309" s="203"/>
      <c r="EJO309" s="203"/>
      <c r="EJP309" s="36"/>
      <c r="EJQ309" s="36"/>
      <c r="EJR309" s="203"/>
      <c r="EJS309" s="33"/>
      <c r="EJT309" s="33"/>
      <c r="EJU309" s="33"/>
      <c r="EJV309" s="33"/>
      <c r="EJW309" s="33"/>
      <c r="EJX309" s="33"/>
      <c r="EJY309" s="37"/>
      <c r="EJZ309" s="208"/>
      <c r="EKA309" s="207"/>
      <c r="EKB309" s="204"/>
      <c r="EKC309" s="35"/>
      <c r="EKD309" s="203"/>
      <c r="EKE309" s="203"/>
      <c r="EKF309" s="36"/>
      <c r="EKG309" s="36"/>
      <c r="EKH309" s="203"/>
      <c r="EKI309" s="33"/>
      <c r="EKJ309" s="33"/>
      <c r="EKK309" s="33"/>
      <c r="EKL309" s="33"/>
      <c r="EKM309" s="33"/>
      <c r="EKN309" s="33"/>
      <c r="EKO309" s="37"/>
      <c r="EKP309" s="208"/>
      <c r="EKQ309" s="207"/>
      <c r="EKR309" s="204"/>
      <c r="EKS309" s="35"/>
      <c r="EKT309" s="203"/>
      <c r="EKU309" s="203"/>
      <c r="EKV309" s="36"/>
      <c r="EKW309" s="36"/>
      <c r="EKX309" s="203"/>
      <c r="EKY309" s="33"/>
      <c r="EKZ309" s="33"/>
      <c r="ELA309" s="33"/>
      <c r="ELB309" s="33"/>
      <c r="ELC309" s="33"/>
      <c r="ELD309" s="33"/>
      <c r="ELE309" s="37"/>
      <c r="ELF309" s="208"/>
      <c r="ELG309" s="207"/>
      <c r="ELH309" s="204"/>
      <c r="ELI309" s="35"/>
      <c r="ELJ309" s="203"/>
      <c r="ELK309" s="203"/>
      <c r="ELL309" s="36"/>
      <c r="ELM309" s="36"/>
      <c r="ELN309" s="203"/>
      <c r="ELO309" s="33"/>
      <c r="ELP309" s="33"/>
      <c r="ELQ309" s="33"/>
      <c r="ELR309" s="33"/>
      <c r="ELS309" s="33"/>
      <c r="ELT309" s="33"/>
      <c r="ELU309" s="37"/>
      <c r="ELV309" s="208"/>
      <c r="ELW309" s="207"/>
      <c r="ELX309" s="204"/>
      <c r="ELY309" s="35"/>
      <c r="ELZ309" s="203"/>
      <c r="EMA309" s="203"/>
      <c r="EMB309" s="36"/>
      <c r="EMC309" s="36"/>
      <c r="EMD309" s="203"/>
      <c r="EME309" s="33"/>
      <c r="EMF309" s="33"/>
      <c r="EMG309" s="33"/>
      <c r="EMH309" s="33"/>
      <c r="EMI309" s="33"/>
      <c r="EMJ309" s="33"/>
      <c r="EMK309" s="37"/>
      <c r="EML309" s="208"/>
      <c r="EMM309" s="207"/>
      <c r="EMN309" s="204"/>
      <c r="EMO309" s="35"/>
      <c r="EMP309" s="203"/>
      <c r="EMQ309" s="203"/>
      <c r="EMR309" s="36"/>
      <c r="EMS309" s="36"/>
      <c r="EMT309" s="203"/>
      <c r="EMU309" s="33"/>
      <c r="EMV309" s="33"/>
      <c r="EMW309" s="33"/>
      <c r="EMX309" s="33"/>
      <c r="EMY309" s="33"/>
      <c r="EMZ309" s="33"/>
      <c r="ENA309" s="37"/>
      <c r="ENB309" s="208"/>
      <c r="ENC309" s="207"/>
      <c r="END309" s="204"/>
      <c r="ENE309" s="35"/>
      <c r="ENF309" s="203"/>
      <c r="ENG309" s="203"/>
      <c r="ENH309" s="36"/>
      <c r="ENI309" s="36"/>
      <c r="ENJ309" s="203"/>
      <c r="ENK309" s="33"/>
      <c r="ENL309" s="33"/>
      <c r="ENM309" s="33"/>
      <c r="ENN309" s="33"/>
      <c r="ENO309" s="33"/>
      <c r="ENP309" s="33"/>
      <c r="ENQ309" s="37"/>
      <c r="ENR309" s="208"/>
      <c r="ENS309" s="207"/>
      <c r="ENT309" s="204"/>
      <c r="ENU309" s="35"/>
      <c r="ENV309" s="203"/>
      <c r="ENW309" s="203"/>
      <c r="ENX309" s="36"/>
      <c r="ENY309" s="36"/>
      <c r="ENZ309" s="203"/>
      <c r="EOA309" s="33"/>
      <c r="EOB309" s="33"/>
      <c r="EOC309" s="33"/>
      <c r="EOD309" s="33"/>
      <c r="EOE309" s="33"/>
      <c r="EOF309" s="33"/>
      <c r="EOG309" s="37"/>
      <c r="EOH309" s="208"/>
      <c r="EOI309" s="207"/>
      <c r="EOJ309" s="204"/>
      <c r="EOK309" s="35"/>
      <c r="EOL309" s="203"/>
      <c r="EOM309" s="203"/>
      <c r="EON309" s="36"/>
      <c r="EOO309" s="36"/>
      <c r="EOP309" s="203"/>
      <c r="EOQ309" s="33"/>
      <c r="EOR309" s="33"/>
      <c r="EOS309" s="33"/>
      <c r="EOT309" s="33"/>
      <c r="EOU309" s="33"/>
      <c r="EOV309" s="33"/>
      <c r="EOW309" s="37"/>
      <c r="EOX309" s="208"/>
      <c r="EOY309" s="207"/>
      <c r="EOZ309" s="204"/>
      <c r="EPA309" s="35"/>
      <c r="EPB309" s="203"/>
      <c r="EPC309" s="203"/>
      <c r="EPD309" s="36"/>
      <c r="EPE309" s="36"/>
      <c r="EPF309" s="203"/>
      <c r="EPG309" s="33"/>
      <c r="EPH309" s="33"/>
      <c r="EPI309" s="33"/>
      <c r="EPJ309" s="33"/>
      <c r="EPK309" s="33"/>
      <c r="EPL309" s="33"/>
      <c r="EPM309" s="37"/>
      <c r="EPN309" s="208"/>
      <c r="EPO309" s="207"/>
      <c r="EPP309" s="204"/>
      <c r="EPQ309" s="35"/>
      <c r="EPR309" s="203"/>
      <c r="EPS309" s="203"/>
      <c r="EPT309" s="36"/>
      <c r="EPU309" s="36"/>
      <c r="EPV309" s="203"/>
      <c r="EPW309" s="33"/>
      <c r="EPX309" s="33"/>
      <c r="EPY309" s="33"/>
      <c r="EPZ309" s="33"/>
      <c r="EQA309" s="33"/>
      <c r="EQB309" s="33"/>
      <c r="EQC309" s="37"/>
      <c r="EQD309" s="208"/>
      <c r="EQE309" s="207"/>
      <c r="EQF309" s="204"/>
      <c r="EQG309" s="35"/>
      <c r="EQH309" s="203"/>
      <c r="EQI309" s="203"/>
      <c r="EQJ309" s="36"/>
      <c r="EQK309" s="36"/>
      <c r="EQL309" s="203"/>
      <c r="EQM309" s="33"/>
      <c r="EQN309" s="33"/>
      <c r="EQO309" s="33"/>
      <c r="EQP309" s="33"/>
      <c r="EQQ309" s="33"/>
      <c r="EQR309" s="33"/>
      <c r="EQS309" s="37"/>
      <c r="EQT309" s="208"/>
      <c r="EQU309" s="207"/>
      <c r="EQV309" s="204"/>
      <c r="EQW309" s="35"/>
      <c r="EQX309" s="203"/>
      <c r="EQY309" s="203"/>
      <c r="EQZ309" s="36"/>
      <c r="ERA309" s="36"/>
      <c r="ERB309" s="203"/>
      <c r="ERC309" s="33"/>
      <c r="ERD309" s="33"/>
      <c r="ERE309" s="33"/>
      <c r="ERF309" s="33"/>
      <c r="ERG309" s="33"/>
      <c r="ERH309" s="33"/>
      <c r="ERI309" s="37"/>
      <c r="ERJ309" s="208"/>
      <c r="ERK309" s="207"/>
      <c r="ERL309" s="204"/>
      <c r="ERM309" s="35"/>
      <c r="ERN309" s="203"/>
      <c r="ERO309" s="203"/>
      <c r="ERP309" s="36"/>
      <c r="ERQ309" s="36"/>
      <c r="ERR309" s="203"/>
      <c r="ERS309" s="33"/>
      <c r="ERT309" s="33"/>
      <c r="ERU309" s="33"/>
      <c r="ERV309" s="33"/>
      <c r="ERW309" s="33"/>
      <c r="ERX309" s="33"/>
      <c r="ERY309" s="37"/>
      <c r="ERZ309" s="208"/>
      <c r="ESA309" s="207"/>
      <c r="ESB309" s="204"/>
      <c r="ESC309" s="35"/>
      <c r="ESD309" s="203"/>
      <c r="ESE309" s="203"/>
      <c r="ESF309" s="36"/>
      <c r="ESG309" s="36"/>
      <c r="ESH309" s="203"/>
      <c r="ESI309" s="33"/>
      <c r="ESJ309" s="33"/>
      <c r="ESK309" s="33"/>
      <c r="ESL309" s="33"/>
      <c r="ESM309" s="33"/>
      <c r="ESN309" s="33"/>
      <c r="ESO309" s="37"/>
      <c r="ESP309" s="208"/>
      <c r="ESQ309" s="207"/>
      <c r="ESR309" s="204"/>
      <c r="ESS309" s="35"/>
      <c r="EST309" s="203"/>
      <c r="ESU309" s="203"/>
      <c r="ESV309" s="36"/>
      <c r="ESW309" s="36"/>
      <c r="ESX309" s="203"/>
      <c r="ESY309" s="33"/>
      <c r="ESZ309" s="33"/>
      <c r="ETA309" s="33"/>
      <c r="ETB309" s="33"/>
      <c r="ETC309" s="33"/>
      <c r="ETD309" s="33"/>
      <c r="ETE309" s="37"/>
      <c r="ETF309" s="208"/>
      <c r="ETG309" s="207"/>
      <c r="ETH309" s="204"/>
      <c r="ETI309" s="35"/>
      <c r="ETJ309" s="203"/>
      <c r="ETK309" s="203"/>
      <c r="ETL309" s="36"/>
      <c r="ETM309" s="36"/>
      <c r="ETN309" s="203"/>
      <c r="ETO309" s="33"/>
      <c r="ETP309" s="33"/>
      <c r="ETQ309" s="33"/>
      <c r="ETR309" s="33"/>
      <c r="ETS309" s="33"/>
      <c r="ETT309" s="33"/>
      <c r="ETU309" s="37"/>
      <c r="ETV309" s="208"/>
      <c r="ETW309" s="207"/>
      <c r="ETX309" s="204"/>
      <c r="ETY309" s="35"/>
      <c r="ETZ309" s="203"/>
      <c r="EUA309" s="203"/>
      <c r="EUB309" s="36"/>
      <c r="EUC309" s="36"/>
      <c r="EUD309" s="203"/>
      <c r="EUE309" s="33"/>
      <c r="EUF309" s="33"/>
      <c r="EUG309" s="33"/>
      <c r="EUH309" s="33"/>
      <c r="EUI309" s="33"/>
      <c r="EUJ309" s="33"/>
      <c r="EUK309" s="37"/>
      <c r="EUL309" s="208"/>
      <c r="EUM309" s="207"/>
      <c r="EUN309" s="204"/>
      <c r="EUO309" s="35"/>
      <c r="EUP309" s="203"/>
      <c r="EUQ309" s="203"/>
      <c r="EUR309" s="36"/>
      <c r="EUS309" s="36"/>
      <c r="EUT309" s="203"/>
      <c r="EUU309" s="33"/>
      <c r="EUV309" s="33"/>
      <c r="EUW309" s="33"/>
      <c r="EUX309" s="33"/>
      <c r="EUY309" s="33"/>
      <c r="EUZ309" s="33"/>
      <c r="EVA309" s="37"/>
      <c r="EVB309" s="208"/>
      <c r="EVC309" s="207"/>
      <c r="EVD309" s="204"/>
      <c r="EVE309" s="35"/>
      <c r="EVF309" s="203"/>
      <c r="EVG309" s="203"/>
      <c r="EVH309" s="36"/>
      <c r="EVI309" s="36"/>
      <c r="EVJ309" s="203"/>
      <c r="EVK309" s="33"/>
      <c r="EVL309" s="33"/>
      <c r="EVM309" s="33"/>
      <c r="EVN309" s="33"/>
      <c r="EVO309" s="33"/>
      <c r="EVP309" s="33"/>
      <c r="EVQ309" s="37"/>
      <c r="EVR309" s="208"/>
      <c r="EVS309" s="207"/>
      <c r="EVT309" s="204"/>
      <c r="EVU309" s="35"/>
      <c r="EVV309" s="203"/>
      <c r="EVW309" s="203"/>
      <c r="EVX309" s="36"/>
      <c r="EVY309" s="36"/>
      <c r="EVZ309" s="203"/>
      <c r="EWA309" s="33"/>
      <c r="EWB309" s="33"/>
      <c r="EWC309" s="33"/>
      <c r="EWD309" s="33"/>
      <c r="EWE309" s="33"/>
      <c r="EWF309" s="33"/>
      <c r="EWG309" s="37"/>
      <c r="EWH309" s="208"/>
      <c r="EWI309" s="207"/>
      <c r="EWJ309" s="204"/>
      <c r="EWK309" s="35"/>
      <c r="EWL309" s="203"/>
      <c r="EWM309" s="203"/>
      <c r="EWN309" s="36"/>
      <c r="EWO309" s="36"/>
      <c r="EWP309" s="203"/>
      <c r="EWQ309" s="33"/>
      <c r="EWR309" s="33"/>
      <c r="EWS309" s="33"/>
      <c r="EWT309" s="33"/>
      <c r="EWU309" s="33"/>
      <c r="EWV309" s="33"/>
      <c r="EWW309" s="37"/>
      <c r="EWX309" s="208"/>
      <c r="EWY309" s="207"/>
      <c r="EWZ309" s="204"/>
      <c r="EXA309" s="35"/>
      <c r="EXB309" s="203"/>
      <c r="EXC309" s="203"/>
      <c r="EXD309" s="36"/>
      <c r="EXE309" s="36"/>
      <c r="EXF309" s="203"/>
      <c r="EXG309" s="33"/>
      <c r="EXH309" s="33"/>
      <c r="EXI309" s="33"/>
      <c r="EXJ309" s="33"/>
      <c r="EXK309" s="33"/>
      <c r="EXL309" s="33"/>
      <c r="EXM309" s="37"/>
      <c r="EXN309" s="208"/>
      <c r="EXO309" s="207"/>
      <c r="EXP309" s="204"/>
      <c r="EXQ309" s="35"/>
      <c r="EXR309" s="203"/>
      <c r="EXS309" s="203"/>
      <c r="EXT309" s="36"/>
      <c r="EXU309" s="36"/>
      <c r="EXV309" s="203"/>
      <c r="EXW309" s="33"/>
      <c r="EXX309" s="33"/>
      <c r="EXY309" s="33"/>
      <c r="EXZ309" s="33"/>
      <c r="EYA309" s="33"/>
      <c r="EYB309" s="33"/>
      <c r="EYC309" s="37"/>
      <c r="EYD309" s="208"/>
      <c r="EYE309" s="207"/>
      <c r="EYF309" s="204"/>
      <c r="EYG309" s="35"/>
      <c r="EYH309" s="203"/>
      <c r="EYI309" s="203"/>
      <c r="EYJ309" s="36"/>
      <c r="EYK309" s="36"/>
      <c r="EYL309" s="203"/>
      <c r="EYM309" s="33"/>
      <c r="EYN309" s="33"/>
      <c r="EYO309" s="33"/>
      <c r="EYP309" s="33"/>
      <c r="EYQ309" s="33"/>
      <c r="EYR309" s="33"/>
      <c r="EYS309" s="37"/>
      <c r="EYT309" s="208"/>
      <c r="EYU309" s="207"/>
      <c r="EYV309" s="204"/>
      <c r="EYW309" s="35"/>
      <c r="EYX309" s="203"/>
      <c r="EYY309" s="203"/>
      <c r="EYZ309" s="36"/>
      <c r="EZA309" s="36"/>
      <c r="EZB309" s="203"/>
      <c r="EZC309" s="33"/>
      <c r="EZD309" s="33"/>
      <c r="EZE309" s="33"/>
      <c r="EZF309" s="33"/>
      <c r="EZG309" s="33"/>
      <c r="EZH309" s="33"/>
      <c r="EZI309" s="37"/>
      <c r="EZJ309" s="208"/>
      <c r="EZK309" s="207"/>
      <c r="EZL309" s="204"/>
      <c r="EZM309" s="35"/>
      <c r="EZN309" s="203"/>
      <c r="EZO309" s="203"/>
      <c r="EZP309" s="36"/>
      <c r="EZQ309" s="36"/>
      <c r="EZR309" s="203"/>
      <c r="EZS309" s="33"/>
      <c r="EZT309" s="33"/>
      <c r="EZU309" s="33"/>
      <c r="EZV309" s="33"/>
      <c r="EZW309" s="33"/>
      <c r="EZX309" s="33"/>
      <c r="EZY309" s="37"/>
      <c r="EZZ309" s="208"/>
      <c r="FAA309" s="207"/>
      <c r="FAB309" s="204"/>
      <c r="FAC309" s="35"/>
      <c r="FAD309" s="203"/>
      <c r="FAE309" s="203"/>
      <c r="FAF309" s="36"/>
      <c r="FAG309" s="36"/>
      <c r="FAH309" s="203"/>
      <c r="FAI309" s="33"/>
      <c r="FAJ309" s="33"/>
      <c r="FAK309" s="33"/>
      <c r="FAL309" s="33"/>
      <c r="FAM309" s="33"/>
      <c r="FAN309" s="33"/>
      <c r="FAO309" s="37"/>
      <c r="FAP309" s="208"/>
      <c r="FAQ309" s="207"/>
      <c r="FAR309" s="204"/>
      <c r="FAS309" s="35"/>
      <c r="FAT309" s="203"/>
      <c r="FAU309" s="203"/>
      <c r="FAV309" s="36"/>
      <c r="FAW309" s="36"/>
      <c r="FAX309" s="203"/>
      <c r="FAY309" s="33"/>
      <c r="FAZ309" s="33"/>
      <c r="FBA309" s="33"/>
      <c r="FBB309" s="33"/>
      <c r="FBC309" s="33"/>
      <c r="FBD309" s="33"/>
      <c r="FBE309" s="37"/>
      <c r="FBF309" s="208"/>
      <c r="FBG309" s="207"/>
      <c r="FBH309" s="204"/>
      <c r="FBI309" s="35"/>
      <c r="FBJ309" s="203"/>
      <c r="FBK309" s="203"/>
      <c r="FBL309" s="36"/>
      <c r="FBM309" s="36"/>
      <c r="FBN309" s="203"/>
      <c r="FBO309" s="33"/>
      <c r="FBP309" s="33"/>
      <c r="FBQ309" s="33"/>
      <c r="FBR309" s="33"/>
      <c r="FBS309" s="33"/>
      <c r="FBT309" s="33"/>
      <c r="FBU309" s="37"/>
      <c r="FBV309" s="208"/>
      <c r="FBW309" s="207"/>
      <c r="FBX309" s="204"/>
      <c r="FBY309" s="35"/>
      <c r="FBZ309" s="203"/>
      <c r="FCA309" s="203"/>
      <c r="FCB309" s="36"/>
      <c r="FCC309" s="36"/>
      <c r="FCD309" s="203"/>
      <c r="FCE309" s="33"/>
      <c r="FCF309" s="33"/>
      <c r="FCG309" s="33"/>
      <c r="FCH309" s="33"/>
      <c r="FCI309" s="33"/>
      <c r="FCJ309" s="33"/>
      <c r="FCK309" s="37"/>
      <c r="FCL309" s="208"/>
      <c r="FCM309" s="207"/>
      <c r="FCN309" s="204"/>
      <c r="FCO309" s="35"/>
      <c r="FCP309" s="203"/>
      <c r="FCQ309" s="203"/>
      <c r="FCR309" s="36"/>
      <c r="FCS309" s="36"/>
      <c r="FCT309" s="203"/>
      <c r="FCU309" s="33"/>
      <c r="FCV309" s="33"/>
      <c r="FCW309" s="33"/>
      <c r="FCX309" s="33"/>
      <c r="FCY309" s="33"/>
      <c r="FCZ309" s="33"/>
      <c r="FDA309" s="37"/>
      <c r="FDB309" s="208"/>
      <c r="FDC309" s="207"/>
      <c r="FDD309" s="204"/>
      <c r="FDE309" s="35"/>
      <c r="FDF309" s="203"/>
      <c r="FDG309" s="203"/>
      <c r="FDH309" s="36"/>
      <c r="FDI309" s="36"/>
      <c r="FDJ309" s="203"/>
      <c r="FDK309" s="33"/>
      <c r="FDL309" s="33"/>
      <c r="FDM309" s="33"/>
      <c r="FDN309" s="33"/>
      <c r="FDO309" s="33"/>
      <c r="FDP309" s="33"/>
      <c r="FDQ309" s="37"/>
      <c r="FDR309" s="208"/>
      <c r="FDS309" s="207"/>
      <c r="FDT309" s="204"/>
      <c r="FDU309" s="35"/>
      <c r="FDV309" s="203"/>
      <c r="FDW309" s="203"/>
      <c r="FDX309" s="36"/>
      <c r="FDY309" s="36"/>
      <c r="FDZ309" s="203"/>
      <c r="FEA309" s="33"/>
      <c r="FEB309" s="33"/>
      <c r="FEC309" s="33"/>
      <c r="FED309" s="33"/>
      <c r="FEE309" s="33"/>
      <c r="FEF309" s="33"/>
      <c r="FEG309" s="37"/>
      <c r="FEH309" s="208"/>
      <c r="FEI309" s="207"/>
      <c r="FEJ309" s="204"/>
      <c r="FEK309" s="35"/>
      <c r="FEL309" s="203"/>
      <c r="FEM309" s="203"/>
      <c r="FEN309" s="36"/>
      <c r="FEO309" s="36"/>
      <c r="FEP309" s="203"/>
      <c r="FEQ309" s="33"/>
      <c r="FER309" s="33"/>
      <c r="FES309" s="33"/>
      <c r="FET309" s="33"/>
      <c r="FEU309" s="33"/>
      <c r="FEV309" s="33"/>
      <c r="FEW309" s="37"/>
      <c r="FEX309" s="208"/>
      <c r="FEY309" s="207"/>
      <c r="FEZ309" s="204"/>
      <c r="FFA309" s="35"/>
      <c r="FFB309" s="203"/>
      <c r="FFC309" s="203"/>
      <c r="FFD309" s="36"/>
      <c r="FFE309" s="36"/>
      <c r="FFF309" s="203"/>
      <c r="FFG309" s="33"/>
      <c r="FFH309" s="33"/>
      <c r="FFI309" s="33"/>
      <c r="FFJ309" s="33"/>
      <c r="FFK309" s="33"/>
      <c r="FFL309" s="33"/>
      <c r="FFM309" s="37"/>
      <c r="FFN309" s="208"/>
      <c r="FFO309" s="207"/>
      <c r="FFP309" s="204"/>
      <c r="FFQ309" s="35"/>
      <c r="FFR309" s="203"/>
      <c r="FFS309" s="203"/>
      <c r="FFT309" s="36"/>
      <c r="FFU309" s="36"/>
      <c r="FFV309" s="203"/>
      <c r="FFW309" s="33"/>
      <c r="FFX309" s="33"/>
      <c r="FFY309" s="33"/>
      <c r="FFZ309" s="33"/>
      <c r="FGA309" s="33"/>
      <c r="FGB309" s="33"/>
      <c r="FGC309" s="37"/>
      <c r="FGD309" s="208"/>
      <c r="FGE309" s="207"/>
      <c r="FGF309" s="204"/>
      <c r="FGG309" s="35"/>
      <c r="FGH309" s="203"/>
      <c r="FGI309" s="203"/>
      <c r="FGJ309" s="36"/>
      <c r="FGK309" s="36"/>
      <c r="FGL309" s="203"/>
      <c r="FGM309" s="33"/>
      <c r="FGN309" s="33"/>
      <c r="FGO309" s="33"/>
      <c r="FGP309" s="33"/>
      <c r="FGQ309" s="33"/>
      <c r="FGR309" s="33"/>
      <c r="FGS309" s="37"/>
      <c r="FGT309" s="208"/>
      <c r="FGU309" s="207"/>
      <c r="FGV309" s="204"/>
      <c r="FGW309" s="35"/>
      <c r="FGX309" s="203"/>
      <c r="FGY309" s="203"/>
      <c r="FGZ309" s="36"/>
      <c r="FHA309" s="36"/>
      <c r="FHB309" s="203"/>
      <c r="FHC309" s="33"/>
      <c r="FHD309" s="33"/>
      <c r="FHE309" s="33"/>
      <c r="FHF309" s="33"/>
      <c r="FHG309" s="33"/>
      <c r="FHH309" s="33"/>
      <c r="FHI309" s="37"/>
      <c r="FHJ309" s="208"/>
      <c r="FHK309" s="207"/>
      <c r="FHL309" s="204"/>
      <c r="FHM309" s="35"/>
      <c r="FHN309" s="203"/>
      <c r="FHO309" s="203"/>
      <c r="FHP309" s="36"/>
      <c r="FHQ309" s="36"/>
      <c r="FHR309" s="203"/>
      <c r="FHS309" s="33"/>
      <c r="FHT309" s="33"/>
      <c r="FHU309" s="33"/>
      <c r="FHV309" s="33"/>
      <c r="FHW309" s="33"/>
      <c r="FHX309" s="33"/>
      <c r="FHY309" s="37"/>
      <c r="FHZ309" s="208"/>
      <c r="FIA309" s="207"/>
      <c r="FIB309" s="204"/>
      <c r="FIC309" s="35"/>
      <c r="FID309" s="203"/>
      <c r="FIE309" s="203"/>
      <c r="FIF309" s="36"/>
      <c r="FIG309" s="36"/>
      <c r="FIH309" s="203"/>
      <c r="FII309" s="33"/>
      <c r="FIJ309" s="33"/>
      <c r="FIK309" s="33"/>
      <c r="FIL309" s="33"/>
      <c r="FIM309" s="33"/>
      <c r="FIN309" s="33"/>
      <c r="FIO309" s="37"/>
      <c r="FIP309" s="208"/>
      <c r="FIQ309" s="207"/>
      <c r="FIR309" s="204"/>
      <c r="FIS309" s="35"/>
      <c r="FIT309" s="203"/>
      <c r="FIU309" s="203"/>
      <c r="FIV309" s="36"/>
      <c r="FIW309" s="36"/>
      <c r="FIX309" s="203"/>
      <c r="FIY309" s="33"/>
      <c r="FIZ309" s="33"/>
      <c r="FJA309" s="33"/>
      <c r="FJB309" s="33"/>
      <c r="FJC309" s="33"/>
      <c r="FJD309" s="33"/>
      <c r="FJE309" s="37"/>
      <c r="FJF309" s="208"/>
      <c r="FJG309" s="207"/>
      <c r="FJH309" s="204"/>
      <c r="FJI309" s="35"/>
      <c r="FJJ309" s="203"/>
      <c r="FJK309" s="203"/>
      <c r="FJL309" s="36"/>
      <c r="FJM309" s="36"/>
      <c r="FJN309" s="203"/>
      <c r="FJO309" s="33"/>
      <c r="FJP309" s="33"/>
      <c r="FJQ309" s="33"/>
      <c r="FJR309" s="33"/>
      <c r="FJS309" s="33"/>
      <c r="FJT309" s="33"/>
      <c r="FJU309" s="37"/>
      <c r="FJV309" s="208"/>
      <c r="FJW309" s="207"/>
      <c r="FJX309" s="204"/>
      <c r="FJY309" s="35"/>
      <c r="FJZ309" s="203"/>
      <c r="FKA309" s="203"/>
      <c r="FKB309" s="36"/>
      <c r="FKC309" s="36"/>
      <c r="FKD309" s="203"/>
      <c r="FKE309" s="33"/>
      <c r="FKF309" s="33"/>
      <c r="FKG309" s="33"/>
      <c r="FKH309" s="33"/>
      <c r="FKI309" s="33"/>
      <c r="FKJ309" s="33"/>
      <c r="FKK309" s="37"/>
      <c r="FKL309" s="208"/>
      <c r="FKM309" s="207"/>
      <c r="FKN309" s="204"/>
      <c r="FKO309" s="35"/>
      <c r="FKP309" s="203"/>
      <c r="FKQ309" s="203"/>
      <c r="FKR309" s="36"/>
      <c r="FKS309" s="36"/>
      <c r="FKT309" s="203"/>
      <c r="FKU309" s="33"/>
      <c r="FKV309" s="33"/>
      <c r="FKW309" s="33"/>
      <c r="FKX309" s="33"/>
      <c r="FKY309" s="33"/>
      <c r="FKZ309" s="33"/>
      <c r="FLA309" s="37"/>
      <c r="FLB309" s="208"/>
      <c r="FLC309" s="207"/>
      <c r="FLD309" s="204"/>
      <c r="FLE309" s="35"/>
      <c r="FLF309" s="203"/>
      <c r="FLG309" s="203"/>
      <c r="FLH309" s="36"/>
      <c r="FLI309" s="36"/>
      <c r="FLJ309" s="203"/>
      <c r="FLK309" s="33"/>
      <c r="FLL309" s="33"/>
      <c r="FLM309" s="33"/>
      <c r="FLN309" s="33"/>
      <c r="FLO309" s="33"/>
      <c r="FLP309" s="33"/>
      <c r="FLQ309" s="37"/>
      <c r="FLR309" s="208"/>
      <c r="FLS309" s="207"/>
      <c r="FLT309" s="204"/>
      <c r="FLU309" s="35"/>
      <c r="FLV309" s="203"/>
      <c r="FLW309" s="203"/>
      <c r="FLX309" s="36"/>
      <c r="FLY309" s="36"/>
      <c r="FLZ309" s="203"/>
      <c r="FMA309" s="33"/>
      <c r="FMB309" s="33"/>
      <c r="FMC309" s="33"/>
      <c r="FMD309" s="33"/>
      <c r="FME309" s="33"/>
      <c r="FMF309" s="33"/>
      <c r="FMG309" s="37"/>
      <c r="FMH309" s="208"/>
      <c r="FMI309" s="207"/>
      <c r="FMJ309" s="204"/>
      <c r="FMK309" s="35"/>
      <c r="FML309" s="203"/>
      <c r="FMM309" s="203"/>
      <c r="FMN309" s="36"/>
      <c r="FMO309" s="36"/>
      <c r="FMP309" s="203"/>
      <c r="FMQ309" s="33"/>
      <c r="FMR309" s="33"/>
      <c r="FMS309" s="33"/>
      <c r="FMT309" s="33"/>
      <c r="FMU309" s="33"/>
      <c r="FMV309" s="33"/>
      <c r="FMW309" s="37"/>
      <c r="FMX309" s="208"/>
      <c r="FMY309" s="207"/>
      <c r="FMZ309" s="204"/>
      <c r="FNA309" s="35"/>
      <c r="FNB309" s="203"/>
      <c r="FNC309" s="203"/>
      <c r="FND309" s="36"/>
      <c r="FNE309" s="36"/>
      <c r="FNF309" s="203"/>
      <c r="FNG309" s="33"/>
      <c r="FNH309" s="33"/>
      <c r="FNI309" s="33"/>
      <c r="FNJ309" s="33"/>
      <c r="FNK309" s="33"/>
      <c r="FNL309" s="33"/>
      <c r="FNM309" s="37"/>
      <c r="FNN309" s="208"/>
      <c r="FNO309" s="207"/>
      <c r="FNP309" s="204"/>
      <c r="FNQ309" s="35"/>
      <c r="FNR309" s="203"/>
      <c r="FNS309" s="203"/>
      <c r="FNT309" s="36"/>
      <c r="FNU309" s="36"/>
      <c r="FNV309" s="203"/>
      <c r="FNW309" s="33"/>
      <c r="FNX309" s="33"/>
      <c r="FNY309" s="33"/>
      <c r="FNZ309" s="33"/>
      <c r="FOA309" s="33"/>
      <c r="FOB309" s="33"/>
      <c r="FOC309" s="37"/>
      <c r="FOD309" s="208"/>
      <c r="FOE309" s="207"/>
      <c r="FOF309" s="204"/>
      <c r="FOG309" s="35"/>
      <c r="FOH309" s="203"/>
      <c r="FOI309" s="203"/>
      <c r="FOJ309" s="36"/>
      <c r="FOK309" s="36"/>
      <c r="FOL309" s="203"/>
      <c r="FOM309" s="33"/>
      <c r="FON309" s="33"/>
      <c r="FOO309" s="33"/>
      <c r="FOP309" s="33"/>
      <c r="FOQ309" s="33"/>
      <c r="FOR309" s="33"/>
      <c r="FOS309" s="37"/>
      <c r="FOT309" s="208"/>
      <c r="FOU309" s="207"/>
      <c r="FOV309" s="204"/>
      <c r="FOW309" s="35"/>
      <c r="FOX309" s="203"/>
      <c r="FOY309" s="203"/>
      <c r="FOZ309" s="36"/>
      <c r="FPA309" s="36"/>
      <c r="FPB309" s="203"/>
      <c r="FPC309" s="33"/>
      <c r="FPD309" s="33"/>
      <c r="FPE309" s="33"/>
      <c r="FPF309" s="33"/>
      <c r="FPG309" s="33"/>
      <c r="FPH309" s="33"/>
      <c r="FPI309" s="37"/>
      <c r="FPJ309" s="208"/>
      <c r="FPK309" s="207"/>
      <c r="FPL309" s="204"/>
      <c r="FPM309" s="35"/>
      <c r="FPN309" s="203"/>
      <c r="FPO309" s="203"/>
      <c r="FPP309" s="36"/>
      <c r="FPQ309" s="36"/>
      <c r="FPR309" s="203"/>
      <c r="FPS309" s="33"/>
      <c r="FPT309" s="33"/>
      <c r="FPU309" s="33"/>
      <c r="FPV309" s="33"/>
      <c r="FPW309" s="33"/>
      <c r="FPX309" s="33"/>
      <c r="FPY309" s="37"/>
      <c r="FPZ309" s="208"/>
      <c r="FQA309" s="207"/>
      <c r="FQB309" s="204"/>
      <c r="FQC309" s="35"/>
      <c r="FQD309" s="203"/>
      <c r="FQE309" s="203"/>
      <c r="FQF309" s="36"/>
      <c r="FQG309" s="36"/>
      <c r="FQH309" s="203"/>
      <c r="FQI309" s="33"/>
      <c r="FQJ309" s="33"/>
      <c r="FQK309" s="33"/>
      <c r="FQL309" s="33"/>
      <c r="FQM309" s="33"/>
      <c r="FQN309" s="33"/>
      <c r="FQO309" s="37"/>
      <c r="FQP309" s="208"/>
      <c r="FQQ309" s="207"/>
      <c r="FQR309" s="204"/>
      <c r="FQS309" s="35"/>
      <c r="FQT309" s="203"/>
      <c r="FQU309" s="203"/>
      <c r="FQV309" s="36"/>
      <c r="FQW309" s="36"/>
      <c r="FQX309" s="203"/>
      <c r="FQY309" s="33"/>
      <c r="FQZ309" s="33"/>
      <c r="FRA309" s="33"/>
      <c r="FRB309" s="33"/>
      <c r="FRC309" s="33"/>
      <c r="FRD309" s="33"/>
      <c r="FRE309" s="37"/>
      <c r="FRF309" s="208"/>
      <c r="FRG309" s="207"/>
      <c r="FRH309" s="204"/>
      <c r="FRI309" s="35"/>
      <c r="FRJ309" s="203"/>
      <c r="FRK309" s="203"/>
      <c r="FRL309" s="36"/>
      <c r="FRM309" s="36"/>
      <c r="FRN309" s="203"/>
      <c r="FRO309" s="33"/>
      <c r="FRP309" s="33"/>
      <c r="FRQ309" s="33"/>
      <c r="FRR309" s="33"/>
      <c r="FRS309" s="33"/>
      <c r="FRT309" s="33"/>
      <c r="FRU309" s="37"/>
      <c r="FRV309" s="208"/>
      <c r="FRW309" s="207"/>
      <c r="FRX309" s="204"/>
      <c r="FRY309" s="35"/>
      <c r="FRZ309" s="203"/>
      <c r="FSA309" s="203"/>
      <c r="FSB309" s="36"/>
      <c r="FSC309" s="36"/>
      <c r="FSD309" s="203"/>
      <c r="FSE309" s="33"/>
      <c r="FSF309" s="33"/>
      <c r="FSG309" s="33"/>
      <c r="FSH309" s="33"/>
      <c r="FSI309" s="33"/>
      <c r="FSJ309" s="33"/>
      <c r="FSK309" s="37"/>
      <c r="FSL309" s="208"/>
      <c r="FSM309" s="207"/>
      <c r="FSN309" s="204"/>
      <c r="FSO309" s="35"/>
      <c r="FSP309" s="203"/>
      <c r="FSQ309" s="203"/>
      <c r="FSR309" s="36"/>
      <c r="FSS309" s="36"/>
      <c r="FST309" s="203"/>
      <c r="FSU309" s="33"/>
      <c r="FSV309" s="33"/>
      <c r="FSW309" s="33"/>
      <c r="FSX309" s="33"/>
      <c r="FSY309" s="33"/>
      <c r="FSZ309" s="33"/>
      <c r="FTA309" s="37"/>
      <c r="FTB309" s="208"/>
      <c r="FTC309" s="207"/>
      <c r="FTD309" s="204"/>
      <c r="FTE309" s="35"/>
      <c r="FTF309" s="203"/>
      <c r="FTG309" s="203"/>
      <c r="FTH309" s="36"/>
      <c r="FTI309" s="36"/>
      <c r="FTJ309" s="203"/>
      <c r="FTK309" s="33"/>
      <c r="FTL309" s="33"/>
      <c r="FTM309" s="33"/>
      <c r="FTN309" s="33"/>
      <c r="FTO309" s="33"/>
      <c r="FTP309" s="33"/>
      <c r="FTQ309" s="37"/>
      <c r="FTR309" s="208"/>
      <c r="FTS309" s="207"/>
      <c r="FTT309" s="204"/>
      <c r="FTU309" s="35"/>
      <c r="FTV309" s="203"/>
      <c r="FTW309" s="203"/>
      <c r="FTX309" s="36"/>
      <c r="FTY309" s="36"/>
      <c r="FTZ309" s="203"/>
      <c r="FUA309" s="33"/>
      <c r="FUB309" s="33"/>
      <c r="FUC309" s="33"/>
      <c r="FUD309" s="33"/>
      <c r="FUE309" s="33"/>
      <c r="FUF309" s="33"/>
      <c r="FUG309" s="37"/>
      <c r="FUH309" s="208"/>
      <c r="FUI309" s="207"/>
      <c r="FUJ309" s="204"/>
      <c r="FUK309" s="35"/>
      <c r="FUL309" s="203"/>
      <c r="FUM309" s="203"/>
      <c r="FUN309" s="36"/>
      <c r="FUO309" s="36"/>
      <c r="FUP309" s="203"/>
      <c r="FUQ309" s="33"/>
      <c r="FUR309" s="33"/>
      <c r="FUS309" s="33"/>
      <c r="FUT309" s="33"/>
      <c r="FUU309" s="33"/>
      <c r="FUV309" s="33"/>
      <c r="FUW309" s="37"/>
      <c r="FUX309" s="208"/>
      <c r="FUY309" s="207"/>
      <c r="FUZ309" s="204"/>
      <c r="FVA309" s="35"/>
      <c r="FVB309" s="203"/>
      <c r="FVC309" s="203"/>
      <c r="FVD309" s="36"/>
      <c r="FVE309" s="36"/>
      <c r="FVF309" s="203"/>
      <c r="FVG309" s="33"/>
      <c r="FVH309" s="33"/>
      <c r="FVI309" s="33"/>
      <c r="FVJ309" s="33"/>
      <c r="FVK309" s="33"/>
      <c r="FVL309" s="33"/>
      <c r="FVM309" s="37"/>
      <c r="FVN309" s="208"/>
      <c r="FVO309" s="207"/>
      <c r="FVP309" s="204"/>
      <c r="FVQ309" s="35"/>
      <c r="FVR309" s="203"/>
      <c r="FVS309" s="203"/>
      <c r="FVT309" s="36"/>
      <c r="FVU309" s="36"/>
      <c r="FVV309" s="203"/>
      <c r="FVW309" s="33"/>
      <c r="FVX309" s="33"/>
      <c r="FVY309" s="33"/>
      <c r="FVZ309" s="33"/>
      <c r="FWA309" s="33"/>
      <c r="FWB309" s="33"/>
      <c r="FWC309" s="37"/>
      <c r="FWD309" s="208"/>
      <c r="FWE309" s="207"/>
      <c r="FWF309" s="204"/>
      <c r="FWG309" s="35"/>
      <c r="FWH309" s="203"/>
      <c r="FWI309" s="203"/>
      <c r="FWJ309" s="36"/>
      <c r="FWK309" s="36"/>
      <c r="FWL309" s="203"/>
      <c r="FWM309" s="33"/>
      <c r="FWN309" s="33"/>
      <c r="FWO309" s="33"/>
      <c r="FWP309" s="33"/>
      <c r="FWQ309" s="33"/>
      <c r="FWR309" s="33"/>
      <c r="FWS309" s="37"/>
      <c r="FWT309" s="208"/>
      <c r="FWU309" s="207"/>
      <c r="FWV309" s="204"/>
      <c r="FWW309" s="35"/>
      <c r="FWX309" s="203"/>
      <c r="FWY309" s="203"/>
      <c r="FWZ309" s="36"/>
      <c r="FXA309" s="36"/>
      <c r="FXB309" s="203"/>
      <c r="FXC309" s="33"/>
      <c r="FXD309" s="33"/>
      <c r="FXE309" s="33"/>
      <c r="FXF309" s="33"/>
      <c r="FXG309" s="33"/>
      <c r="FXH309" s="33"/>
      <c r="FXI309" s="37"/>
      <c r="FXJ309" s="208"/>
      <c r="FXK309" s="207"/>
      <c r="FXL309" s="204"/>
      <c r="FXM309" s="35"/>
      <c r="FXN309" s="203"/>
      <c r="FXO309" s="203"/>
      <c r="FXP309" s="36"/>
      <c r="FXQ309" s="36"/>
      <c r="FXR309" s="203"/>
      <c r="FXS309" s="33"/>
      <c r="FXT309" s="33"/>
      <c r="FXU309" s="33"/>
      <c r="FXV309" s="33"/>
      <c r="FXW309" s="33"/>
      <c r="FXX309" s="33"/>
      <c r="FXY309" s="37"/>
      <c r="FXZ309" s="208"/>
      <c r="FYA309" s="207"/>
      <c r="FYB309" s="204"/>
      <c r="FYC309" s="35"/>
      <c r="FYD309" s="203"/>
      <c r="FYE309" s="203"/>
      <c r="FYF309" s="36"/>
      <c r="FYG309" s="36"/>
      <c r="FYH309" s="203"/>
      <c r="FYI309" s="33"/>
      <c r="FYJ309" s="33"/>
      <c r="FYK309" s="33"/>
      <c r="FYL309" s="33"/>
      <c r="FYM309" s="33"/>
      <c r="FYN309" s="33"/>
      <c r="FYO309" s="37"/>
      <c r="FYP309" s="208"/>
      <c r="FYQ309" s="207"/>
      <c r="FYR309" s="204"/>
      <c r="FYS309" s="35"/>
      <c r="FYT309" s="203"/>
      <c r="FYU309" s="203"/>
      <c r="FYV309" s="36"/>
      <c r="FYW309" s="36"/>
      <c r="FYX309" s="203"/>
      <c r="FYY309" s="33"/>
      <c r="FYZ309" s="33"/>
      <c r="FZA309" s="33"/>
      <c r="FZB309" s="33"/>
      <c r="FZC309" s="33"/>
      <c r="FZD309" s="33"/>
      <c r="FZE309" s="37"/>
      <c r="FZF309" s="208"/>
      <c r="FZG309" s="207"/>
      <c r="FZH309" s="204"/>
      <c r="FZI309" s="35"/>
      <c r="FZJ309" s="203"/>
      <c r="FZK309" s="203"/>
      <c r="FZL309" s="36"/>
      <c r="FZM309" s="36"/>
      <c r="FZN309" s="203"/>
      <c r="FZO309" s="33"/>
      <c r="FZP309" s="33"/>
      <c r="FZQ309" s="33"/>
      <c r="FZR309" s="33"/>
      <c r="FZS309" s="33"/>
      <c r="FZT309" s="33"/>
      <c r="FZU309" s="37"/>
      <c r="FZV309" s="208"/>
      <c r="FZW309" s="207"/>
      <c r="FZX309" s="204"/>
      <c r="FZY309" s="35"/>
      <c r="FZZ309" s="203"/>
      <c r="GAA309" s="203"/>
      <c r="GAB309" s="36"/>
      <c r="GAC309" s="36"/>
      <c r="GAD309" s="203"/>
      <c r="GAE309" s="33"/>
      <c r="GAF309" s="33"/>
      <c r="GAG309" s="33"/>
      <c r="GAH309" s="33"/>
      <c r="GAI309" s="33"/>
      <c r="GAJ309" s="33"/>
      <c r="GAK309" s="37"/>
      <c r="GAL309" s="208"/>
      <c r="GAM309" s="207"/>
      <c r="GAN309" s="204"/>
      <c r="GAO309" s="35"/>
      <c r="GAP309" s="203"/>
      <c r="GAQ309" s="203"/>
      <c r="GAR309" s="36"/>
      <c r="GAS309" s="36"/>
      <c r="GAT309" s="203"/>
      <c r="GAU309" s="33"/>
      <c r="GAV309" s="33"/>
      <c r="GAW309" s="33"/>
      <c r="GAX309" s="33"/>
      <c r="GAY309" s="33"/>
      <c r="GAZ309" s="33"/>
      <c r="GBA309" s="37"/>
      <c r="GBB309" s="208"/>
      <c r="GBC309" s="207"/>
      <c r="GBD309" s="204"/>
      <c r="GBE309" s="35"/>
      <c r="GBF309" s="203"/>
      <c r="GBG309" s="203"/>
      <c r="GBH309" s="36"/>
      <c r="GBI309" s="36"/>
      <c r="GBJ309" s="203"/>
      <c r="GBK309" s="33"/>
      <c r="GBL309" s="33"/>
      <c r="GBM309" s="33"/>
      <c r="GBN309" s="33"/>
      <c r="GBO309" s="33"/>
      <c r="GBP309" s="33"/>
      <c r="GBQ309" s="37"/>
      <c r="GBR309" s="208"/>
      <c r="GBS309" s="207"/>
      <c r="GBT309" s="204"/>
      <c r="GBU309" s="35"/>
      <c r="GBV309" s="203"/>
      <c r="GBW309" s="203"/>
      <c r="GBX309" s="36"/>
      <c r="GBY309" s="36"/>
      <c r="GBZ309" s="203"/>
      <c r="GCA309" s="33"/>
      <c r="GCB309" s="33"/>
      <c r="GCC309" s="33"/>
      <c r="GCD309" s="33"/>
      <c r="GCE309" s="33"/>
      <c r="GCF309" s="33"/>
      <c r="GCG309" s="37"/>
      <c r="GCH309" s="208"/>
      <c r="GCI309" s="207"/>
      <c r="GCJ309" s="204"/>
      <c r="GCK309" s="35"/>
      <c r="GCL309" s="203"/>
      <c r="GCM309" s="203"/>
      <c r="GCN309" s="36"/>
      <c r="GCO309" s="36"/>
      <c r="GCP309" s="203"/>
      <c r="GCQ309" s="33"/>
      <c r="GCR309" s="33"/>
      <c r="GCS309" s="33"/>
      <c r="GCT309" s="33"/>
      <c r="GCU309" s="33"/>
      <c r="GCV309" s="33"/>
      <c r="GCW309" s="37"/>
      <c r="GCX309" s="208"/>
      <c r="GCY309" s="207"/>
      <c r="GCZ309" s="204"/>
      <c r="GDA309" s="35"/>
      <c r="GDB309" s="203"/>
      <c r="GDC309" s="203"/>
      <c r="GDD309" s="36"/>
      <c r="GDE309" s="36"/>
      <c r="GDF309" s="203"/>
      <c r="GDG309" s="33"/>
      <c r="GDH309" s="33"/>
      <c r="GDI309" s="33"/>
      <c r="GDJ309" s="33"/>
      <c r="GDK309" s="33"/>
      <c r="GDL309" s="33"/>
      <c r="GDM309" s="37"/>
      <c r="GDN309" s="208"/>
      <c r="GDO309" s="207"/>
      <c r="GDP309" s="204"/>
      <c r="GDQ309" s="35"/>
      <c r="GDR309" s="203"/>
      <c r="GDS309" s="203"/>
      <c r="GDT309" s="36"/>
      <c r="GDU309" s="36"/>
      <c r="GDV309" s="203"/>
      <c r="GDW309" s="33"/>
      <c r="GDX309" s="33"/>
      <c r="GDY309" s="33"/>
      <c r="GDZ309" s="33"/>
      <c r="GEA309" s="33"/>
      <c r="GEB309" s="33"/>
      <c r="GEC309" s="37"/>
      <c r="GED309" s="208"/>
      <c r="GEE309" s="207"/>
      <c r="GEF309" s="204"/>
      <c r="GEG309" s="35"/>
      <c r="GEH309" s="203"/>
      <c r="GEI309" s="203"/>
      <c r="GEJ309" s="36"/>
      <c r="GEK309" s="36"/>
      <c r="GEL309" s="203"/>
      <c r="GEM309" s="33"/>
      <c r="GEN309" s="33"/>
      <c r="GEO309" s="33"/>
      <c r="GEP309" s="33"/>
      <c r="GEQ309" s="33"/>
      <c r="GER309" s="33"/>
      <c r="GES309" s="37"/>
      <c r="GET309" s="208"/>
      <c r="GEU309" s="207"/>
      <c r="GEV309" s="204"/>
      <c r="GEW309" s="35"/>
      <c r="GEX309" s="203"/>
      <c r="GEY309" s="203"/>
      <c r="GEZ309" s="36"/>
      <c r="GFA309" s="36"/>
      <c r="GFB309" s="203"/>
      <c r="GFC309" s="33"/>
      <c r="GFD309" s="33"/>
      <c r="GFE309" s="33"/>
      <c r="GFF309" s="33"/>
      <c r="GFG309" s="33"/>
      <c r="GFH309" s="33"/>
      <c r="GFI309" s="37"/>
      <c r="GFJ309" s="208"/>
      <c r="GFK309" s="207"/>
      <c r="GFL309" s="204"/>
      <c r="GFM309" s="35"/>
      <c r="GFN309" s="203"/>
      <c r="GFO309" s="203"/>
      <c r="GFP309" s="36"/>
      <c r="GFQ309" s="36"/>
      <c r="GFR309" s="203"/>
      <c r="GFS309" s="33"/>
      <c r="GFT309" s="33"/>
      <c r="GFU309" s="33"/>
      <c r="GFV309" s="33"/>
      <c r="GFW309" s="33"/>
      <c r="GFX309" s="33"/>
      <c r="GFY309" s="37"/>
      <c r="GFZ309" s="208"/>
      <c r="GGA309" s="207"/>
      <c r="GGB309" s="204"/>
      <c r="GGC309" s="35"/>
      <c r="GGD309" s="203"/>
      <c r="GGE309" s="203"/>
      <c r="GGF309" s="36"/>
      <c r="GGG309" s="36"/>
      <c r="GGH309" s="203"/>
      <c r="GGI309" s="33"/>
      <c r="GGJ309" s="33"/>
      <c r="GGK309" s="33"/>
      <c r="GGL309" s="33"/>
      <c r="GGM309" s="33"/>
      <c r="GGN309" s="33"/>
      <c r="GGO309" s="37"/>
      <c r="GGP309" s="208"/>
      <c r="GGQ309" s="207"/>
      <c r="GGR309" s="204"/>
      <c r="GGS309" s="35"/>
      <c r="GGT309" s="203"/>
      <c r="GGU309" s="203"/>
      <c r="GGV309" s="36"/>
      <c r="GGW309" s="36"/>
      <c r="GGX309" s="203"/>
      <c r="GGY309" s="33"/>
      <c r="GGZ309" s="33"/>
      <c r="GHA309" s="33"/>
      <c r="GHB309" s="33"/>
      <c r="GHC309" s="33"/>
      <c r="GHD309" s="33"/>
      <c r="GHE309" s="37"/>
      <c r="GHF309" s="208"/>
      <c r="GHG309" s="207"/>
      <c r="GHH309" s="204"/>
      <c r="GHI309" s="35"/>
      <c r="GHJ309" s="203"/>
      <c r="GHK309" s="203"/>
      <c r="GHL309" s="36"/>
      <c r="GHM309" s="36"/>
      <c r="GHN309" s="203"/>
      <c r="GHO309" s="33"/>
      <c r="GHP309" s="33"/>
      <c r="GHQ309" s="33"/>
      <c r="GHR309" s="33"/>
      <c r="GHS309" s="33"/>
      <c r="GHT309" s="33"/>
      <c r="GHU309" s="37"/>
      <c r="GHV309" s="208"/>
      <c r="GHW309" s="207"/>
      <c r="GHX309" s="204"/>
      <c r="GHY309" s="35"/>
      <c r="GHZ309" s="203"/>
      <c r="GIA309" s="203"/>
      <c r="GIB309" s="36"/>
      <c r="GIC309" s="36"/>
      <c r="GID309" s="203"/>
      <c r="GIE309" s="33"/>
      <c r="GIF309" s="33"/>
      <c r="GIG309" s="33"/>
      <c r="GIH309" s="33"/>
      <c r="GII309" s="33"/>
      <c r="GIJ309" s="33"/>
      <c r="GIK309" s="37"/>
      <c r="GIL309" s="208"/>
      <c r="GIM309" s="207"/>
      <c r="GIN309" s="204"/>
      <c r="GIO309" s="35"/>
      <c r="GIP309" s="203"/>
      <c r="GIQ309" s="203"/>
      <c r="GIR309" s="36"/>
      <c r="GIS309" s="36"/>
      <c r="GIT309" s="203"/>
      <c r="GIU309" s="33"/>
      <c r="GIV309" s="33"/>
      <c r="GIW309" s="33"/>
      <c r="GIX309" s="33"/>
      <c r="GIY309" s="33"/>
      <c r="GIZ309" s="33"/>
      <c r="GJA309" s="37"/>
      <c r="GJB309" s="208"/>
      <c r="GJC309" s="207"/>
      <c r="GJD309" s="204"/>
      <c r="GJE309" s="35"/>
      <c r="GJF309" s="203"/>
      <c r="GJG309" s="203"/>
      <c r="GJH309" s="36"/>
      <c r="GJI309" s="36"/>
      <c r="GJJ309" s="203"/>
      <c r="GJK309" s="33"/>
      <c r="GJL309" s="33"/>
      <c r="GJM309" s="33"/>
      <c r="GJN309" s="33"/>
      <c r="GJO309" s="33"/>
      <c r="GJP309" s="33"/>
      <c r="GJQ309" s="37"/>
      <c r="GJR309" s="208"/>
      <c r="GJS309" s="207"/>
      <c r="GJT309" s="204"/>
      <c r="GJU309" s="35"/>
      <c r="GJV309" s="203"/>
      <c r="GJW309" s="203"/>
      <c r="GJX309" s="36"/>
      <c r="GJY309" s="36"/>
      <c r="GJZ309" s="203"/>
      <c r="GKA309" s="33"/>
      <c r="GKB309" s="33"/>
      <c r="GKC309" s="33"/>
      <c r="GKD309" s="33"/>
      <c r="GKE309" s="33"/>
      <c r="GKF309" s="33"/>
      <c r="GKG309" s="37"/>
      <c r="GKH309" s="208"/>
      <c r="GKI309" s="207"/>
      <c r="GKJ309" s="204"/>
      <c r="GKK309" s="35"/>
      <c r="GKL309" s="203"/>
      <c r="GKM309" s="203"/>
      <c r="GKN309" s="36"/>
      <c r="GKO309" s="36"/>
      <c r="GKP309" s="203"/>
      <c r="GKQ309" s="33"/>
      <c r="GKR309" s="33"/>
      <c r="GKS309" s="33"/>
      <c r="GKT309" s="33"/>
      <c r="GKU309" s="33"/>
      <c r="GKV309" s="33"/>
      <c r="GKW309" s="37"/>
      <c r="GKX309" s="208"/>
      <c r="GKY309" s="207"/>
      <c r="GKZ309" s="204"/>
      <c r="GLA309" s="35"/>
      <c r="GLB309" s="203"/>
      <c r="GLC309" s="203"/>
      <c r="GLD309" s="36"/>
      <c r="GLE309" s="36"/>
      <c r="GLF309" s="203"/>
      <c r="GLG309" s="33"/>
      <c r="GLH309" s="33"/>
      <c r="GLI309" s="33"/>
      <c r="GLJ309" s="33"/>
      <c r="GLK309" s="33"/>
      <c r="GLL309" s="33"/>
      <c r="GLM309" s="37"/>
      <c r="GLN309" s="208"/>
      <c r="GLO309" s="207"/>
      <c r="GLP309" s="204"/>
      <c r="GLQ309" s="35"/>
      <c r="GLR309" s="203"/>
      <c r="GLS309" s="203"/>
      <c r="GLT309" s="36"/>
      <c r="GLU309" s="36"/>
      <c r="GLV309" s="203"/>
      <c r="GLW309" s="33"/>
      <c r="GLX309" s="33"/>
      <c r="GLY309" s="33"/>
      <c r="GLZ309" s="33"/>
      <c r="GMA309" s="33"/>
      <c r="GMB309" s="33"/>
      <c r="GMC309" s="37"/>
      <c r="GMD309" s="208"/>
      <c r="GME309" s="207"/>
      <c r="GMF309" s="204"/>
      <c r="GMG309" s="35"/>
      <c r="GMH309" s="203"/>
      <c r="GMI309" s="203"/>
      <c r="GMJ309" s="36"/>
      <c r="GMK309" s="36"/>
      <c r="GML309" s="203"/>
      <c r="GMM309" s="33"/>
      <c r="GMN309" s="33"/>
      <c r="GMO309" s="33"/>
      <c r="GMP309" s="33"/>
      <c r="GMQ309" s="33"/>
      <c r="GMR309" s="33"/>
      <c r="GMS309" s="37"/>
      <c r="GMT309" s="208"/>
      <c r="GMU309" s="207"/>
      <c r="GMV309" s="204"/>
      <c r="GMW309" s="35"/>
      <c r="GMX309" s="203"/>
      <c r="GMY309" s="203"/>
      <c r="GMZ309" s="36"/>
      <c r="GNA309" s="36"/>
      <c r="GNB309" s="203"/>
      <c r="GNC309" s="33"/>
      <c r="GND309" s="33"/>
      <c r="GNE309" s="33"/>
      <c r="GNF309" s="33"/>
      <c r="GNG309" s="33"/>
      <c r="GNH309" s="33"/>
      <c r="GNI309" s="37"/>
      <c r="GNJ309" s="208"/>
      <c r="GNK309" s="207"/>
      <c r="GNL309" s="204"/>
      <c r="GNM309" s="35"/>
      <c r="GNN309" s="203"/>
      <c r="GNO309" s="203"/>
      <c r="GNP309" s="36"/>
      <c r="GNQ309" s="36"/>
      <c r="GNR309" s="203"/>
      <c r="GNS309" s="33"/>
      <c r="GNT309" s="33"/>
      <c r="GNU309" s="33"/>
      <c r="GNV309" s="33"/>
      <c r="GNW309" s="33"/>
      <c r="GNX309" s="33"/>
      <c r="GNY309" s="37"/>
      <c r="GNZ309" s="208"/>
      <c r="GOA309" s="207"/>
      <c r="GOB309" s="204"/>
      <c r="GOC309" s="35"/>
      <c r="GOD309" s="203"/>
      <c r="GOE309" s="203"/>
      <c r="GOF309" s="36"/>
      <c r="GOG309" s="36"/>
      <c r="GOH309" s="203"/>
      <c r="GOI309" s="33"/>
      <c r="GOJ309" s="33"/>
      <c r="GOK309" s="33"/>
      <c r="GOL309" s="33"/>
      <c r="GOM309" s="33"/>
      <c r="GON309" s="33"/>
      <c r="GOO309" s="37"/>
      <c r="GOP309" s="208"/>
      <c r="GOQ309" s="207"/>
      <c r="GOR309" s="204"/>
      <c r="GOS309" s="35"/>
      <c r="GOT309" s="203"/>
      <c r="GOU309" s="203"/>
      <c r="GOV309" s="36"/>
      <c r="GOW309" s="36"/>
      <c r="GOX309" s="203"/>
      <c r="GOY309" s="33"/>
      <c r="GOZ309" s="33"/>
      <c r="GPA309" s="33"/>
      <c r="GPB309" s="33"/>
      <c r="GPC309" s="33"/>
      <c r="GPD309" s="33"/>
      <c r="GPE309" s="37"/>
      <c r="GPF309" s="208"/>
      <c r="GPG309" s="207"/>
      <c r="GPH309" s="204"/>
      <c r="GPI309" s="35"/>
      <c r="GPJ309" s="203"/>
      <c r="GPK309" s="203"/>
      <c r="GPL309" s="36"/>
      <c r="GPM309" s="36"/>
      <c r="GPN309" s="203"/>
      <c r="GPO309" s="33"/>
      <c r="GPP309" s="33"/>
      <c r="GPQ309" s="33"/>
      <c r="GPR309" s="33"/>
      <c r="GPS309" s="33"/>
      <c r="GPT309" s="33"/>
      <c r="GPU309" s="37"/>
      <c r="GPV309" s="208"/>
      <c r="GPW309" s="207"/>
      <c r="GPX309" s="204"/>
      <c r="GPY309" s="35"/>
      <c r="GPZ309" s="203"/>
      <c r="GQA309" s="203"/>
      <c r="GQB309" s="36"/>
      <c r="GQC309" s="36"/>
      <c r="GQD309" s="203"/>
      <c r="GQE309" s="33"/>
      <c r="GQF309" s="33"/>
      <c r="GQG309" s="33"/>
      <c r="GQH309" s="33"/>
      <c r="GQI309" s="33"/>
      <c r="GQJ309" s="33"/>
      <c r="GQK309" s="37"/>
      <c r="GQL309" s="208"/>
      <c r="GQM309" s="207"/>
      <c r="GQN309" s="204"/>
      <c r="GQO309" s="35"/>
      <c r="GQP309" s="203"/>
      <c r="GQQ309" s="203"/>
      <c r="GQR309" s="36"/>
      <c r="GQS309" s="36"/>
      <c r="GQT309" s="203"/>
      <c r="GQU309" s="33"/>
      <c r="GQV309" s="33"/>
      <c r="GQW309" s="33"/>
      <c r="GQX309" s="33"/>
      <c r="GQY309" s="33"/>
      <c r="GQZ309" s="33"/>
      <c r="GRA309" s="37"/>
      <c r="GRB309" s="208"/>
      <c r="GRC309" s="207"/>
      <c r="GRD309" s="204"/>
      <c r="GRE309" s="35"/>
      <c r="GRF309" s="203"/>
      <c r="GRG309" s="203"/>
      <c r="GRH309" s="36"/>
      <c r="GRI309" s="36"/>
      <c r="GRJ309" s="203"/>
      <c r="GRK309" s="33"/>
      <c r="GRL309" s="33"/>
      <c r="GRM309" s="33"/>
      <c r="GRN309" s="33"/>
      <c r="GRO309" s="33"/>
      <c r="GRP309" s="33"/>
      <c r="GRQ309" s="37"/>
      <c r="GRR309" s="208"/>
      <c r="GRS309" s="207"/>
      <c r="GRT309" s="204"/>
      <c r="GRU309" s="35"/>
      <c r="GRV309" s="203"/>
      <c r="GRW309" s="203"/>
      <c r="GRX309" s="36"/>
      <c r="GRY309" s="36"/>
      <c r="GRZ309" s="203"/>
      <c r="GSA309" s="33"/>
      <c r="GSB309" s="33"/>
      <c r="GSC309" s="33"/>
      <c r="GSD309" s="33"/>
      <c r="GSE309" s="33"/>
      <c r="GSF309" s="33"/>
      <c r="GSG309" s="37"/>
      <c r="GSH309" s="208"/>
      <c r="GSI309" s="207"/>
      <c r="GSJ309" s="204"/>
      <c r="GSK309" s="35"/>
      <c r="GSL309" s="203"/>
      <c r="GSM309" s="203"/>
      <c r="GSN309" s="36"/>
      <c r="GSO309" s="36"/>
      <c r="GSP309" s="203"/>
      <c r="GSQ309" s="33"/>
      <c r="GSR309" s="33"/>
      <c r="GSS309" s="33"/>
      <c r="GST309" s="33"/>
      <c r="GSU309" s="33"/>
      <c r="GSV309" s="33"/>
      <c r="GSW309" s="37"/>
      <c r="GSX309" s="208"/>
      <c r="GSY309" s="207"/>
      <c r="GSZ309" s="204"/>
      <c r="GTA309" s="35"/>
      <c r="GTB309" s="203"/>
      <c r="GTC309" s="203"/>
      <c r="GTD309" s="36"/>
      <c r="GTE309" s="36"/>
      <c r="GTF309" s="203"/>
      <c r="GTG309" s="33"/>
      <c r="GTH309" s="33"/>
      <c r="GTI309" s="33"/>
      <c r="GTJ309" s="33"/>
      <c r="GTK309" s="33"/>
      <c r="GTL309" s="33"/>
      <c r="GTM309" s="37"/>
      <c r="GTN309" s="208"/>
      <c r="GTO309" s="207"/>
      <c r="GTP309" s="204"/>
      <c r="GTQ309" s="35"/>
      <c r="GTR309" s="203"/>
      <c r="GTS309" s="203"/>
      <c r="GTT309" s="36"/>
      <c r="GTU309" s="36"/>
      <c r="GTV309" s="203"/>
      <c r="GTW309" s="33"/>
      <c r="GTX309" s="33"/>
      <c r="GTY309" s="33"/>
      <c r="GTZ309" s="33"/>
      <c r="GUA309" s="33"/>
      <c r="GUB309" s="33"/>
      <c r="GUC309" s="37"/>
      <c r="GUD309" s="208"/>
      <c r="GUE309" s="207"/>
      <c r="GUF309" s="204"/>
      <c r="GUG309" s="35"/>
      <c r="GUH309" s="203"/>
      <c r="GUI309" s="203"/>
      <c r="GUJ309" s="36"/>
      <c r="GUK309" s="36"/>
      <c r="GUL309" s="203"/>
      <c r="GUM309" s="33"/>
      <c r="GUN309" s="33"/>
      <c r="GUO309" s="33"/>
      <c r="GUP309" s="33"/>
      <c r="GUQ309" s="33"/>
      <c r="GUR309" s="33"/>
      <c r="GUS309" s="37"/>
      <c r="GUT309" s="208"/>
      <c r="GUU309" s="207"/>
      <c r="GUV309" s="204"/>
      <c r="GUW309" s="35"/>
      <c r="GUX309" s="203"/>
      <c r="GUY309" s="203"/>
      <c r="GUZ309" s="36"/>
      <c r="GVA309" s="36"/>
      <c r="GVB309" s="203"/>
      <c r="GVC309" s="33"/>
      <c r="GVD309" s="33"/>
      <c r="GVE309" s="33"/>
      <c r="GVF309" s="33"/>
      <c r="GVG309" s="33"/>
      <c r="GVH309" s="33"/>
      <c r="GVI309" s="37"/>
      <c r="GVJ309" s="208"/>
      <c r="GVK309" s="207"/>
      <c r="GVL309" s="204"/>
      <c r="GVM309" s="35"/>
      <c r="GVN309" s="203"/>
      <c r="GVO309" s="203"/>
      <c r="GVP309" s="36"/>
      <c r="GVQ309" s="36"/>
      <c r="GVR309" s="203"/>
      <c r="GVS309" s="33"/>
      <c r="GVT309" s="33"/>
      <c r="GVU309" s="33"/>
      <c r="GVV309" s="33"/>
      <c r="GVW309" s="33"/>
      <c r="GVX309" s="33"/>
      <c r="GVY309" s="37"/>
      <c r="GVZ309" s="208"/>
      <c r="GWA309" s="207"/>
      <c r="GWB309" s="204"/>
      <c r="GWC309" s="35"/>
      <c r="GWD309" s="203"/>
      <c r="GWE309" s="203"/>
      <c r="GWF309" s="36"/>
      <c r="GWG309" s="36"/>
      <c r="GWH309" s="203"/>
      <c r="GWI309" s="33"/>
      <c r="GWJ309" s="33"/>
      <c r="GWK309" s="33"/>
      <c r="GWL309" s="33"/>
      <c r="GWM309" s="33"/>
      <c r="GWN309" s="33"/>
      <c r="GWO309" s="37"/>
      <c r="GWP309" s="208"/>
      <c r="GWQ309" s="207"/>
      <c r="GWR309" s="204"/>
      <c r="GWS309" s="35"/>
      <c r="GWT309" s="203"/>
      <c r="GWU309" s="203"/>
      <c r="GWV309" s="36"/>
      <c r="GWW309" s="36"/>
      <c r="GWX309" s="203"/>
      <c r="GWY309" s="33"/>
      <c r="GWZ309" s="33"/>
      <c r="GXA309" s="33"/>
      <c r="GXB309" s="33"/>
      <c r="GXC309" s="33"/>
      <c r="GXD309" s="33"/>
      <c r="GXE309" s="37"/>
      <c r="GXF309" s="208"/>
      <c r="GXG309" s="207"/>
      <c r="GXH309" s="204"/>
      <c r="GXI309" s="35"/>
      <c r="GXJ309" s="203"/>
      <c r="GXK309" s="203"/>
      <c r="GXL309" s="36"/>
      <c r="GXM309" s="36"/>
      <c r="GXN309" s="203"/>
      <c r="GXO309" s="33"/>
      <c r="GXP309" s="33"/>
      <c r="GXQ309" s="33"/>
      <c r="GXR309" s="33"/>
      <c r="GXS309" s="33"/>
      <c r="GXT309" s="33"/>
      <c r="GXU309" s="37"/>
      <c r="GXV309" s="208"/>
      <c r="GXW309" s="207"/>
      <c r="GXX309" s="204"/>
      <c r="GXY309" s="35"/>
      <c r="GXZ309" s="203"/>
      <c r="GYA309" s="203"/>
      <c r="GYB309" s="36"/>
      <c r="GYC309" s="36"/>
      <c r="GYD309" s="203"/>
      <c r="GYE309" s="33"/>
      <c r="GYF309" s="33"/>
      <c r="GYG309" s="33"/>
      <c r="GYH309" s="33"/>
      <c r="GYI309" s="33"/>
      <c r="GYJ309" s="33"/>
      <c r="GYK309" s="37"/>
      <c r="GYL309" s="208"/>
      <c r="GYM309" s="207"/>
      <c r="GYN309" s="204"/>
      <c r="GYO309" s="35"/>
      <c r="GYP309" s="203"/>
      <c r="GYQ309" s="203"/>
      <c r="GYR309" s="36"/>
      <c r="GYS309" s="36"/>
      <c r="GYT309" s="203"/>
      <c r="GYU309" s="33"/>
      <c r="GYV309" s="33"/>
      <c r="GYW309" s="33"/>
      <c r="GYX309" s="33"/>
      <c r="GYY309" s="33"/>
      <c r="GYZ309" s="33"/>
      <c r="GZA309" s="37"/>
      <c r="GZB309" s="208"/>
      <c r="GZC309" s="207"/>
      <c r="GZD309" s="204"/>
      <c r="GZE309" s="35"/>
      <c r="GZF309" s="203"/>
      <c r="GZG309" s="203"/>
      <c r="GZH309" s="36"/>
      <c r="GZI309" s="36"/>
      <c r="GZJ309" s="203"/>
      <c r="GZK309" s="33"/>
      <c r="GZL309" s="33"/>
      <c r="GZM309" s="33"/>
      <c r="GZN309" s="33"/>
      <c r="GZO309" s="33"/>
      <c r="GZP309" s="33"/>
      <c r="GZQ309" s="37"/>
      <c r="GZR309" s="208"/>
      <c r="GZS309" s="207"/>
      <c r="GZT309" s="204"/>
      <c r="GZU309" s="35"/>
      <c r="GZV309" s="203"/>
      <c r="GZW309" s="203"/>
      <c r="GZX309" s="36"/>
      <c r="GZY309" s="36"/>
      <c r="GZZ309" s="203"/>
      <c r="HAA309" s="33"/>
      <c r="HAB309" s="33"/>
      <c r="HAC309" s="33"/>
      <c r="HAD309" s="33"/>
      <c r="HAE309" s="33"/>
      <c r="HAF309" s="33"/>
      <c r="HAG309" s="37"/>
      <c r="HAH309" s="208"/>
      <c r="HAI309" s="207"/>
      <c r="HAJ309" s="204"/>
      <c r="HAK309" s="35"/>
      <c r="HAL309" s="203"/>
      <c r="HAM309" s="203"/>
      <c r="HAN309" s="36"/>
      <c r="HAO309" s="36"/>
      <c r="HAP309" s="203"/>
      <c r="HAQ309" s="33"/>
      <c r="HAR309" s="33"/>
      <c r="HAS309" s="33"/>
      <c r="HAT309" s="33"/>
      <c r="HAU309" s="33"/>
      <c r="HAV309" s="33"/>
      <c r="HAW309" s="37"/>
      <c r="HAX309" s="208"/>
      <c r="HAY309" s="207"/>
      <c r="HAZ309" s="204"/>
      <c r="HBA309" s="35"/>
      <c r="HBB309" s="203"/>
      <c r="HBC309" s="203"/>
      <c r="HBD309" s="36"/>
      <c r="HBE309" s="36"/>
      <c r="HBF309" s="203"/>
      <c r="HBG309" s="33"/>
      <c r="HBH309" s="33"/>
      <c r="HBI309" s="33"/>
      <c r="HBJ309" s="33"/>
      <c r="HBK309" s="33"/>
      <c r="HBL309" s="33"/>
      <c r="HBM309" s="37"/>
      <c r="HBN309" s="208"/>
      <c r="HBO309" s="207"/>
      <c r="HBP309" s="204"/>
      <c r="HBQ309" s="35"/>
      <c r="HBR309" s="203"/>
      <c r="HBS309" s="203"/>
      <c r="HBT309" s="36"/>
      <c r="HBU309" s="36"/>
      <c r="HBV309" s="203"/>
      <c r="HBW309" s="33"/>
      <c r="HBX309" s="33"/>
      <c r="HBY309" s="33"/>
      <c r="HBZ309" s="33"/>
      <c r="HCA309" s="33"/>
      <c r="HCB309" s="33"/>
      <c r="HCC309" s="37"/>
      <c r="HCD309" s="208"/>
      <c r="HCE309" s="207"/>
      <c r="HCF309" s="204"/>
      <c r="HCG309" s="35"/>
      <c r="HCH309" s="203"/>
      <c r="HCI309" s="203"/>
      <c r="HCJ309" s="36"/>
      <c r="HCK309" s="36"/>
      <c r="HCL309" s="203"/>
      <c r="HCM309" s="33"/>
      <c r="HCN309" s="33"/>
      <c r="HCO309" s="33"/>
      <c r="HCP309" s="33"/>
      <c r="HCQ309" s="33"/>
      <c r="HCR309" s="33"/>
      <c r="HCS309" s="37"/>
      <c r="HCT309" s="208"/>
      <c r="HCU309" s="207"/>
      <c r="HCV309" s="204"/>
      <c r="HCW309" s="35"/>
      <c r="HCX309" s="203"/>
      <c r="HCY309" s="203"/>
      <c r="HCZ309" s="36"/>
      <c r="HDA309" s="36"/>
      <c r="HDB309" s="203"/>
      <c r="HDC309" s="33"/>
      <c r="HDD309" s="33"/>
      <c r="HDE309" s="33"/>
      <c r="HDF309" s="33"/>
      <c r="HDG309" s="33"/>
      <c r="HDH309" s="33"/>
      <c r="HDI309" s="37"/>
      <c r="HDJ309" s="208"/>
      <c r="HDK309" s="207"/>
      <c r="HDL309" s="204"/>
      <c r="HDM309" s="35"/>
      <c r="HDN309" s="203"/>
      <c r="HDO309" s="203"/>
      <c r="HDP309" s="36"/>
      <c r="HDQ309" s="36"/>
      <c r="HDR309" s="203"/>
      <c r="HDS309" s="33"/>
      <c r="HDT309" s="33"/>
      <c r="HDU309" s="33"/>
      <c r="HDV309" s="33"/>
      <c r="HDW309" s="33"/>
      <c r="HDX309" s="33"/>
      <c r="HDY309" s="37"/>
      <c r="HDZ309" s="208"/>
      <c r="HEA309" s="207"/>
      <c r="HEB309" s="204"/>
      <c r="HEC309" s="35"/>
      <c r="HED309" s="203"/>
      <c r="HEE309" s="203"/>
      <c r="HEF309" s="36"/>
      <c r="HEG309" s="36"/>
      <c r="HEH309" s="203"/>
      <c r="HEI309" s="33"/>
      <c r="HEJ309" s="33"/>
      <c r="HEK309" s="33"/>
      <c r="HEL309" s="33"/>
      <c r="HEM309" s="33"/>
      <c r="HEN309" s="33"/>
      <c r="HEO309" s="37"/>
      <c r="HEP309" s="208"/>
      <c r="HEQ309" s="207"/>
      <c r="HER309" s="204"/>
      <c r="HES309" s="35"/>
      <c r="HET309" s="203"/>
      <c r="HEU309" s="203"/>
      <c r="HEV309" s="36"/>
      <c r="HEW309" s="36"/>
      <c r="HEX309" s="203"/>
      <c r="HEY309" s="33"/>
      <c r="HEZ309" s="33"/>
      <c r="HFA309" s="33"/>
      <c r="HFB309" s="33"/>
      <c r="HFC309" s="33"/>
      <c r="HFD309" s="33"/>
      <c r="HFE309" s="37"/>
      <c r="HFF309" s="208"/>
      <c r="HFG309" s="207"/>
      <c r="HFH309" s="204"/>
      <c r="HFI309" s="35"/>
      <c r="HFJ309" s="203"/>
      <c r="HFK309" s="203"/>
      <c r="HFL309" s="36"/>
      <c r="HFM309" s="36"/>
      <c r="HFN309" s="203"/>
      <c r="HFO309" s="33"/>
      <c r="HFP309" s="33"/>
      <c r="HFQ309" s="33"/>
      <c r="HFR309" s="33"/>
      <c r="HFS309" s="33"/>
      <c r="HFT309" s="33"/>
      <c r="HFU309" s="37"/>
      <c r="HFV309" s="208"/>
      <c r="HFW309" s="207"/>
      <c r="HFX309" s="204"/>
      <c r="HFY309" s="35"/>
      <c r="HFZ309" s="203"/>
      <c r="HGA309" s="203"/>
      <c r="HGB309" s="36"/>
      <c r="HGC309" s="36"/>
      <c r="HGD309" s="203"/>
      <c r="HGE309" s="33"/>
      <c r="HGF309" s="33"/>
      <c r="HGG309" s="33"/>
      <c r="HGH309" s="33"/>
      <c r="HGI309" s="33"/>
      <c r="HGJ309" s="33"/>
      <c r="HGK309" s="37"/>
      <c r="HGL309" s="208"/>
      <c r="HGM309" s="207"/>
      <c r="HGN309" s="204"/>
      <c r="HGO309" s="35"/>
      <c r="HGP309" s="203"/>
      <c r="HGQ309" s="203"/>
      <c r="HGR309" s="36"/>
      <c r="HGS309" s="36"/>
      <c r="HGT309" s="203"/>
      <c r="HGU309" s="33"/>
      <c r="HGV309" s="33"/>
      <c r="HGW309" s="33"/>
      <c r="HGX309" s="33"/>
      <c r="HGY309" s="33"/>
      <c r="HGZ309" s="33"/>
      <c r="HHA309" s="37"/>
      <c r="HHB309" s="208"/>
      <c r="HHC309" s="207"/>
      <c r="HHD309" s="204"/>
      <c r="HHE309" s="35"/>
      <c r="HHF309" s="203"/>
      <c r="HHG309" s="203"/>
      <c r="HHH309" s="36"/>
      <c r="HHI309" s="36"/>
      <c r="HHJ309" s="203"/>
      <c r="HHK309" s="33"/>
      <c r="HHL309" s="33"/>
      <c r="HHM309" s="33"/>
      <c r="HHN309" s="33"/>
      <c r="HHO309" s="33"/>
      <c r="HHP309" s="33"/>
      <c r="HHQ309" s="37"/>
      <c r="HHR309" s="208"/>
      <c r="HHS309" s="207"/>
      <c r="HHT309" s="204"/>
      <c r="HHU309" s="35"/>
      <c r="HHV309" s="203"/>
      <c r="HHW309" s="203"/>
      <c r="HHX309" s="36"/>
      <c r="HHY309" s="36"/>
      <c r="HHZ309" s="203"/>
      <c r="HIA309" s="33"/>
      <c r="HIB309" s="33"/>
      <c r="HIC309" s="33"/>
      <c r="HID309" s="33"/>
      <c r="HIE309" s="33"/>
      <c r="HIF309" s="33"/>
      <c r="HIG309" s="37"/>
      <c r="HIH309" s="208"/>
      <c r="HII309" s="207"/>
      <c r="HIJ309" s="204"/>
      <c r="HIK309" s="35"/>
      <c r="HIL309" s="203"/>
      <c r="HIM309" s="203"/>
      <c r="HIN309" s="36"/>
      <c r="HIO309" s="36"/>
      <c r="HIP309" s="203"/>
      <c r="HIQ309" s="33"/>
      <c r="HIR309" s="33"/>
      <c r="HIS309" s="33"/>
      <c r="HIT309" s="33"/>
      <c r="HIU309" s="33"/>
      <c r="HIV309" s="33"/>
      <c r="HIW309" s="37"/>
      <c r="HIX309" s="208"/>
      <c r="HIY309" s="207"/>
      <c r="HIZ309" s="204"/>
      <c r="HJA309" s="35"/>
      <c r="HJB309" s="203"/>
      <c r="HJC309" s="203"/>
      <c r="HJD309" s="36"/>
      <c r="HJE309" s="36"/>
      <c r="HJF309" s="203"/>
      <c r="HJG309" s="33"/>
      <c r="HJH309" s="33"/>
      <c r="HJI309" s="33"/>
      <c r="HJJ309" s="33"/>
      <c r="HJK309" s="33"/>
      <c r="HJL309" s="33"/>
      <c r="HJM309" s="37"/>
      <c r="HJN309" s="208"/>
      <c r="HJO309" s="207"/>
      <c r="HJP309" s="204"/>
      <c r="HJQ309" s="35"/>
      <c r="HJR309" s="203"/>
      <c r="HJS309" s="203"/>
      <c r="HJT309" s="36"/>
      <c r="HJU309" s="36"/>
      <c r="HJV309" s="203"/>
      <c r="HJW309" s="33"/>
      <c r="HJX309" s="33"/>
      <c r="HJY309" s="33"/>
      <c r="HJZ309" s="33"/>
      <c r="HKA309" s="33"/>
      <c r="HKB309" s="33"/>
      <c r="HKC309" s="37"/>
      <c r="HKD309" s="208"/>
      <c r="HKE309" s="207"/>
      <c r="HKF309" s="204"/>
      <c r="HKG309" s="35"/>
      <c r="HKH309" s="203"/>
      <c r="HKI309" s="203"/>
      <c r="HKJ309" s="36"/>
      <c r="HKK309" s="36"/>
      <c r="HKL309" s="203"/>
      <c r="HKM309" s="33"/>
      <c r="HKN309" s="33"/>
      <c r="HKO309" s="33"/>
      <c r="HKP309" s="33"/>
      <c r="HKQ309" s="33"/>
      <c r="HKR309" s="33"/>
      <c r="HKS309" s="37"/>
      <c r="HKT309" s="208"/>
      <c r="HKU309" s="207"/>
      <c r="HKV309" s="204"/>
      <c r="HKW309" s="35"/>
      <c r="HKX309" s="203"/>
      <c r="HKY309" s="203"/>
      <c r="HKZ309" s="36"/>
      <c r="HLA309" s="36"/>
      <c r="HLB309" s="203"/>
      <c r="HLC309" s="33"/>
      <c r="HLD309" s="33"/>
      <c r="HLE309" s="33"/>
      <c r="HLF309" s="33"/>
      <c r="HLG309" s="33"/>
      <c r="HLH309" s="33"/>
      <c r="HLI309" s="37"/>
      <c r="HLJ309" s="208"/>
      <c r="HLK309" s="207"/>
      <c r="HLL309" s="204"/>
      <c r="HLM309" s="35"/>
      <c r="HLN309" s="203"/>
      <c r="HLO309" s="203"/>
      <c r="HLP309" s="36"/>
      <c r="HLQ309" s="36"/>
      <c r="HLR309" s="203"/>
      <c r="HLS309" s="33"/>
      <c r="HLT309" s="33"/>
      <c r="HLU309" s="33"/>
      <c r="HLV309" s="33"/>
      <c r="HLW309" s="33"/>
      <c r="HLX309" s="33"/>
      <c r="HLY309" s="37"/>
      <c r="HLZ309" s="208"/>
      <c r="HMA309" s="207"/>
      <c r="HMB309" s="204"/>
      <c r="HMC309" s="35"/>
      <c r="HMD309" s="203"/>
      <c r="HME309" s="203"/>
      <c r="HMF309" s="36"/>
      <c r="HMG309" s="36"/>
      <c r="HMH309" s="203"/>
      <c r="HMI309" s="33"/>
      <c r="HMJ309" s="33"/>
      <c r="HMK309" s="33"/>
      <c r="HML309" s="33"/>
      <c r="HMM309" s="33"/>
      <c r="HMN309" s="33"/>
      <c r="HMO309" s="37"/>
      <c r="HMP309" s="208"/>
      <c r="HMQ309" s="207"/>
      <c r="HMR309" s="204"/>
      <c r="HMS309" s="35"/>
      <c r="HMT309" s="203"/>
      <c r="HMU309" s="203"/>
      <c r="HMV309" s="36"/>
      <c r="HMW309" s="36"/>
      <c r="HMX309" s="203"/>
      <c r="HMY309" s="33"/>
      <c r="HMZ309" s="33"/>
      <c r="HNA309" s="33"/>
      <c r="HNB309" s="33"/>
      <c r="HNC309" s="33"/>
      <c r="HND309" s="33"/>
      <c r="HNE309" s="37"/>
      <c r="HNF309" s="208"/>
      <c r="HNG309" s="207"/>
      <c r="HNH309" s="204"/>
      <c r="HNI309" s="35"/>
      <c r="HNJ309" s="203"/>
      <c r="HNK309" s="203"/>
      <c r="HNL309" s="36"/>
      <c r="HNM309" s="36"/>
      <c r="HNN309" s="203"/>
      <c r="HNO309" s="33"/>
      <c r="HNP309" s="33"/>
      <c r="HNQ309" s="33"/>
      <c r="HNR309" s="33"/>
      <c r="HNS309" s="33"/>
      <c r="HNT309" s="33"/>
      <c r="HNU309" s="37"/>
      <c r="HNV309" s="208"/>
      <c r="HNW309" s="207"/>
      <c r="HNX309" s="204"/>
      <c r="HNY309" s="35"/>
      <c r="HNZ309" s="203"/>
      <c r="HOA309" s="203"/>
      <c r="HOB309" s="36"/>
      <c r="HOC309" s="36"/>
      <c r="HOD309" s="203"/>
      <c r="HOE309" s="33"/>
      <c r="HOF309" s="33"/>
      <c r="HOG309" s="33"/>
      <c r="HOH309" s="33"/>
      <c r="HOI309" s="33"/>
      <c r="HOJ309" s="33"/>
      <c r="HOK309" s="37"/>
      <c r="HOL309" s="208"/>
      <c r="HOM309" s="207"/>
      <c r="HON309" s="204"/>
      <c r="HOO309" s="35"/>
      <c r="HOP309" s="203"/>
      <c r="HOQ309" s="203"/>
      <c r="HOR309" s="36"/>
      <c r="HOS309" s="36"/>
      <c r="HOT309" s="203"/>
      <c r="HOU309" s="33"/>
      <c r="HOV309" s="33"/>
      <c r="HOW309" s="33"/>
      <c r="HOX309" s="33"/>
      <c r="HOY309" s="33"/>
      <c r="HOZ309" s="33"/>
      <c r="HPA309" s="37"/>
      <c r="HPB309" s="208"/>
      <c r="HPC309" s="207"/>
      <c r="HPD309" s="204"/>
      <c r="HPE309" s="35"/>
      <c r="HPF309" s="203"/>
      <c r="HPG309" s="203"/>
      <c r="HPH309" s="36"/>
      <c r="HPI309" s="36"/>
      <c r="HPJ309" s="203"/>
      <c r="HPK309" s="33"/>
      <c r="HPL309" s="33"/>
      <c r="HPM309" s="33"/>
      <c r="HPN309" s="33"/>
      <c r="HPO309" s="33"/>
      <c r="HPP309" s="33"/>
      <c r="HPQ309" s="37"/>
      <c r="HPR309" s="208"/>
      <c r="HPS309" s="207"/>
      <c r="HPT309" s="204"/>
      <c r="HPU309" s="35"/>
      <c r="HPV309" s="203"/>
      <c r="HPW309" s="203"/>
      <c r="HPX309" s="36"/>
      <c r="HPY309" s="36"/>
      <c r="HPZ309" s="203"/>
      <c r="HQA309" s="33"/>
      <c r="HQB309" s="33"/>
      <c r="HQC309" s="33"/>
      <c r="HQD309" s="33"/>
      <c r="HQE309" s="33"/>
      <c r="HQF309" s="33"/>
      <c r="HQG309" s="37"/>
      <c r="HQH309" s="208"/>
      <c r="HQI309" s="207"/>
      <c r="HQJ309" s="204"/>
      <c r="HQK309" s="35"/>
      <c r="HQL309" s="203"/>
      <c r="HQM309" s="203"/>
      <c r="HQN309" s="36"/>
      <c r="HQO309" s="36"/>
      <c r="HQP309" s="203"/>
      <c r="HQQ309" s="33"/>
      <c r="HQR309" s="33"/>
      <c r="HQS309" s="33"/>
      <c r="HQT309" s="33"/>
      <c r="HQU309" s="33"/>
      <c r="HQV309" s="33"/>
      <c r="HQW309" s="37"/>
      <c r="HQX309" s="208"/>
      <c r="HQY309" s="207"/>
      <c r="HQZ309" s="204"/>
      <c r="HRA309" s="35"/>
      <c r="HRB309" s="203"/>
      <c r="HRC309" s="203"/>
      <c r="HRD309" s="36"/>
      <c r="HRE309" s="36"/>
      <c r="HRF309" s="203"/>
      <c r="HRG309" s="33"/>
      <c r="HRH309" s="33"/>
      <c r="HRI309" s="33"/>
      <c r="HRJ309" s="33"/>
      <c r="HRK309" s="33"/>
      <c r="HRL309" s="33"/>
      <c r="HRM309" s="37"/>
      <c r="HRN309" s="208"/>
      <c r="HRO309" s="207"/>
      <c r="HRP309" s="204"/>
      <c r="HRQ309" s="35"/>
      <c r="HRR309" s="203"/>
      <c r="HRS309" s="203"/>
      <c r="HRT309" s="36"/>
      <c r="HRU309" s="36"/>
      <c r="HRV309" s="203"/>
      <c r="HRW309" s="33"/>
      <c r="HRX309" s="33"/>
      <c r="HRY309" s="33"/>
      <c r="HRZ309" s="33"/>
      <c r="HSA309" s="33"/>
      <c r="HSB309" s="33"/>
      <c r="HSC309" s="37"/>
      <c r="HSD309" s="208"/>
      <c r="HSE309" s="207"/>
      <c r="HSF309" s="204"/>
      <c r="HSG309" s="35"/>
      <c r="HSH309" s="203"/>
      <c r="HSI309" s="203"/>
      <c r="HSJ309" s="36"/>
      <c r="HSK309" s="36"/>
      <c r="HSL309" s="203"/>
      <c r="HSM309" s="33"/>
      <c r="HSN309" s="33"/>
      <c r="HSO309" s="33"/>
      <c r="HSP309" s="33"/>
      <c r="HSQ309" s="33"/>
      <c r="HSR309" s="33"/>
      <c r="HSS309" s="37"/>
      <c r="HST309" s="208"/>
      <c r="HSU309" s="207"/>
      <c r="HSV309" s="204"/>
      <c r="HSW309" s="35"/>
      <c r="HSX309" s="203"/>
      <c r="HSY309" s="203"/>
      <c r="HSZ309" s="36"/>
      <c r="HTA309" s="36"/>
      <c r="HTB309" s="203"/>
      <c r="HTC309" s="33"/>
      <c r="HTD309" s="33"/>
      <c r="HTE309" s="33"/>
      <c r="HTF309" s="33"/>
      <c r="HTG309" s="33"/>
      <c r="HTH309" s="33"/>
      <c r="HTI309" s="37"/>
      <c r="HTJ309" s="208"/>
      <c r="HTK309" s="207"/>
      <c r="HTL309" s="204"/>
      <c r="HTM309" s="35"/>
      <c r="HTN309" s="203"/>
      <c r="HTO309" s="203"/>
      <c r="HTP309" s="36"/>
      <c r="HTQ309" s="36"/>
      <c r="HTR309" s="203"/>
      <c r="HTS309" s="33"/>
      <c r="HTT309" s="33"/>
      <c r="HTU309" s="33"/>
      <c r="HTV309" s="33"/>
      <c r="HTW309" s="33"/>
      <c r="HTX309" s="33"/>
      <c r="HTY309" s="37"/>
      <c r="HTZ309" s="208"/>
      <c r="HUA309" s="207"/>
      <c r="HUB309" s="204"/>
      <c r="HUC309" s="35"/>
      <c r="HUD309" s="203"/>
      <c r="HUE309" s="203"/>
      <c r="HUF309" s="36"/>
      <c r="HUG309" s="36"/>
      <c r="HUH309" s="203"/>
      <c r="HUI309" s="33"/>
      <c r="HUJ309" s="33"/>
      <c r="HUK309" s="33"/>
      <c r="HUL309" s="33"/>
      <c r="HUM309" s="33"/>
      <c r="HUN309" s="33"/>
      <c r="HUO309" s="37"/>
      <c r="HUP309" s="208"/>
      <c r="HUQ309" s="207"/>
      <c r="HUR309" s="204"/>
      <c r="HUS309" s="35"/>
      <c r="HUT309" s="203"/>
      <c r="HUU309" s="203"/>
      <c r="HUV309" s="36"/>
      <c r="HUW309" s="36"/>
      <c r="HUX309" s="203"/>
      <c r="HUY309" s="33"/>
      <c r="HUZ309" s="33"/>
      <c r="HVA309" s="33"/>
      <c r="HVB309" s="33"/>
      <c r="HVC309" s="33"/>
      <c r="HVD309" s="33"/>
      <c r="HVE309" s="37"/>
      <c r="HVF309" s="208"/>
      <c r="HVG309" s="207"/>
      <c r="HVH309" s="204"/>
      <c r="HVI309" s="35"/>
      <c r="HVJ309" s="203"/>
      <c r="HVK309" s="203"/>
      <c r="HVL309" s="36"/>
      <c r="HVM309" s="36"/>
      <c r="HVN309" s="203"/>
      <c r="HVO309" s="33"/>
      <c r="HVP309" s="33"/>
      <c r="HVQ309" s="33"/>
      <c r="HVR309" s="33"/>
      <c r="HVS309" s="33"/>
      <c r="HVT309" s="33"/>
      <c r="HVU309" s="37"/>
      <c r="HVV309" s="208"/>
      <c r="HVW309" s="207"/>
      <c r="HVX309" s="204"/>
      <c r="HVY309" s="35"/>
      <c r="HVZ309" s="203"/>
      <c r="HWA309" s="203"/>
      <c r="HWB309" s="36"/>
      <c r="HWC309" s="36"/>
      <c r="HWD309" s="203"/>
      <c r="HWE309" s="33"/>
      <c r="HWF309" s="33"/>
      <c r="HWG309" s="33"/>
      <c r="HWH309" s="33"/>
      <c r="HWI309" s="33"/>
      <c r="HWJ309" s="33"/>
      <c r="HWK309" s="37"/>
      <c r="HWL309" s="208"/>
      <c r="HWM309" s="207"/>
      <c r="HWN309" s="204"/>
      <c r="HWO309" s="35"/>
      <c r="HWP309" s="203"/>
      <c r="HWQ309" s="203"/>
      <c r="HWR309" s="36"/>
      <c r="HWS309" s="36"/>
      <c r="HWT309" s="203"/>
      <c r="HWU309" s="33"/>
      <c r="HWV309" s="33"/>
      <c r="HWW309" s="33"/>
      <c r="HWX309" s="33"/>
      <c r="HWY309" s="33"/>
      <c r="HWZ309" s="33"/>
      <c r="HXA309" s="37"/>
      <c r="HXB309" s="208"/>
      <c r="HXC309" s="207"/>
      <c r="HXD309" s="204"/>
      <c r="HXE309" s="35"/>
      <c r="HXF309" s="203"/>
      <c r="HXG309" s="203"/>
      <c r="HXH309" s="36"/>
      <c r="HXI309" s="36"/>
      <c r="HXJ309" s="203"/>
      <c r="HXK309" s="33"/>
      <c r="HXL309" s="33"/>
      <c r="HXM309" s="33"/>
      <c r="HXN309" s="33"/>
      <c r="HXO309" s="33"/>
      <c r="HXP309" s="33"/>
      <c r="HXQ309" s="37"/>
      <c r="HXR309" s="208"/>
      <c r="HXS309" s="207"/>
      <c r="HXT309" s="204"/>
      <c r="HXU309" s="35"/>
      <c r="HXV309" s="203"/>
      <c r="HXW309" s="203"/>
      <c r="HXX309" s="36"/>
      <c r="HXY309" s="36"/>
      <c r="HXZ309" s="203"/>
      <c r="HYA309" s="33"/>
      <c r="HYB309" s="33"/>
      <c r="HYC309" s="33"/>
      <c r="HYD309" s="33"/>
      <c r="HYE309" s="33"/>
      <c r="HYF309" s="33"/>
      <c r="HYG309" s="37"/>
      <c r="HYH309" s="208"/>
      <c r="HYI309" s="207"/>
      <c r="HYJ309" s="204"/>
      <c r="HYK309" s="35"/>
      <c r="HYL309" s="203"/>
      <c r="HYM309" s="203"/>
      <c r="HYN309" s="36"/>
      <c r="HYO309" s="36"/>
      <c r="HYP309" s="203"/>
      <c r="HYQ309" s="33"/>
      <c r="HYR309" s="33"/>
      <c r="HYS309" s="33"/>
      <c r="HYT309" s="33"/>
      <c r="HYU309" s="33"/>
      <c r="HYV309" s="33"/>
      <c r="HYW309" s="37"/>
      <c r="HYX309" s="208"/>
      <c r="HYY309" s="207"/>
      <c r="HYZ309" s="204"/>
      <c r="HZA309" s="35"/>
      <c r="HZB309" s="203"/>
      <c r="HZC309" s="203"/>
      <c r="HZD309" s="36"/>
      <c r="HZE309" s="36"/>
      <c r="HZF309" s="203"/>
      <c r="HZG309" s="33"/>
      <c r="HZH309" s="33"/>
      <c r="HZI309" s="33"/>
      <c r="HZJ309" s="33"/>
      <c r="HZK309" s="33"/>
      <c r="HZL309" s="33"/>
      <c r="HZM309" s="37"/>
      <c r="HZN309" s="208"/>
      <c r="HZO309" s="207"/>
      <c r="HZP309" s="204"/>
      <c r="HZQ309" s="35"/>
      <c r="HZR309" s="203"/>
      <c r="HZS309" s="203"/>
      <c r="HZT309" s="36"/>
      <c r="HZU309" s="36"/>
      <c r="HZV309" s="203"/>
      <c r="HZW309" s="33"/>
      <c r="HZX309" s="33"/>
      <c r="HZY309" s="33"/>
      <c r="HZZ309" s="33"/>
      <c r="IAA309" s="33"/>
      <c r="IAB309" s="33"/>
      <c r="IAC309" s="37"/>
      <c r="IAD309" s="208"/>
      <c r="IAE309" s="207"/>
      <c r="IAF309" s="204"/>
      <c r="IAG309" s="35"/>
      <c r="IAH309" s="203"/>
      <c r="IAI309" s="203"/>
      <c r="IAJ309" s="36"/>
      <c r="IAK309" s="36"/>
      <c r="IAL309" s="203"/>
      <c r="IAM309" s="33"/>
      <c r="IAN309" s="33"/>
      <c r="IAO309" s="33"/>
      <c r="IAP309" s="33"/>
      <c r="IAQ309" s="33"/>
      <c r="IAR309" s="33"/>
      <c r="IAS309" s="37"/>
      <c r="IAT309" s="208"/>
      <c r="IAU309" s="207"/>
      <c r="IAV309" s="204"/>
      <c r="IAW309" s="35"/>
      <c r="IAX309" s="203"/>
      <c r="IAY309" s="203"/>
      <c r="IAZ309" s="36"/>
      <c r="IBA309" s="36"/>
      <c r="IBB309" s="203"/>
      <c r="IBC309" s="33"/>
      <c r="IBD309" s="33"/>
      <c r="IBE309" s="33"/>
      <c r="IBF309" s="33"/>
      <c r="IBG309" s="33"/>
      <c r="IBH309" s="33"/>
      <c r="IBI309" s="37"/>
      <c r="IBJ309" s="208"/>
      <c r="IBK309" s="207"/>
      <c r="IBL309" s="204"/>
      <c r="IBM309" s="35"/>
      <c r="IBN309" s="203"/>
      <c r="IBO309" s="203"/>
      <c r="IBP309" s="36"/>
      <c r="IBQ309" s="36"/>
      <c r="IBR309" s="203"/>
      <c r="IBS309" s="33"/>
      <c r="IBT309" s="33"/>
      <c r="IBU309" s="33"/>
      <c r="IBV309" s="33"/>
      <c r="IBW309" s="33"/>
      <c r="IBX309" s="33"/>
      <c r="IBY309" s="37"/>
      <c r="IBZ309" s="208"/>
      <c r="ICA309" s="207"/>
      <c r="ICB309" s="204"/>
      <c r="ICC309" s="35"/>
      <c r="ICD309" s="203"/>
      <c r="ICE309" s="203"/>
      <c r="ICF309" s="36"/>
      <c r="ICG309" s="36"/>
      <c r="ICH309" s="203"/>
      <c r="ICI309" s="33"/>
      <c r="ICJ309" s="33"/>
      <c r="ICK309" s="33"/>
      <c r="ICL309" s="33"/>
      <c r="ICM309" s="33"/>
      <c r="ICN309" s="33"/>
      <c r="ICO309" s="37"/>
      <c r="ICP309" s="208"/>
      <c r="ICQ309" s="207"/>
      <c r="ICR309" s="204"/>
      <c r="ICS309" s="35"/>
      <c r="ICT309" s="203"/>
      <c r="ICU309" s="203"/>
      <c r="ICV309" s="36"/>
      <c r="ICW309" s="36"/>
      <c r="ICX309" s="203"/>
      <c r="ICY309" s="33"/>
      <c r="ICZ309" s="33"/>
      <c r="IDA309" s="33"/>
      <c r="IDB309" s="33"/>
      <c r="IDC309" s="33"/>
      <c r="IDD309" s="33"/>
      <c r="IDE309" s="37"/>
      <c r="IDF309" s="208"/>
      <c r="IDG309" s="207"/>
      <c r="IDH309" s="204"/>
      <c r="IDI309" s="35"/>
      <c r="IDJ309" s="203"/>
      <c r="IDK309" s="203"/>
      <c r="IDL309" s="36"/>
      <c r="IDM309" s="36"/>
      <c r="IDN309" s="203"/>
      <c r="IDO309" s="33"/>
      <c r="IDP309" s="33"/>
      <c r="IDQ309" s="33"/>
      <c r="IDR309" s="33"/>
      <c r="IDS309" s="33"/>
      <c r="IDT309" s="33"/>
      <c r="IDU309" s="37"/>
      <c r="IDV309" s="208"/>
      <c r="IDW309" s="207"/>
      <c r="IDX309" s="204"/>
      <c r="IDY309" s="35"/>
      <c r="IDZ309" s="203"/>
      <c r="IEA309" s="203"/>
      <c r="IEB309" s="36"/>
      <c r="IEC309" s="36"/>
      <c r="IED309" s="203"/>
      <c r="IEE309" s="33"/>
      <c r="IEF309" s="33"/>
      <c r="IEG309" s="33"/>
      <c r="IEH309" s="33"/>
      <c r="IEI309" s="33"/>
      <c r="IEJ309" s="33"/>
      <c r="IEK309" s="37"/>
      <c r="IEL309" s="208"/>
      <c r="IEM309" s="207"/>
      <c r="IEN309" s="204"/>
      <c r="IEO309" s="35"/>
      <c r="IEP309" s="203"/>
      <c r="IEQ309" s="203"/>
      <c r="IER309" s="36"/>
      <c r="IES309" s="36"/>
      <c r="IET309" s="203"/>
      <c r="IEU309" s="33"/>
      <c r="IEV309" s="33"/>
      <c r="IEW309" s="33"/>
      <c r="IEX309" s="33"/>
      <c r="IEY309" s="33"/>
      <c r="IEZ309" s="33"/>
      <c r="IFA309" s="37"/>
      <c r="IFB309" s="208"/>
      <c r="IFC309" s="207"/>
      <c r="IFD309" s="204"/>
      <c r="IFE309" s="35"/>
      <c r="IFF309" s="203"/>
      <c r="IFG309" s="203"/>
      <c r="IFH309" s="36"/>
      <c r="IFI309" s="36"/>
      <c r="IFJ309" s="203"/>
      <c r="IFK309" s="33"/>
      <c r="IFL309" s="33"/>
      <c r="IFM309" s="33"/>
      <c r="IFN309" s="33"/>
      <c r="IFO309" s="33"/>
      <c r="IFP309" s="33"/>
      <c r="IFQ309" s="37"/>
      <c r="IFR309" s="208"/>
      <c r="IFS309" s="207"/>
      <c r="IFT309" s="204"/>
      <c r="IFU309" s="35"/>
      <c r="IFV309" s="203"/>
      <c r="IFW309" s="203"/>
      <c r="IFX309" s="36"/>
      <c r="IFY309" s="36"/>
      <c r="IFZ309" s="203"/>
      <c r="IGA309" s="33"/>
      <c r="IGB309" s="33"/>
      <c r="IGC309" s="33"/>
      <c r="IGD309" s="33"/>
      <c r="IGE309" s="33"/>
      <c r="IGF309" s="33"/>
      <c r="IGG309" s="37"/>
      <c r="IGH309" s="208"/>
      <c r="IGI309" s="207"/>
      <c r="IGJ309" s="204"/>
      <c r="IGK309" s="35"/>
      <c r="IGL309" s="203"/>
      <c r="IGM309" s="203"/>
      <c r="IGN309" s="36"/>
      <c r="IGO309" s="36"/>
      <c r="IGP309" s="203"/>
      <c r="IGQ309" s="33"/>
      <c r="IGR309" s="33"/>
      <c r="IGS309" s="33"/>
      <c r="IGT309" s="33"/>
      <c r="IGU309" s="33"/>
      <c r="IGV309" s="33"/>
      <c r="IGW309" s="37"/>
      <c r="IGX309" s="208"/>
      <c r="IGY309" s="207"/>
      <c r="IGZ309" s="204"/>
      <c r="IHA309" s="35"/>
      <c r="IHB309" s="203"/>
      <c r="IHC309" s="203"/>
      <c r="IHD309" s="36"/>
      <c r="IHE309" s="36"/>
      <c r="IHF309" s="203"/>
      <c r="IHG309" s="33"/>
      <c r="IHH309" s="33"/>
      <c r="IHI309" s="33"/>
      <c r="IHJ309" s="33"/>
      <c r="IHK309" s="33"/>
      <c r="IHL309" s="33"/>
      <c r="IHM309" s="37"/>
      <c r="IHN309" s="208"/>
      <c r="IHO309" s="207"/>
      <c r="IHP309" s="204"/>
      <c r="IHQ309" s="35"/>
      <c r="IHR309" s="203"/>
      <c r="IHS309" s="203"/>
      <c r="IHT309" s="36"/>
      <c r="IHU309" s="36"/>
      <c r="IHV309" s="203"/>
      <c r="IHW309" s="33"/>
      <c r="IHX309" s="33"/>
      <c r="IHY309" s="33"/>
      <c r="IHZ309" s="33"/>
      <c r="IIA309" s="33"/>
      <c r="IIB309" s="33"/>
      <c r="IIC309" s="37"/>
      <c r="IID309" s="208"/>
      <c r="IIE309" s="207"/>
      <c r="IIF309" s="204"/>
      <c r="IIG309" s="35"/>
      <c r="IIH309" s="203"/>
      <c r="III309" s="203"/>
      <c r="IIJ309" s="36"/>
      <c r="IIK309" s="36"/>
      <c r="IIL309" s="203"/>
      <c r="IIM309" s="33"/>
      <c r="IIN309" s="33"/>
      <c r="IIO309" s="33"/>
      <c r="IIP309" s="33"/>
      <c r="IIQ309" s="33"/>
      <c r="IIR309" s="33"/>
      <c r="IIS309" s="37"/>
      <c r="IIT309" s="208"/>
      <c r="IIU309" s="207"/>
      <c r="IIV309" s="204"/>
      <c r="IIW309" s="35"/>
      <c r="IIX309" s="203"/>
      <c r="IIY309" s="203"/>
      <c r="IIZ309" s="36"/>
      <c r="IJA309" s="36"/>
      <c r="IJB309" s="203"/>
      <c r="IJC309" s="33"/>
      <c r="IJD309" s="33"/>
      <c r="IJE309" s="33"/>
      <c r="IJF309" s="33"/>
      <c r="IJG309" s="33"/>
      <c r="IJH309" s="33"/>
      <c r="IJI309" s="37"/>
      <c r="IJJ309" s="208"/>
      <c r="IJK309" s="207"/>
      <c r="IJL309" s="204"/>
      <c r="IJM309" s="35"/>
      <c r="IJN309" s="203"/>
      <c r="IJO309" s="203"/>
      <c r="IJP309" s="36"/>
      <c r="IJQ309" s="36"/>
      <c r="IJR309" s="203"/>
      <c r="IJS309" s="33"/>
      <c r="IJT309" s="33"/>
      <c r="IJU309" s="33"/>
      <c r="IJV309" s="33"/>
      <c r="IJW309" s="33"/>
      <c r="IJX309" s="33"/>
      <c r="IJY309" s="37"/>
      <c r="IJZ309" s="208"/>
      <c r="IKA309" s="207"/>
      <c r="IKB309" s="204"/>
      <c r="IKC309" s="35"/>
      <c r="IKD309" s="203"/>
      <c r="IKE309" s="203"/>
      <c r="IKF309" s="36"/>
      <c r="IKG309" s="36"/>
      <c r="IKH309" s="203"/>
      <c r="IKI309" s="33"/>
      <c r="IKJ309" s="33"/>
      <c r="IKK309" s="33"/>
      <c r="IKL309" s="33"/>
      <c r="IKM309" s="33"/>
      <c r="IKN309" s="33"/>
      <c r="IKO309" s="37"/>
      <c r="IKP309" s="208"/>
      <c r="IKQ309" s="207"/>
      <c r="IKR309" s="204"/>
      <c r="IKS309" s="35"/>
      <c r="IKT309" s="203"/>
      <c r="IKU309" s="203"/>
      <c r="IKV309" s="36"/>
      <c r="IKW309" s="36"/>
      <c r="IKX309" s="203"/>
      <c r="IKY309" s="33"/>
      <c r="IKZ309" s="33"/>
      <c r="ILA309" s="33"/>
      <c r="ILB309" s="33"/>
      <c r="ILC309" s="33"/>
      <c r="ILD309" s="33"/>
      <c r="ILE309" s="37"/>
      <c r="ILF309" s="208"/>
      <c r="ILG309" s="207"/>
      <c r="ILH309" s="204"/>
      <c r="ILI309" s="35"/>
      <c r="ILJ309" s="203"/>
      <c r="ILK309" s="203"/>
      <c r="ILL309" s="36"/>
      <c r="ILM309" s="36"/>
      <c r="ILN309" s="203"/>
      <c r="ILO309" s="33"/>
      <c r="ILP309" s="33"/>
      <c r="ILQ309" s="33"/>
      <c r="ILR309" s="33"/>
      <c r="ILS309" s="33"/>
      <c r="ILT309" s="33"/>
      <c r="ILU309" s="37"/>
      <c r="ILV309" s="208"/>
      <c r="ILW309" s="207"/>
      <c r="ILX309" s="204"/>
      <c r="ILY309" s="35"/>
      <c r="ILZ309" s="203"/>
      <c r="IMA309" s="203"/>
      <c r="IMB309" s="36"/>
      <c r="IMC309" s="36"/>
      <c r="IMD309" s="203"/>
      <c r="IME309" s="33"/>
      <c r="IMF309" s="33"/>
      <c r="IMG309" s="33"/>
      <c r="IMH309" s="33"/>
      <c r="IMI309" s="33"/>
      <c r="IMJ309" s="33"/>
      <c r="IMK309" s="37"/>
      <c r="IML309" s="208"/>
      <c r="IMM309" s="207"/>
      <c r="IMN309" s="204"/>
      <c r="IMO309" s="35"/>
      <c r="IMP309" s="203"/>
      <c r="IMQ309" s="203"/>
      <c r="IMR309" s="36"/>
      <c r="IMS309" s="36"/>
      <c r="IMT309" s="203"/>
      <c r="IMU309" s="33"/>
      <c r="IMV309" s="33"/>
      <c r="IMW309" s="33"/>
      <c r="IMX309" s="33"/>
      <c r="IMY309" s="33"/>
      <c r="IMZ309" s="33"/>
      <c r="INA309" s="37"/>
      <c r="INB309" s="208"/>
      <c r="INC309" s="207"/>
      <c r="IND309" s="204"/>
      <c r="INE309" s="35"/>
      <c r="INF309" s="203"/>
      <c r="ING309" s="203"/>
      <c r="INH309" s="36"/>
      <c r="INI309" s="36"/>
      <c r="INJ309" s="203"/>
      <c r="INK309" s="33"/>
      <c r="INL309" s="33"/>
      <c r="INM309" s="33"/>
      <c r="INN309" s="33"/>
      <c r="INO309" s="33"/>
      <c r="INP309" s="33"/>
      <c r="INQ309" s="37"/>
      <c r="INR309" s="208"/>
      <c r="INS309" s="207"/>
      <c r="INT309" s="204"/>
      <c r="INU309" s="35"/>
      <c r="INV309" s="203"/>
      <c r="INW309" s="203"/>
      <c r="INX309" s="36"/>
      <c r="INY309" s="36"/>
      <c r="INZ309" s="203"/>
      <c r="IOA309" s="33"/>
      <c r="IOB309" s="33"/>
      <c r="IOC309" s="33"/>
      <c r="IOD309" s="33"/>
      <c r="IOE309" s="33"/>
      <c r="IOF309" s="33"/>
      <c r="IOG309" s="37"/>
      <c r="IOH309" s="208"/>
      <c r="IOI309" s="207"/>
      <c r="IOJ309" s="204"/>
      <c r="IOK309" s="35"/>
      <c r="IOL309" s="203"/>
      <c r="IOM309" s="203"/>
      <c r="ION309" s="36"/>
      <c r="IOO309" s="36"/>
      <c r="IOP309" s="203"/>
      <c r="IOQ309" s="33"/>
      <c r="IOR309" s="33"/>
      <c r="IOS309" s="33"/>
      <c r="IOT309" s="33"/>
      <c r="IOU309" s="33"/>
      <c r="IOV309" s="33"/>
      <c r="IOW309" s="37"/>
      <c r="IOX309" s="208"/>
      <c r="IOY309" s="207"/>
      <c r="IOZ309" s="204"/>
      <c r="IPA309" s="35"/>
      <c r="IPB309" s="203"/>
      <c r="IPC309" s="203"/>
      <c r="IPD309" s="36"/>
      <c r="IPE309" s="36"/>
      <c r="IPF309" s="203"/>
      <c r="IPG309" s="33"/>
      <c r="IPH309" s="33"/>
      <c r="IPI309" s="33"/>
      <c r="IPJ309" s="33"/>
      <c r="IPK309" s="33"/>
      <c r="IPL309" s="33"/>
      <c r="IPM309" s="37"/>
      <c r="IPN309" s="208"/>
      <c r="IPO309" s="207"/>
      <c r="IPP309" s="204"/>
      <c r="IPQ309" s="35"/>
      <c r="IPR309" s="203"/>
      <c r="IPS309" s="203"/>
      <c r="IPT309" s="36"/>
      <c r="IPU309" s="36"/>
      <c r="IPV309" s="203"/>
      <c r="IPW309" s="33"/>
      <c r="IPX309" s="33"/>
      <c r="IPY309" s="33"/>
      <c r="IPZ309" s="33"/>
      <c r="IQA309" s="33"/>
      <c r="IQB309" s="33"/>
      <c r="IQC309" s="37"/>
      <c r="IQD309" s="208"/>
      <c r="IQE309" s="207"/>
      <c r="IQF309" s="204"/>
      <c r="IQG309" s="35"/>
      <c r="IQH309" s="203"/>
      <c r="IQI309" s="203"/>
      <c r="IQJ309" s="36"/>
      <c r="IQK309" s="36"/>
      <c r="IQL309" s="203"/>
      <c r="IQM309" s="33"/>
      <c r="IQN309" s="33"/>
      <c r="IQO309" s="33"/>
      <c r="IQP309" s="33"/>
      <c r="IQQ309" s="33"/>
      <c r="IQR309" s="33"/>
      <c r="IQS309" s="37"/>
      <c r="IQT309" s="208"/>
      <c r="IQU309" s="207"/>
      <c r="IQV309" s="204"/>
      <c r="IQW309" s="35"/>
      <c r="IQX309" s="203"/>
      <c r="IQY309" s="203"/>
      <c r="IQZ309" s="36"/>
      <c r="IRA309" s="36"/>
      <c r="IRB309" s="203"/>
      <c r="IRC309" s="33"/>
      <c r="IRD309" s="33"/>
      <c r="IRE309" s="33"/>
      <c r="IRF309" s="33"/>
      <c r="IRG309" s="33"/>
      <c r="IRH309" s="33"/>
      <c r="IRI309" s="37"/>
      <c r="IRJ309" s="208"/>
      <c r="IRK309" s="207"/>
      <c r="IRL309" s="204"/>
      <c r="IRM309" s="35"/>
      <c r="IRN309" s="203"/>
      <c r="IRO309" s="203"/>
      <c r="IRP309" s="36"/>
      <c r="IRQ309" s="36"/>
      <c r="IRR309" s="203"/>
      <c r="IRS309" s="33"/>
      <c r="IRT309" s="33"/>
      <c r="IRU309" s="33"/>
      <c r="IRV309" s="33"/>
      <c r="IRW309" s="33"/>
      <c r="IRX309" s="33"/>
      <c r="IRY309" s="37"/>
      <c r="IRZ309" s="208"/>
      <c r="ISA309" s="207"/>
      <c r="ISB309" s="204"/>
      <c r="ISC309" s="35"/>
      <c r="ISD309" s="203"/>
      <c r="ISE309" s="203"/>
      <c r="ISF309" s="36"/>
      <c r="ISG309" s="36"/>
      <c r="ISH309" s="203"/>
      <c r="ISI309" s="33"/>
      <c r="ISJ309" s="33"/>
      <c r="ISK309" s="33"/>
      <c r="ISL309" s="33"/>
      <c r="ISM309" s="33"/>
      <c r="ISN309" s="33"/>
      <c r="ISO309" s="37"/>
      <c r="ISP309" s="208"/>
      <c r="ISQ309" s="207"/>
      <c r="ISR309" s="204"/>
      <c r="ISS309" s="35"/>
      <c r="IST309" s="203"/>
      <c r="ISU309" s="203"/>
      <c r="ISV309" s="36"/>
      <c r="ISW309" s="36"/>
      <c r="ISX309" s="203"/>
      <c r="ISY309" s="33"/>
      <c r="ISZ309" s="33"/>
      <c r="ITA309" s="33"/>
      <c r="ITB309" s="33"/>
      <c r="ITC309" s="33"/>
      <c r="ITD309" s="33"/>
      <c r="ITE309" s="37"/>
      <c r="ITF309" s="208"/>
      <c r="ITG309" s="207"/>
      <c r="ITH309" s="204"/>
      <c r="ITI309" s="35"/>
      <c r="ITJ309" s="203"/>
      <c r="ITK309" s="203"/>
      <c r="ITL309" s="36"/>
      <c r="ITM309" s="36"/>
      <c r="ITN309" s="203"/>
      <c r="ITO309" s="33"/>
      <c r="ITP309" s="33"/>
      <c r="ITQ309" s="33"/>
      <c r="ITR309" s="33"/>
      <c r="ITS309" s="33"/>
      <c r="ITT309" s="33"/>
      <c r="ITU309" s="37"/>
      <c r="ITV309" s="208"/>
      <c r="ITW309" s="207"/>
      <c r="ITX309" s="204"/>
      <c r="ITY309" s="35"/>
      <c r="ITZ309" s="203"/>
      <c r="IUA309" s="203"/>
      <c r="IUB309" s="36"/>
      <c r="IUC309" s="36"/>
      <c r="IUD309" s="203"/>
      <c r="IUE309" s="33"/>
      <c r="IUF309" s="33"/>
      <c r="IUG309" s="33"/>
      <c r="IUH309" s="33"/>
      <c r="IUI309" s="33"/>
      <c r="IUJ309" s="33"/>
      <c r="IUK309" s="37"/>
      <c r="IUL309" s="208"/>
      <c r="IUM309" s="207"/>
      <c r="IUN309" s="204"/>
      <c r="IUO309" s="35"/>
      <c r="IUP309" s="203"/>
      <c r="IUQ309" s="203"/>
      <c r="IUR309" s="36"/>
      <c r="IUS309" s="36"/>
      <c r="IUT309" s="203"/>
      <c r="IUU309" s="33"/>
      <c r="IUV309" s="33"/>
      <c r="IUW309" s="33"/>
      <c r="IUX309" s="33"/>
      <c r="IUY309" s="33"/>
      <c r="IUZ309" s="33"/>
      <c r="IVA309" s="37"/>
      <c r="IVB309" s="208"/>
      <c r="IVC309" s="207"/>
      <c r="IVD309" s="204"/>
      <c r="IVE309" s="35"/>
      <c r="IVF309" s="203"/>
      <c r="IVG309" s="203"/>
      <c r="IVH309" s="36"/>
      <c r="IVI309" s="36"/>
      <c r="IVJ309" s="203"/>
      <c r="IVK309" s="33"/>
      <c r="IVL309" s="33"/>
      <c r="IVM309" s="33"/>
      <c r="IVN309" s="33"/>
      <c r="IVO309" s="33"/>
      <c r="IVP309" s="33"/>
      <c r="IVQ309" s="37"/>
      <c r="IVR309" s="208"/>
      <c r="IVS309" s="207"/>
      <c r="IVT309" s="204"/>
      <c r="IVU309" s="35"/>
      <c r="IVV309" s="203"/>
      <c r="IVW309" s="203"/>
      <c r="IVX309" s="36"/>
      <c r="IVY309" s="36"/>
      <c r="IVZ309" s="203"/>
      <c r="IWA309" s="33"/>
      <c r="IWB309" s="33"/>
      <c r="IWC309" s="33"/>
      <c r="IWD309" s="33"/>
      <c r="IWE309" s="33"/>
      <c r="IWF309" s="33"/>
      <c r="IWG309" s="37"/>
      <c r="IWH309" s="208"/>
      <c r="IWI309" s="207"/>
      <c r="IWJ309" s="204"/>
      <c r="IWK309" s="35"/>
      <c r="IWL309" s="203"/>
      <c r="IWM309" s="203"/>
      <c r="IWN309" s="36"/>
      <c r="IWO309" s="36"/>
      <c r="IWP309" s="203"/>
      <c r="IWQ309" s="33"/>
      <c r="IWR309" s="33"/>
      <c r="IWS309" s="33"/>
      <c r="IWT309" s="33"/>
      <c r="IWU309" s="33"/>
      <c r="IWV309" s="33"/>
      <c r="IWW309" s="37"/>
      <c r="IWX309" s="208"/>
      <c r="IWY309" s="207"/>
      <c r="IWZ309" s="204"/>
      <c r="IXA309" s="35"/>
      <c r="IXB309" s="203"/>
      <c r="IXC309" s="203"/>
      <c r="IXD309" s="36"/>
      <c r="IXE309" s="36"/>
      <c r="IXF309" s="203"/>
      <c r="IXG309" s="33"/>
      <c r="IXH309" s="33"/>
      <c r="IXI309" s="33"/>
      <c r="IXJ309" s="33"/>
      <c r="IXK309" s="33"/>
      <c r="IXL309" s="33"/>
      <c r="IXM309" s="37"/>
      <c r="IXN309" s="208"/>
      <c r="IXO309" s="207"/>
      <c r="IXP309" s="204"/>
      <c r="IXQ309" s="35"/>
      <c r="IXR309" s="203"/>
      <c r="IXS309" s="203"/>
      <c r="IXT309" s="36"/>
      <c r="IXU309" s="36"/>
      <c r="IXV309" s="203"/>
      <c r="IXW309" s="33"/>
      <c r="IXX309" s="33"/>
      <c r="IXY309" s="33"/>
      <c r="IXZ309" s="33"/>
      <c r="IYA309" s="33"/>
      <c r="IYB309" s="33"/>
      <c r="IYC309" s="37"/>
      <c r="IYD309" s="208"/>
      <c r="IYE309" s="207"/>
      <c r="IYF309" s="204"/>
      <c r="IYG309" s="35"/>
      <c r="IYH309" s="203"/>
      <c r="IYI309" s="203"/>
      <c r="IYJ309" s="36"/>
      <c r="IYK309" s="36"/>
      <c r="IYL309" s="203"/>
      <c r="IYM309" s="33"/>
      <c r="IYN309" s="33"/>
      <c r="IYO309" s="33"/>
      <c r="IYP309" s="33"/>
      <c r="IYQ309" s="33"/>
      <c r="IYR309" s="33"/>
      <c r="IYS309" s="37"/>
      <c r="IYT309" s="208"/>
      <c r="IYU309" s="207"/>
      <c r="IYV309" s="204"/>
      <c r="IYW309" s="35"/>
      <c r="IYX309" s="203"/>
      <c r="IYY309" s="203"/>
      <c r="IYZ309" s="36"/>
      <c r="IZA309" s="36"/>
      <c r="IZB309" s="203"/>
      <c r="IZC309" s="33"/>
      <c r="IZD309" s="33"/>
      <c r="IZE309" s="33"/>
      <c r="IZF309" s="33"/>
      <c r="IZG309" s="33"/>
      <c r="IZH309" s="33"/>
      <c r="IZI309" s="37"/>
      <c r="IZJ309" s="208"/>
      <c r="IZK309" s="207"/>
      <c r="IZL309" s="204"/>
      <c r="IZM309" s="35"/>
      <c r="IZN309" s="203"/>
      <c r="IZO309" s="203"/>
      <c r="IZP309" s="36"/>
      <c r="IZQ309" s="36"/>
      <c r="IZR309" s="203"/>
      <c r="IZS309" s="33"/>
      <c r="IZT309" s="33"/>
      <c r="IZU309" s="33"/>
      <c r="IZV309" s="33"/>
      <c r="IZW309" s="33"/>
      <c r="IZX309" s="33"/>
      <c r="IZY309" s="37"/>
      <c r="IZZ309" s="208"/>
      <c r="JAA309" s="207"/>
      <c r="JAB309" s="204"/>
      <c r="JAC309" s="35"/>
      <c r="JAD309" s="203"/>
      <c r="JAE309" s="203"/>
      <c r="JAF309" s="36"/>
      <c r="JAG309" s="36"/>
      <c r="JAH309" s="203"/>
      <c r="JAI309" s="33"/>
      <c r="JAJ309" s="33"/>
      <c r="JAK309" s="33"/>
      <c r="JAL309" s="33"/>
      <c r="JAM309" s="33"/>
      <c r="JAN309" s="33"/>
      <c r="JAO309" s="37"/>
      <c r="JAP309" s="208"/>
      <c r="JAQ309" s="207"/>
      <c r="JAR309" s="204"/>
      <c r="JAS309" s="35"/>
      <c r="JAT309" s="203"/>
      <c r="JAU309" s="203"/>
      <c r="JAV309" s="36"/>
      <c r="JAW309" s="36"/>
      <c r="JAX309" s="203"/>
      <c r="JAY309" s="33"/>
      <c r="JAZ309" s="33"/>
      <c r="JBA309" s="33"/>
      <c r="JBB309" s="33"/>
      <c r="JBC309" s="33"/>
      <c r="JBD309" s="33"/>
      <c r="JBE309" s="37"/>
      <c r="JBF309" s="208"/>
      <c r="JBG309" s="207"/>
      <c r="JBH309" s="204"/>
      <c r="JBI309" s="35"/>
      <c r="JBJ309" s="203"/>
      <c r="JBK309" s="203"/>
      <c r="JBL309" s="36"/>
      <c r="JBM309" s="36"/>
      <c r="JBN309" s="203"/>
      <c r="JBO309" s="33"/>
      <c r="JBP309" s="33"/>
      <c r="JBQ309" s="33"/>
      <c r="JBR309" s="33"/>
      <c r="JBS309" s="33"/>
      <c r="JBT309" s="33"/>
      <c r="JBU309" s="37"/>
      <c r="JBV309" s="208"/>
      <c r="JBW309" s="207"/>
      <c r="JBX309" s="204"/>
      <c r="JBY309" s="35"/>
      <c r="JBZ309" s="203"/>
      <c r="JCA309" s="203"/>
      <c r="JCB309" s="36"/>
      <c r="JCC309" s="36"/>
      <c r="JCD309" s="203"/>
      <c r="JCE309" s="33"/>
      <c r="JCF309" s="33"/>
      <c r="JCG309" s="33"/>
      <c r="JCH309" s="33"/>
      <c r="JCI309" s="33"/>
      <c r="JCJ309" s="33"/>
      <c r="JCK309" s="37"/>
      <c r="JCL309" s="208"/>
      <c r="JCM309" s="207"/>
      <c r="JCN309" s="204"/>
      <c r="JCO309" s="35"/>
      <c r="JCP309" s="203"/>
      <c r="JCQ309" s="203"/>
      <c r="JCR309" s="36"/>
      <c r="JCS309" s="36"/>
      <c r="JCT309" s="203"/>
      <c r="JCU309" s="33"/>
      <c r="JCV309" s="33"/>
      <c r="JCW309" s="33"/>
      <c r="JCX309" s="33"/>
      <c r="JCY309" s="33"/>
      <c r="JCZ309" s="33"/>
      <c r="JDA309" s="37"/>
      <c r="JDB309" s="208"/>
      <c r="JDC309" s="207"/>
      <c r="JDD309" s="204"/>
      <c r="JDE309" s="35"/>
      <c r="JDF309" s="203"/>
      <c r="JDG309" s="203"/>
      <c r="JDH309" s="36"/>
      <c r="JDI309" s="36"/>
      <c r="JDJ309" s="203"/>
      <c r="JDK309" s="33"/>
      <c r="JDL309" s="33"/>
      <c r="JDM309" s="33"/>
      <c r="JDN309" s="33"/>
      <c r="JDO309" s="33"/>
      <c r="JDP309" s="33"/>
      <c r="JDQ309" s="37"/>
      <c r="JDR309" s="208"/>
      <c r="JDS309" s="207"/>
      <c r="JDT309" s="204"/>
      <c r="JDU309" s="35"/>
      <c r="JDV309" s="203"/>
      <c r="JDW309" s="203"/>
      <c r="JDX309" s="36"/>
      <c r="JDY309" s="36"/>
      <c r="JDZ309" s="203"/>
      <c r="JEA309" s="33"/>
      <c r="JEB309" s="33"/>
      <c r="JEC309" s="33"/>
      <c r="JED309" s="33"/>
      <c r="JEE309" s="33"/>
      <c r="JEF309" s="33"/>
      <c r="JEG309" s="37"/>
      <c r="JEH309" s="208"/>
      <c r="JEI309" s="207"/>
      <c r="JEJ309" s="204"/>
      <c r="JEK309" s="35"/>
      <c r="JEL309" s="203"/>
      <c r="JEM309" s="203"/>
      <c r="JEN309" s="36"/>
      <c r="JEO309" s="36"/>
      <c r="JEP309" s="203"/>
      <c r="JEQ309" s="33"/>
      <c r="JER309" s="33"/>
      <c r="JES309" s="33"/>
      <c r="JET309" s="33"/>
      <c r="JEU309" s="33"/>
      <c r="JEV309" s="33"/>
      <c r="JEW309" s="37"/>
      <c r="JEX309" s="208"/>
      <c r="JEY309" s="207"/>
      <c r="JEZ309" s="204"/>
      <c r="JFA309" s="35"/>
      <c r="JFB309" s="203"/>
      <c r="JFC309" s="203"/>
      <c r="JFD309" s="36"/>
      <c r="JFE309" s="36"/>
      <c r="JFF309" s="203"/>
      <c r="JFG309" s="33"/>
      <c r="JFH309" s="33"/>
      <c r="JFI309" s="33"/>
      <c r="JFJ309" s="33"/>
      <c r="JFK309" s="33"/>
      <c r="JFL309" s="33"/>
      <c r="JFM309" s="37"/>
      <c r="JFN309" s="208"/>
      <c r="JFO309" s="207"/>
      <c r="JFP309" s="204"/>
      <c r="JFQ309" s="35"/>
      <c r="JFR309" s="203"/>
      <c r="JFS309" s="203"/>
      <c r="JFT309" s="36"/>
      <c r="JFU309" s="36"/>
      <c r="JFV309" s="203"/>
      <c r="JFW309" s="33"/>
      <c r="JFX309" s="33"/>
      <c r="JFY309" s="33"/>
      <c r="JFZ309" s="33"/>
      <c r="JGA309" s="33"/>
      <c r="JGB309" s="33"/>
      <c r="JGC309" s="37"/>
      <c r="JGD309" s="208"/>
      <c r="JGE309" s="207"/>
      <c r="JGF309" s="204"/>
      <c r="JGG309" s="35"/>
      <c r="JGH309" s="203"/>
      <c r="JGI309" s="203"/>
      <c r="JGJ309" s="36"/>
      <c r="JGK309" s="36"/>
      <c r="JGL309" s="203"/>
      <c r="JGM309" s="33"/>
      <c r="JGN309" s="33"/>
      <c r="JGO309" s="33"/>
      <c r="JGP309" s="33"/>
      <c r="JGQ309" s="33"/>
      <c r="JGR309" s="33"/>
      <c r="JGS309" s="37"/>
      <c r="JGT309" s="208"/>
      <c r="JGU309" s="207"/>
      <c r="JGV309" s="204"/>
      <c r="JGW309" s="35"/>
      <c r="JGX309" s="203"/>
      <c r="JGY309" s="203"/>
      <c r="JGZ309" s="36"/>
      <c r="JHA309" s="36"/>
      <c r="JHB309" s="203"/>
      <c r="JHC309" s="33"/>
      <c r="JHD309" s="33"/>
      <c r="JHE309" s="33"/>
      <c r="JHF309" s="33"/>
      <c r="JHG309" s="33"/>
      <c r="JHH309" s="33"/>
      <c r="JHI309" s="37"/>
      <c r="JHJ309" s="208"/>
      <c r="JHK309" s="207"/>
      <c r="JHL309" s="204"/>
      <c r="JHM309" s="35"/>
      <c r="JHN309" s="203"/>
      <c r="JHO309" s="203"/>
      <c r="JHP309" s="36"/>
      <c r="JHQ309" s="36"/>
      <c r="JHR309" s="203"/>
      <c r="JHS309" s="33"/>
      <c r="JHT309" s="33"/>
      <c r="JHU309" s="33"/>
      <c r="JHV309" s="33"/>
      <c r="JHW309" s="33"/>
      <c r="JHX309" s="33"/>
      <c r="JHY309" s="37"/>
      <c r="JHZ309" s="208"/>
      <c r="JIA309" s="207"/>
      <c r="JIB309" s="204"/>
      <c r="JIC309" s="35"/>
      <c r="JID309" s="203"/>
      <c r="JIE309" s="203"/>
      <c r="JIF309" s="36"/>
      <c r="JIG309" s="36"/>
      <c r="JIH309" s="203"/>
      <c r="JII309" s="33"/>
      <c r="JIJ309" s="33"/>
      <c r="JIK309" s="33"/>
      <c r="JIL309" s="33"/>
      <c r="JIM309" s="33"/>
      <c r="JIN309" s="33"/>
      <c r="JIO309" s="37"/>
      <c r="JIP309" s="208"/>
      <c r="JIQ309" s="207"/>
      <c r="JIR309" s="204"/>
      <c r="JIS309" s="35"/>
      <c r="JIT309" s="203"/>
      <c r="JIU309" s="203"/>
      <c r="JIV309" s="36"/>
      <c r="JIW309" s="36"/>
      <c r="JIX309" s="203"/>
      <c r="JIY309" s="33"/>
      <c r="JIZ309" s="33"/>
      <c r="JJA309" s="33"/>
      <c r="JJB309" s="33"/>
      <c r="JJC309" s="33"/>
      <c r="JJD309" s="33"/>
      <c r="JJE309" s="37"/>
      <c r="JJF309" s="208"/>
      <c r="JJG309" s="207"/>
      <c r="JJH309" s="204"/>
      <c r="JJI309" s="35"/>
      <c r="JJJ309" s="203"/>
      <c r="JJK309" s="203"/>
      <c r="JJL309" s="36"/>
      <c r="JJM309" s="36"/>
      <c r="JJN309" s="203"/>
      <c r="JJO309" s="33"/>
      <c r="JJP309" s="33"/>
      <c r="JJQ309" s="33"/>
      <c r="JJR309" s="33"/>
      <c r="JJS309" s="33"/>
      <c r="JJT309" s="33"/>
      <c r="JJU309" s="37"/>
      <c r="JJV309" s="208"/>
      <c r="JJW309" s="207"/>
      <c r="JJX309" s="204"/>
      <c r="JJY309" s="35"/>
      <c r="JJZ309" s="203"/>
      <c r="JKA309" s="203"/>
      <c r="JKB309" s="36"/>
      <c r="JKC309" s="36"/>
      <c r="JKD309" s="203"/>
      <c r="JKE309" s="33"/>
      <c r="JKF309" s="33"/>
      <c r="JKG309" s="33"/>
      <c r="JKH309" s="33"/>
      <c r="JKI309" s="33"/>
      <c r="JKJ309" s="33"/>
      <c r="JKK309" s="37"/>
      <c r="JKL309" s="208"/>
      <c r="JKM309" s="207"/>
      <c r="JKN309" s="204"/>
      <c r="JKO309" s="35"/>
      <c r="JKP309" s="203"/>
      <c r="JKQ309" s="203"/>
      <c r="JKR309" s="36"/>
      <c r="JKS309" s="36"/>
      <c r="JKT309" s="203"/>
      <c r="JKU309" s="33"/>
      <c r="JKV309" s="33"/>
      <c r="JKW309" s="33"/>
      <c r="JKX309" s="33"/>
      <c r="JKY309" s="33"/>
      <c r="JKZ309" s="33"/>
      <c r="JLA309" s="37"/>
      <c r="JLB309" s="208"/>
      <c r="JLC309" s="207"/>
      <c r="JLD309" s="204"/>
      <c r="JLE309" s="35"/>
      <c r="JLF309" s="203"/>
      <c r="JLG309" s="203"/>
      <c r="JLH309" s="36"/>
      <c r="JLI309" s="36"/>
      <c r="JLJ309" s="203"/>
      <c r="JLK309" s="33"/>
      <c r="JLL309" s="33"/>
      <c r="JLM309" s="33"/>
      <c r="JLN309" s="33"/>
      <c r="JLO309" s="33"/>
      <c r="JLP309" s="33"/>
      <c r="JLQ309" s="37"/>
      <c r="JLR309" s="208"/>
      <c r="JLS309" s="207"/>
      <c r="JLT309" s="204"/>
      <c r="JLU309" s="35"/>
      <c r="JLV309" s="203"/>
      <c r="JLW309" s="203"/>
      <c r="JLX309" s="36"/>
      <c r="JLY309" s="36"/>
      <c r="JLZ309" s="203"/>
      <c r="JMA309" s="33"/>
      <c r="JMB309" s="33"/>
      <c r="JMC309" s="33"/>
      <c r="JMD309" s="33"/>
      <c r="JME309" s="33"/>
      <c r="JMF309" s="33"/>
      <c r="JMG309" s="37"/>
      <c r="JMH309" s="208"/>
      <c r="JMI309" s="207"/>
      <c r="JMJ309" s="204"/>
      <c r="JMK309" s="35"/>
      <c r="JML309" s="203"/>
      <c r="JMM309" s="203"/>
      <c r="JMN309" s="36"/>
      <c r="JMO309" s="36"/>
      <c r="JMP309" s="203"/>
      <c r="JMQ309" s="33"/>
      <c r="JMR309" s="33"/>
      <c r="JMS309" s="33"/>
      <c r="JMT309" s="33"/>
      <c r="JMU309" s="33"/>
      <c r="JMV309" s="33"/>
      <c r="JMW309" s="37"/>
      <c r="JMX309" s="208"/>
      <c r="JMY309" s="207"/>
      <c r="JMZ309" s="204"/>
      <c r="JNA309" s="35"/>
      <c r="JNB309" s="203"/>
      <c r="JNC309" s="203"/>
      <c r="JND309" s="36"/>
      <c r="JNE309" s="36"/>
      <c r="JNF309" s="203"/>
      <c r="JNG309" s="33"/>
      <c r="JNH309" s="33"/>
      <c r="JNI309" s="33"/>
      <c r="JNJ309" s="33"/>
      <c r="JNK309" s="33"/>
      <c r="JNL309" s="33"/>
      <c r="JNM309" s="37"/>
      <c r="JNN309" s="208"/>
      <c r="JNO309" s="207"/>
      <c r="JNP309" s="204"/>
      <c r="JNQ309" s="35"/>
      <c r="JNR309" s="203"/>
      <c r="JNS309" s="203"/>
      <c r="JNT309" s="36"/>
      <c r="JNU309" s="36"/>
      <c r="JNV309" s="203"/>
      <c r="JNW309" s="33"/>
      <c r="JNX309" s="33"/>
      <c r="JNY309" s="33"/>
      <c r="JNZ309" s="33"/>
      <c r="JOA309" s="33"/>
      <c r="JOB309" s="33"/>
      <c r="JOC309" s="37"/>
      <c r="JOD309" s="208"/>
      <c r="JOE309" s="207"/>
      <c r="JOF309" s="204"/>
      <c r="JOG309" s="35"/>
      <c r="JOH309" s="203"/>
      <c r="JOI309" s="203"/>
      <c r="JOJ309" s="36"/>
      <c r="JOK309" s="36"/>
      <c r="JOL309" s="203"/>
      <c r="JOM309" s="33"/>
      <c r="JON309" s="33"/>
      <c r="JOO309" s="33"/>
      <c r="JOP309" s="33"/>
      <c r="JOQ309" s="33"/>
      <c r="JOR309" s="33"/>
      <c r="JOS309" s="37"/>
      <c r="JOT309" s="208"/>
      <c r="JOU309" s="207"/>
      <c r="JOV309" s="204"/>
      <c r="JOW309" s="35"/>
      <c r="JOX309" s="203"/>
      <c r="JOY309" s="203"/>
      <c r="JOZ309" s="36"/>
      <c r="JPA309" s="36"/>
      <c r="JPB309" s="203"/>
      <c r="JPC309" s="33"/>
      <c r="JPD309" s="33"/>
      <c r="JPE309" s="33"/>
      <c r="JPF309" s="33"/>
      <c r="JPG309" s="33"/>
      <c r="JPH309" s="33"/>
      <c r="JPI309" s="37"/>
      <c r="JPJ309" s="208"/>
      <c r="JPK309" s="207"/>
      <c r="JPL309" s="204"/>
      <c r="JPM309" s="35"/>
      <c r="JPN309" s="203"/>
      <c r="JPO309" s="203"/>
      <c r="JPP309" s="36"/>
      <c r="JPQ309" s="36"/>
      <c r="JPR309" s="203"/>
      <c r="JPS309" s="33"/>
      <c r="JPT309" s="33"/>
      <c r="JPU309" s="33"/>
      <c r="JPV309" s="33"/>
      <c r="JPW309" s="33"/>
      <c r="JPX309" s="33"/>
      <c r="JPY309" s="37"/>
      <c r="JPZ309" s="208"/>
      <c r="JQA309" s="207"/>
      <c r="JQB309" s="204"/>
      <c r="JQC309" s="35"/>
      <c r="JQD309" s="203"/>
      <c r="JQE309" s="203"/>
      <c r="JQF309" s="36"/>
      <c r="JQG309" s="36"/>
      <c r="JQH309" s="203"/>
      <c r="JQI309" s="33"/>
      <c r="JQJ309" s="33"/>
      <c r="JQK309" s="33"/>
      <c r="JQL309" s="33"/>
      <c r="JQM309" s="33"/>
      <c r="JQN309" s="33"/>
      <c r="JQO309" s="37"/>
      <c r="JQP309" s="208"/>
      <c r="JQQ309" s="207"/>
      <c r="JQR309" s="204"/>
      <c r="JQS309" s="35"/>
      <c r="JQT309" s="203"/>
      <c r="JQU309" s="203"/>
      <c r="JQV309" s="36"/>
      <c r="JQW309" s="36"/>
      <c r="JQX309" s="203"/>
      <c r="JQY309" s="33"/>
      <c r="JQZ309" s="33"/>
      <c r="JRA309" s="33"/>
      <c r="JRB309" s="33"/>
      <c r="JRC309" s="33"/>
      <c r="JRD309" s="33"/>
      <c r="JRE309" s="37"/>
      <c r="JRF309" s="208"/>
      <c r="JRG309" s="207"/>
      <c r="JRH309" s="204"/>
      <c r="JRI309" s="35"/>
      <c r="JRJ309" s="203"/>
      <c r="JRK309" s="203"/>
      <c r="JRL309" s="36"/>
      <c r="JRM309" s="36"/>
      <c r="JRN309" s="203"/>
      <c r="JRO309" s="33"/>
      <c r="JRP309" s="33"/>
      <c r="JRQ309" s="33"/>
      <c r="JRR309" s="33"/>
      <c r="JRS309" s="33"/>
      <c r="JRT309" s="33"/>
      <c r="JRU309" s="37"/>
      <c r="JRV309" s="208"/>
      <c r="JRW309" s="207"/>
      <c r="JRX309" s="204"/>
      <c r="JRY309" s="35"/>
      <c r="JRZ309" s="203"/>
      <c r="JSA309" s="203"/>
      <c r="JSB309" s="36"/>
      <c r="JSC309" s="36"/>
      <c r="JSD309" s="203"/>
      <c r="JSE309" s="33"/>
      <c r="JSF309" s="33"/>
      <c r="JSG309" s="33"/>
      <c r="JSH309" s="33"/>
      <c r="JSI309" s="33"/>
      <c r="JSJ309" s="33"/>
      <c r="JSK309" s="37"/>
      <c r="JSL309" s="208"/>
      <c r="JSM309" s="207"/>
      <c r="JSN309" s="204"/>
      <c r="JSO309" s="35"/>
      <c r="JSP309" s="203"/>
      <c r="JSQ309" s="203"/>
      <c r="JSR309" s="36"/>
      <c r="JSS309" s="36"/>
      <c r="JST309" s="203"/>
      <c r="JSU309" s="33"/>
      <c r="JSV309" s="33"/>
      <c r="JSW309" s="33"/>
      <c r="JSX309" s="33"/>
      <c r="JSY309" s="33"/>
      <c r="JSZ309" s="33"/>
      <c r="JTA309" s="37"/>
      <c r="JTB309" s="208"/>
      <c r="JTC309" s="207"/>
      <c r="JTD309" s="204"/>
      <c r="JTE309" s="35"/>
      <c r="JTF309" s="203"/>
      <c r="JTG309" s="203"/>
      <c r="JTH309" s="36"/>
      <c r="JTI309" s="36"/>
      <c r="JTJ309" s="203"/>
      <c r="JTK309" s="33"/>
      <c r="JTL309" s="33"/>
      <c r="JTM309" s="33"/>
      <c r="JTN309" s="33"/>
      <c r="JTO309" s="33"/>
      <c r="JTP309" s="33"/>
      <c r="JTQ309" s="37"/>
      <c r="JTR309" s="208"/>
      <c r="JTS309" s="207"/>
      <c r="JTT309" s="204"/>
      <c r="JTU309" s="35"/>
      <c r="JTV309" s="203"/>
      <c r="JTW309" s="203"/>
      <c r="JTX309" s="36"/>
      <c r="JTY309" s="36"/>
      <c r="JTZ309" s="203"/>
      <c r="JUA309" s="33"/>
      <c r="JUB309" s="33"/>
      <c r="JUC309" s="33"/>
      <c r="JUD309" s="33"/>
      <c r="JUE309" s="33"/>
      <c r="JUF309" s="33"/>
      <c r="JUG309" s="37"/>
      <c r="JUH309" s="208"/>
      <c r="JUI309" s="207"/>
      <c r="JUJ309" s="204"/>
      <c r="JUK309" s="35"/>
      <c r="JUL309" s="203"/>
      <c r="JUM309" s="203"/>
      <c r="JUN309" s="36"/>
      <c r="JUO309" s="36"/>
      <c r="JUP309" s="203"/>
      <c r="JUQ309" s="33"/>
      <c r="JUR309" s="33"/>
      <c r="JUS309" s="33"/>
      <c r="JUT309" s="33"/>
      <c r="JUU309" s="33"/>
      <c r="JUV309" s="33"/>
      <c r="JUW309" s="37"/>
      <c r="JUX309" s="208"/>
      <c r="JUY309" s="207"/>
      <c r="JUZ309" s="204"/>
      <c r="JVA309" s="35"/>
      <c r="JVB309" s="203"/>
      <c r="JVC309" s="203"/>
      <c r="JVD309" s="36"/>
      <c r="JVE309" s="36"/>
      <c r="JVF309" s="203"/>
      <c r="JVG309" s="33"/>
      <c r="JVH309" s="33"/>
      <c r="JVI309" s="33"/>
      <c r="JVJ309" s="33"/>
      <c r="JVK309" s="33"/>
      <c r="JVL309" s="33"/>
      <c r="JVM309" s="37"/>
      <c r="JVN309" s="208"/>
      <c r="JVO309" s="207"/>
      <c r="JVP309" s="204"/>
      <c r="JVQ309" s="35"/>
      <c r="JVR309" s="203"/>
      <c r="JVS309" s="203"/>
      <c r="JVT309" s="36"/>
      <c r="JVU309" s="36"/>
      <c r="JVV309" s="203"/>
      <c r="JVW309" s="33"/>
      <c r="JVX309" s="33"/>
      <c r="JVY309" s="33"/>
      <c r="JVZ309" s="33"/>
      <c r="JWA309" s="33"/>
      <c r="JWB309" s="33"/>
      <c r="JWC309" s="37"/>
      <c r="JWD309" s="208"/>
      <c r="JWE309" s="207"/>
      <c r="JWF309" s="204"/>
      <c r="JWG309" s="35"/>
      <c r="JWH309" s="203"/>
      <c r="JWI309" s="203"/>
      <c r="JWJ309" s="36"/>
      <c r="JWK309" s="36"/>
      <c r="JWL309" s="203"/>
      <c r="JWM309" s="33"/>
      <c r="JWN309" s="33"/>
      <c r="JWO309" s="33"/>
      <c r="JWP309" s="33"/>
      <c r="JWQ309" s="33"/>
      <c r="JWR309" s="33"/>
      <c r="JWS309" s="37"/>
      <c r="JWT309" s="208"/>
      <c r="JWU309" s="207"/>
      <c r="JWV309" s="204"/>
      <c r="JWW309" s="35"/>
      <c r="JWX309" s="203"/>
      <c r="JWY309" s="203"/>
      <c r="JWZ309" s="36"/>
      <c r="JXA309" s="36"/>
      <c r="JXB309" s="203"/>
      <c r="JXC309" s="33"/>
      <c r="JXD309" s="33"/>
      <c r="JXE309" s="33"/>
      <c r="JXF309" s="33"/>
      <c r="JXG309" s="33"/>
      <c r="JXH309" s="33"/>
      <c r="JXI309" s="37"/>
      <c r="JXJ309" s="208"/>
      <c r="JXK309" s="207"/>
      <c r="JXL309" s="204"/>
      <c r="JXM309" s="35"/>
      <c r="JXN309" s="203"/>
      <c r="JXO309" s="203"/>
      <c r="JXP309" s="36"/>
      <c r="JXQ309" s="36"/>
      <c r="JXR309" s="203"/>
      <c r="JXS309" s="33"/>
      <c r="JXT309" s="33"/>
      <c r="JXU309" s="33"/>
      <c r="JXV309" s="33"/>
      <c r="JXW309" s="33"/>
      <c r="JXX309" s="33"/>
      <c r="JXY309" s="37"/>
      <c r="JXZ309" s="208"/>
      <c r="JYA309" s="207"/>
      <c r="JYB309" s="204"/>
      <c r="JYC309" s="35"/>
      <c r="JYD309" s="203"/>
      <c r="JYE309" s="203"/>
      <c r="JYF309" s="36"/>
      <c r="JYG309" s="36"/>
      <c r="JYH309" s="203"/>
      <c r="JYI309" s="33"/>
      <c r="JYJ309" s="33"/>
      <c r="JYK309" s="33"/>
      <c r="JYL309" s="33"/>
      <c r="JYM309" s="33"/>
      <c r="JYN309" s="33"/>
      <c r="JYO309" s="37"/>
      <c r="JYP309" s="208"/>
      <c r="JYQ309" s="207"/>
      <c r="JYR309" s="204"/>
      <c r="JYS309" s="35"/>
      <c r="JYT309" s="203"/>
      <c r="JYU309" s="203"/>
      <c r="JYV309" s="36"/>
      <c r="JYW309" s="36"/>
      <c r="JYX309" s="203"/>
      <c r="JYY309" s="33"/>
      <c r="JYZ309" s="33"/>
      <c r="JZA309" s="33"/>
      <c r="JZB309" s="33"/>
      <c r="JZC309" s="33"/>
      <c r="JZD309" s="33"/>
      <c r="JZE309" s="37"/>
      <c r="JZF309" s="208"/>
      <c r="JZG309" s="207"/>
      <c r="JZH309" s="204"/>
      <c r="JZI309" s="35"/>
      <c r="JZJ309" s="203"/>
      <c r="JZK309" s="203"/>
      <c r="JZL309" s="36"/>
      <c r="JZM309" s="36"/>
      <c r="JZN309" s="203"/>
      <c r="JZO309" s="33"/>
      <c r="JZP309" s="33"/>
      <c r="JZQ309" s="33"/>
      <c r="JZR309" s="33"/>
      <c r="JZS309" s="33"/>
      <c r="JZT309" s="33"/>
      <c r="JZU309" s="37"/>
      <c r="JZV309" s="208"/>
      <c r="JZW309" s="207"/>
      <c r="JZX309" s="204"/>
      <c r="JZY309" s="35"/>
      <c r="JZZ309" s="203"/>
      <c r="KAA309" s="203"/>
      <c r="KAB309" s="36"/>
      <c r="KAC309" s="36"/>
      <c r="KAD309" s="203"/>
      <c r="KAE309" s="33"/>
      <c r="KAF309" s="33"/>
      <c r="KAG309" s="33"/>
      <c r="KAH309" s="33"/>
      <c r="KAI309" s="33"/>
      <c r="KAJ309" s="33"/>
      <c r="KAK309" s="37"/>
      <c r="KAL309" s="208"/>
      <c r="KAM309" s="207"/>
      <c r="KAN309" s="204"/>
      <c r="KAO309" s="35"/>
      <c r="KAP309" s="203"/>
      <c r="KAQ309" s="203"/>
      <c r="KAR309" s="36"/>
      <c r="KAS309" s="36"/>
      <c r="KAT309" s="203"/>
      <c r="KAU309" s="33"/>
      <c r="KAV309" s="33"/>
      <c r="KAW309" s="33"/>
      <c r="KAX309" s="33"/>
      <c r="KAY309" s="33"/>
      <c r="KAZ309" s="33"/>
      <c r="KBA309" s="37"/>
      <c r="KBB309" s="208"/>
      <c r="KBC309" s="207"/>
      <c r="KBD309" s="204"/>
      <c r="KBE309" s="35"/>
      <c r="KBF309" s="203"/>
      <c r="KBG309" s="203"/>
      <c r="KBH309" s="36"/>
      <c r="KBI309" s="36"/>
      <c r="KBJ309" s="203"/>
      <c r="KBK309" s="33"/>
      <c r="KBL309" s="33"/>
      <c r="KBM309" s="33"/>
      <c r="KBN309" s="33"/>
      <c r="KBO309" s="33"/>
      <c r="KBP309" s="33"/>
      <c r="KBQ309" s="37"/>
      <c r="KBR309" s="208"/>
      <c r="KBS309" s="207"/>
      <c r="KBT309" s="204"/>
      <c r="KBU309" s="35"/>
      <c r="KBV309" s="203"/>
      <c r="KBW309" s="203"/>
      <c r="KBX309" s="36"/>
      <c r="KBY309" s="36"/>
      <c r="KBZ309" s="203"/>
      <c r="KCA309" s="33"/>
      <c r="KCB309" s="33"/>
      <c r="KCC309" s="33"/>
      <c r="KCD309" s="33"/>
      <c r="KCE309" s="33"/>
      <c r="KCF309" s="33"/>
      <c r="KCG309" s="37"/>
      <c r="KCH309" s="208"/>
      <c r="KCI309" s="207"/>
      <c r="KCJ309" s="204"/>
      <c r="KCK309" s="35"/>
      <c r="KCL309" s="203"/>
      <c r="KCM309" s="203"/>
      <c r="KCN309" s="36"/>
      <c r="KCO309" s="36"/>
      <c r="KCP309" s="203"/>
      <c r="KCQ309" s="33"/>
      <c r="KCR309" s="33"/>
      <c r="KCS309" s="33"/>
      <c r="KCT309" s="33"/>
      <c r="KCU309" s="33"/>
      <c r="KCV309" s="33"/>
      <c r="KCW309" s="37"/>
      <c r="KCX309" s="208"/>
      <c r="KCY309" s="207"/>
      <c r="KCZ309" s="204"/>
      <c r="KDA309" s="35"/>
      <c r="KDB309" s="203"/>
      <c r="KDC309" s="203"/>
      <c r="KDD309" s="36"/>
      <c r="KDE309" s="36"/>
      <c r="KDF309" s="203"/>
      <c r="KDG309" s="33"/>
      <c r="KDH309" s="33"/>
      <c r="KDI309" s="33"/>
      <c r="KDJ309" s="33"/>
      <c r="KDK309" s="33"/>
      <c r="KDL309" s="33"/>
      <c r="KDM309" s="37"/>
      <c r="KDN309" s="208"/>
      <c r="KDO309" s="207"/>
      <c r="KDP309" s="204"/>
      <c r="KDQ309" s="35"/>
      <c r="KDR309" s="203"/>
      <c r="KDS309" s="203"/>
      <c r="KDT309" s="36"/>
      <c r="KDU309" s="36"/>
      <c r="KDV309" s="203"/>
      <c r="KDW309" s="33"/>
      <c r="KDX309" s="33"/>
      <c r="KDY309" s="33"/>
      <c r="KDZ309" s="33"/>
      <c r="KEA309" s="33"/>
      <c r="KEB309" s="33"/>
      <c r="KEC309" s="37"/>
      <c r="KED309" s="208"/>
      <c r="KEE309" s="207"/>
      <c r="KEF309" s="204"/>
      <c r="KEG309" s="35"/>
      <c r="KEH309" s="203"/>
      <c r="KEI309" s="203"/>
      <c r="KEJ309" s="36"/>
      <c r="KEK309" s="36"/>
      <c r="KEL309" s="203"/>
      <c r="KEM309" s="33"/>
      <c r="KEN309" s="33"/>
      <c r="KEO309" s="33"/>
      <c r="KEP309" s="33"/>
      <c r="KEQ309" s="33"/>
      <c r="KER309" s="33"/>
      <c r="KES309" s="37"/>
      <c r="KET309" s="208"/>
      <c r="KEU309" s="207"/>
      <c r="KEV309" s="204"/>
      <c r="KEW309" s="35"/>
      <c r="KEX309" s="203"/>
      <c r="KEY309" s="203"/>
      <c r="KEZ309" s="36"/>
      <c r="KFA309" s="36"/>
      <c r="KFB309" s="203"/>
      <c r="KFC309" s="33"/>
      <c r="KFD309" s="33"/>
      <c r="KFE309" s="33"/>
      <c r="KFF309" s="33"/>
      <c r="KFG309" s="33"/>
      <c r="KFH309" s="33"/>
      <c r="KFI309" s="37"/>
      <c r="KFJ309" s="208"/>
      <c r="KFK309" s="207"/>
      <c r="KFL309" s="204"/>
      <c r="KFM309" s="35"/>
      <c r="KFN309" s="203"/>
      <c r="KFO309" s="203"/>
      <c r="KFP309" s="36"/>
      <c r="KFQ309" s="36"/>
      <c r="KFR309" s="203"/>
      <c r="KFS309" s="33"/>
      <c r="KFT309" s="33"/>
      <c r="KFU309" s="33"/>
      <c r="KFV309" s="33"/>
      <c r="KFW309" s="33"/>
      <c r="KFX309" s="33"/>
      <c r="KFY309" s="37"/>
      <c r="KFZ309" s="208"/>
      <c r="KGA309" s="207"/>
      <c r="KGB309" s="204"/>
      <c r="KGC309" s="35"/>
      <c r="KGD309" s="203"/>
      <c r="KGE309" s="203"/>
      <c r="KGF309" s="36"/>
      <c r="KGG309" s="36"/>
      <c r="KGH309" s="203"/>
      <c r="KGI309" s="33"/>
      <c r="KGJ309" s="33"/>
      <c r="KGK309" s="33"/>
      <c r="KGL309" s="33"/>
      <c r="KGM309" s="33"/>
      <c r="KGN309" s="33"/>
      <c r="KGO309" s="37"/>
      <c r="KGP309" s="208"/>
      <c r="KGQ309" s="207"/>
      <c r="KGR309" s="204"/>
      <c r="KGS309" s="35"/>
      <c r="KGT309" s="203"/>
      <c r="KGU309" s="203"/>
      <c r="KGV309" s="36"/>
      <c r="KGW309" s="36"/>
      <c r="KGX309" s="203"/>
      <c r="KGY309" s="33"/>
      <c r="KGZ309" s="33"/>
      <c r="KHA309" s="33"/>
      <c r="KHB309" s="33"/>
      <c r="KHC309" s="33"/>
      <c r="KHD309" s="33"/>
      <c r="KHE309" s="37"/>
      <c r="KHF309" s="208"/>
      <c r="KHG309" s="207"/>
      <c r="KHH309" s="204"/>
      <c r="KHI309" s="35"/>
      <c r="KHJ309" s="203"/>
      <c r="KHK309" s="203"/>
      <c r="KHL309" s="36"/>
      <c r="KHM309" s="36"/>
      <c r="KHN309" s="203"/>
      <c r="KHO309" s="33"/>
      <c r="KHP309" s="33"/>
      <c r="KHQ309" s="33"/>
      <c r="KHR309" s="33"/>
      <c r="KHS309" s="33"/>
      <c r="KHT309" s="33"/>
      <c r="KHU309" s="37"/>
      <c r="KHV309" s="208"/>
      <c r="KHW309" s="207"/>
      <c r="KHX309" s="204"/>
      <c r="KHY309" s="35"/>
      <c r="KHZ309" s="203"/>
      <c r="KIA309" s="203"/>
      <c r="KIB309" s="36"/>
      <c r="KIC309" s="36"/>
      <c r="KID309" s="203"/>
      <c r="KIE309" s="33"/>
      <c r="KIF309" s="33"/>
      <c r="KIG309" s="33"/>
      <c r="KIH309" s="33"/>
      <c r="KII309" s="33"/>
      <c r="KIJ309" s="33"/>
      <c r="KIK309" s="37"/>
      <c r="KIL309" s="208"/>
      <c r="KIM309" s="207"/>
      <c r="KIN309" s="204"/>
      <c r="KIO309" s="35"/>
      <c r="KIP309" s="203"/>
      <c r="KIQ309" s="203"/>
      <c r="KIR309" s="36"/>
      <c r="KIS309" s="36"/>
      <c r="KIT309" s="203"/>
      <c r="KIU309" s="33"/>
      <c r="KIV309" s="33"/>
      <c r="KIW309" s="33"/>
      <c r="KIX309" s="33"/>
      <c r="KIY309" s="33"/>
      <c r="KIZ309" s="33"/>
      <c r="KJA309" s="37"/>
      <c r="KJB309" s="208"/>
      <c r="KJC309" s="207"/>
      <c r="KJD309" s="204"/>
      <c r="KJE309" s="35"/>
      <c r="KJF309" s="203"/>
      <c r="KJG309" s="203"/>
      <c r="KJH309" s="36"/>
      <c r="KJI309" s="36"/>
      <c r="KJJ309" s="203"/>
      <c r="KJK309" s="33"/>
      <c r="KJL309" s="33"/>
      <c r="KJM309" s="33"/>
      <c r="KJN309" s="33"/>
      <c r="KJO309" s="33"/>
      <c r="KJP309" s="33"/>
      <c r="KJQ309" s="37"/>
      <c r="KJR309" s="208"/>
      <c r="KJS309" s="207"/>
      <c r="KJT309" s="204"/>
      <c r="KJU309" s="35"/>
      <c r="KJV309" s="203"/>
      <c r="KJW309" s="203"/>
      <c r="KJX309" s="36"/>
      <c r="KJY309" s="36"/>
      <c r="KJZ309" s="203"/>
      <c r="KKA309" s="33"/>
      <c r="KKB309" s="33"/>
      <c r="KKC309" s="33"/>
      <c r="KKD309" s="33"/>
      <c r="KKE309" s="33"/>
      <c r="KKF309" s="33"/>
      <c r="KKG309" s="37"/>
      <c r="KKH309" s="208"/>
      <c r="KKI309" s="207"/>
      <c r="KKJ309" s="204"/>
      <c r="KKK309" s="35"/>
      <c r="KKL309" s="203"/>
      <c r="KKM309" s="203"/>
      <c r="KKN309" s="36"/>
      <c r="KKO309" s="36"/>
      <c r="KKP309" s="203"/>
      <c r="KKQ309" s="33"/>
      <c r="KKR309" s="33"/>
      <c r="KKS309" s="33"/>
      <c r="KKT309" s="33"/>
      <c r="KKU309" s="33"/>
      <c r="KKV309" s="33"/>
      <c r="KKW309" s="37"/>
      <c r="KKX309" s="208"/>
      <c r="KKY309" s="207"/>
      <c r="KKZ309" s="204"/>
      <c r="KLA309" s="35"/>
      <c r="KLB309" s="203"/>
      <c r="KLC309" s="203"/>
      <c r="KLD309" s="36"/>
      <c r="KLE309" s="36"/>
      <c r="KLF309" s="203"/>
      <c r="KLG309" s="33"/>
      <c r="KLH309" s="33"/>
      <c r="KLI309" s="33"/>
      <c r="KLJ309" s="33"/>
      <c r="KLK309" s="33"/>
      <c r="KLL309" s="33"/>
      <c r="KLM309" s="37"/>
      <c r="KLN309" s="208"/>
      <c r="KLO309" s="207"/>
      <c r="KLP309" s="204"/>
      <c r="KLQ309" s="35"/>
      <c r="KLR309" s="203"/>
      <c r="KLS309" s="203"/>
      <c r="KLT309" s="36"/>
      <c r="KLU309" s="36"/>
      <c r="KLV309" s="203"/>
      <c r="KLW309" s="33"/>
      <c r="KLX309" s="33"/>
      <c r="KLY309" s="33"/>
      <c r="KLZ309" s="33"/>
      <c r="KMA309" s="33"/>
      <c r="KMB309" s="33"/>
      <c r="KMC309" s="37"/>
      <c r="KMD309" s="208"/>
      <c r="KME309" s="207"/>
      <c r="KMF309" s="204"/>
      <c r="KMG309" s="35"/>
      <c r="KMH309" s="203"/>
      <c r="KMI309" s="203"/>
      <c r="KMJ309" s="36"/>
      <c r="KMK309" s="36"/>
      <c r="KML309" s="203"/>
      <c r="KMM309" s="33"/>
      <c r="KMN309" s="33"/>
      <c r="KMO309" s="33"/>
      <c r="KMP309" s="33"/>
      <c r="KMQ309" s="33"/>
      <c r="KMR309" s="33"/>
      <c r="KMS309" s="37"/>
      <c r="KMT309" s="208"/>
      <c r="KMU309" s="207"/>
      <c r="KMV309" s="204"/>
      <c r="KMW309" s="35"/>
      <c r="KMX309" s="203"/>
      <c r="KMY309" s="203"/>
      <c r="KMZ309" s="36"/>
      <c r="KNA309" s="36"/>
      <c r="KNB309" s="203"/>
      <c r="KNC309" s="33"/>
      <c r="KND309" s="33"/>
      <c r="KNE309" s="33"/>
      <c r="KNF309" s="33"/>
      <c r="KNG309" s="33"/>
      <c r="KNH309" s="33"/>
      <c r="KNI309" s="37"/>
      <c r="KNJ309" s="208"/>
      <c r="KNK309" s="207"/>
      <c r="KNL309" s="204"/>
      <c r="KNM309" s="35"/>
      <c r="KNN309" s="203"/>
      <c r="KNO309" s="203"/>
      <c r="KNP309" s="36"/>
      <c r="KNQ309" s="36"/>
      <c r="KNR309" s="203"/>
      <c r="KNS309" s="33"/>
      <c r="KNT309" s="33"/>
      <c r="KNU309" s="33"/>
      <c r="KNV309" s="33"/>
      <c r="KNW309" s="33"/>
      <c r="KNX309" s="33"/>
      <c r="KNY309" s="37"/>
      <c r="KNZ309" s="208"/>
      <c r="KOA309" s="207"/>
      <c r="KOB309" s="204"/>
      <c r="KOC309" s="35"/>
      <c r="KOD309" s="203"/>
      <c r="KOE309" s="203"/>
      <c r="KOF309" s="36"/>
      <c r="KOG309" s="36"/>
      <c r="KOH309" s="203"/>
      <c r="KOI309" s="33"/>
      <c r="KOJ309" s="33"/>
      <c r="KOK309" s="33"/>
      <c r="KOL309" s="33"/>
      <c r="KOM309" s="33"/>
      <c r="KON309" s="33"/>
      <c r="KOO309" s="37"/>
      <c r="KOP309" s="208"/>
      <c r="KOQ309" s="207"/>
      <c r="KOR309" s="204"/>
      <c r="KOS309" s="35"/>
      <c r="KOT309" s="203"/>
      <c r="KOU309" s="203"/>
      <c r="KOV309" s="36"/>
      <c r="KOW309" s="36"/>
      <c r="KOX309" s="203"/>
      <c r="KOY309" s="33"/>
      <c r="KOZ309" s="33"/>
      <c r="KPA309" s="33"/>
      <c r="KPB309" s="33"/>
      <c r="KPC309" s="33"/>
      <c r="KPD309" s="33"/>
      <c r="KPE309" s="37"/>
      <c r="KPF309" s="208"/>
      <c r="KPG309" s="207"/>
      <c r="KPH309" s="204"/>
      <c r="KPI309" s="35"/>
      <c r="KPJ309" s="203"/>
      <c r="KPK309" s="203"/>
      <c r="KPL309" s="36"/>
      <c r="KPM309" s="36"/>
      <c r="KPN309" s="203"/>
      <c r="KPO309" s="33"/>
      <c r="KPP309" s="33"/>
      <c r="KPQ309" s="33"/>
      <c r="KPR309" s="33"/>
      <c r="KPS309" s="33"/>
      <c r="KPT309" s="33"/>
      <c r="KPU309" s="37"/>
      <c r="KPV309" s="208"/>
      <c r="KPW309" s="207"/>
      <c r="KPX309" s="204"/>
      <c r="KPY309" s="35"/>
      <c r="KPZ309" s="203"/>
      <c r="KQA309" s="203"/>
      <c r="KQB309" s="36"/>
      <c r="KQC309" s="36"/>
      <c r="KQD309" s="203"/>
      <c r="KQE309" s="33"/>
      <c r="KQF309" s="33"/>
      <c r="KQG309" s="33"/>
      <c r="KQH309" s="33"/>
      <c r="KQI309" s="33"/>
      <c r="KQJ309" s="33"/>
      <c r="KQK309" s="37"/>
      <c r="KQL309" s="208"/>
      <c r="KQM309" s="207"/>
      <c r="KQN309" s="204"/>
      <c r="KQO309" s="35"/>
      <c r="KQP309" s="203"/>
      <c r="KQQ309" s="203"/>
      <c r="KQR309" s="36"/>
      <c r="KQS309" s="36"/>
      <c r="KQT309" s="203"/>
      <c r="KQU309" s="33"/>
      <c r="KQV309" s="33"/>
      <c r="KQW309" s="33"/>
      <c r="KQX309" s="33"/>
      <c r="KQY309" s="33"/>
      <c r="KQZ309" s="33"/>
      <c r="KRA309" s="37"/>
      <c r="KRB309" s="208"/>
      <c r="KRC309" s="207"/>
      <c r="KRD309" s="204"/>
      <c r="KRE309" s="35"/>
      <c r="KRF309" s="203"/>
      <c r="KRG309" s="203"/>
      <c r="KRH309" s="36"/>
      <c r="KRI309" s="36"/>
      <c r="KRJ309" s="203"/>
      <c r="KRK309" s="33"/>
      <c r="KRL309" s="33"/>
      <c r="KRM309" s="33"/>
      <c r="KRN309" s="33"/>
      <c r="KRO309" s="33"/>
      <c r="KRP309" s="33"/>
      <c r="KRQ309" s="37"/>
      <c r="KRR309" s="208"/>
      <c r="KRS309" s="207"/>
      <c r="KRT309" s="204"/>
      <c r="KRU309" s="35"/>
      <c r="KRV309" s="203"/>
      <c r="KRW309" s="203"/>
      <c r="KRX309" s="36"/>
      <c r="KRY309" s="36"/>
      <c r="KRZ309" s="203"/>
      <c r="KSA309" s="33"/>
      <c r="KSB309" s="33"/>
      <c r="KSC309" s="33"/>
      <c r="KSD309" s="33"/>
      <c r="KSE309" s="33"/>
      <c r="KSF309" s="33"/>
      <c r="KSG309" s="37"/>
      <c r="KSH309" s="208"/>
      <c r="KSI309" s="207"/>
      <c r="KSJ309" s="204"/>
      <c r="KSK309" s="35"/>
      <c r="KSL309" s="203"/>
      <c r="KSM309" s="203"/>
      <c r="KSN309" s="36"/>
      <c r="KSO309" s="36"/>
      <c r="KSP309" s="203"/>
      <c r="KSQ309" s="33"/>
      <c r="KSR309" s="33"/>
      <c r="KSS309" s="33"/>
      <c r="KST309" s="33"/>
      <c r="KSU309" s="33"/>
      <c r="KSV309" s="33"/>
      <c r="KSW309" s="37"/>
      <c r="KSX309" s="208"/>
      <c r="KSY309" s="207"/>
      <c r="KSZ309" s="204"/>
      <c r="KTA309" s="35"/>
      <c r="KTB309" s="203"/>
      <c r="KTC309" s="203"/>
      <c r="KTD309" s="36"/>
      <c r="KTE309" s="36"/>
      <c r="KTF309" s="203"/>
      <c r="KTG309" s="33"/>
      <c r="KTH309" s="33"/>
      <c r="KTI309" s="33"/>
      <c r="KTJ309" s="33"/>
      <c r="KTK309" s="33"/>
      <c r="KTL309" s="33"/>
      <c r="KTM309" s="37"/>
      <c r="KTN309" s="208"/>
      <c r="KTO309" s="207"/>
      <c r="KTP309" s="204"/>
      <c r="KTQ309" s="35"/>
      <c r="KTR309" s="203"/>
      <c r="KTS309" s="203"/>
      <c r="KTT309" s="36"/>
      <c r="KTU309" s="36"/>
      <c r="KTV309" s="203"/>
      <c r="KTW309" s="33"/>
      <c r="KTX309" s="33"/>
      <c r="KTY309" s="33"/>
      <c r="KTZ309" s="33"/>
      <c r="KUA309" s="33"/>
      <c r="KUB309" s="33"/>
      <c r="KUC309" s="37"/>
      <c r="KUD309" s="208"/>
      <c r="KUE309" s="207"/>
      <c r="KUF309" s="204"/>
      <c r="KUG309" s="35"/>
      <c r="KUH309" s="203"/>
      <c r="KUI309" s="203"/>
      <c r="KUJ309" s="36"/>
      <c r="KUK309" s="36"/>
      <c r="KUL309" s="203"/>
      <c r="KUM309" s="33"/>
      <c r="KUN309" s="33"/>
      <c r="KUO309" s="33"/>
      <c r="KUP309" s="33"/>
      <c r="KUQ309" s="33"/>
      <c r="KUR309" s="33"/>
      <c r="KUS309" s="37"/>
      <c r="KUT309" s="208"/>
      <c r="KUU309" s="207"/>
      <c r="KUV309" s="204"/>
      <c r="KUW309" s="35"/>
      <c r="KUX309" s="203"/>
      <c r="KUY309" s="203"/>
      <c r="KUZ309" s="36"/>
      <c r="KVA309" s="36"/>
      <c r="KVB309" s="203"/>
      <c r="KVC309" s="33"/>
      <c r="KVD309" s="33"/>
      <c r="KVE309" s="33"/>
      <c r="KVF309" s="33"/>
      <c r="KVG309" s="33"/>
      <c r="KVH309" s="33"/>
      <c r="KVI309" s="37"/>
      <c r="KVJ309" s="208"/>
      <c r="KVK309" s="207"/>
      <c r="KVL309" s="204"/>
      <c r="KVM309" s="35"/>
      <c r="KVN309" s="203"/>
      <c r="KVO309" s="203"/>
      <c r="KVP309" s="36"/>
      <c r="KVQ309" s="36"/>
      <c r="KVR309" s="203"/>
      <c r="KVS309" s="33"/>
      <c r="KVT309" s="33"/>
      <c r="KVU309" s="33"/>
      <c r="KVV309" s="33"/>
      <c r="KVW309" s="33"/>
      <c r="KVX309" s="33"/>
      <c r="KVY309" s="37"/>
      <c r="KVZ309" s="208"/>
      <c r="KWA309" s="207"/>
      <c r="KWB309" s="204"/>
      <c r="KWC309" s="35"/>
      <c r="KWD309" s="203"/>
      <c r="KWE309" s="203"/>
      <c r="KWF309" s="36"/>
      <c r="KWG309" s="36"/>
      <c r="KWH309" s="203"/>
      <c r="KWI309" s="33"/>
      <c r="KWJ309" s="33"/>
      <c r="KWK309" s="33"/>
      <c r="KWL309" s="33"/>
      <c r="KWM309" s="33"/>
      <c r="KWN309" s="33"/>
      <c r="KWO309" s="37"/>
      <c r="KWP309" s="208"/>
      <c r="KWQ309" s="207"/>
      <c r="KWR309" s="204"/>
      <c r="KWS309" s="35"/>
      <c r="KWT309" s="203"/>
      <c r="KWU309" s="203"/>
      <c r="KWV309" s="36"/>
      <c r="KWW309" s="36"/>
      <c r="KWX309" s="203"/>
      <c r="KWY309" s="33"/>
      <c r="KWZ309" s="33"/>
      <c r="KXA309" s="33"/>
      <c r="KXB309" s="33"/>
      <c r="KXC309" s="33"/>
      <c r="KXD309" s="33"/>
      <c r="KXE309" s="37"/>
      <c r="KXF309" s="208"/>
      <c r="KXG309" s="207"/>
      <c r="KXH309" s="204"/>
      <c r="KXI309" s="35"/>
      <c r="KXJ309" s="203"/>
      <c r="KXK309" s="203"/>
      <c r="KXL309" s="36"/>
      <c r="KXM309" s="36"/>
      <c r="KXN309" s="203"/>
      <c r="KXO309" s="33"/>
      <c r="KXP309" s="33"/>
      <c r="KXQ309" s="33"/>
      <c r="KXR309" s="33"/>
      <c r="KXS309" s="33"/>
      <c r="KXT309" s="33"/>
      <c r="KXU309" s="37"/>
      <c r="KXV309" s="208"/>
      <c r="KXW309" s="207"/>
      <c r="KXX309" s="204"/>
      <c r="KXY309" s="35"/>
      <c r="KXZ309" s="203"/>
      <c r="KYA309" s="203"/>
      <c r="KYB309" s="36"/>
      <c r="KYC309" s="36"/>
      <c r="KYD309" s="203"/>
      <c r="KYE309" s="33"/>
      <c r="KYF309" s="33"/>
      <c r="KYG309" s="33"/>
      <c r="KYH309" s="33"/>
      <c r="KYI309" s="33"/>
      <c r="KYJ309" s="33"/>
      <c r="KYK309" s="37"/>
      <c r="KYL309" s="208"/>
      <c r="KYM309" s="207"/>
      <c r="KYN309" s="204"/>
      <c r="KYO309" s="35"/>
      <c r="KYP309" s="203"/>
      <c r="KYQ309" s="203"/>
      <c r="KYR309" s="36"/>
      <c r="KYS309" s="36"/>
      <c r="KYT309" s="203"/>
      <c r="KYU309" s="33"/>
      <c r="KYV309" s="33"/>
      <c r="KYW309" s="33"/>
      <c r="KYX309" s="33"/>
      <c r="KYY309" s="33"/>
      <c r="KYZ309" s="33"/>
      <c r="KZA309" s="37"/>
      <c r="KZB309" s="208"/>
      <c r="KZC309" s="207"/>
      <c r="KZD309" s="204"/>
      <c r="KZE309" s="35"/>
      <c r="KZF309" s="203"/>
      <c r="KZG309" s="203"/>
      <c r="KZH309" s="36"/>
      <c r="KZI309" s="36"/>
      <c r="KZJ309" s="203"/>
      <c r="KZK309" s="33"/>
      <c r="KZL309" s="33"/>
      <c r="KZM309" s="33"/>
      <c r="KZN309" s="33"/>
      <c r="KZO309" s="33"/>
      <c r="KZP309" s="33"/>
      <c r="KZQ309" s="37"/>
      <c r="KZR309" s="208"/>
      <c r="KZS309" s="207"/>
      <c r="KZT309" s="204"/>
      <c r="KZU309" s="35"/>
      <c r="KZV309" s="203"/>
      <c r="KZW309" s="203"/>
      <c r="KZX309" s="36"/>
      <c r="KZY309" s="36"/>
      <c r="KZZ309" s="203"/>
      <c r="LAA309" s="33"/>
      <c r="LAB309" s="33"/>
      <c r="LAC309" s="33"/>
      <c r="LAD309" s="33"/>
      <c r="LAE309" s="33"/>
      <c r="LAF309" s="33"/>
      <c r="LAG309" s="37"/>
      <c r="LAH309" s="208"/>
      <c r="LAI309" s="207"/>
      <c r="LAJ309" s="204"/>
      <c r="LAK309" s="35"/>
      <c r="LAL309" s="203"/>
      <c r="LAM309" s="203"/>
      <c r="LAN309" s="36"/>
      <c r="LAO309" s="36"/>
      <c r="LAP309" s="203"/>
      <c r="LAQ309" s="33"/>
      <c r="LAR309" s="33"/>
      <c r="LAS309" s="33"/>
      <c r="LAT309" s="33"/>
      <c r="LAU309" s="33"/>
      <c r="LAV309" s="33"/>
      <c r="LAW309" s="37"/>
      <c r="LAX309" s="208"/>
      <c r="LAY309" s="207"/>
      <c r="LAZ309" s="204"/>
      <c r="LBA309" s="35"/>
      <c r="LBB309" s="203"/>
      <c r="LBC309" s="203"/>
      <c r="LBD309" s="36"/>
      <c r="LBE309" s="36"/>
      <c r="LBF309" s="203"/>
      <c r="LBG309" s="33"/>
      <c r="LBH309" s="33"/>
      <c r="LBI309" s="33"/>
      <c r="LBJ309" s="33"/>
      <c r="LBK309" s="33"/>
      <c r="LBL309" s="33"/>
      <c r="LBM309" s="37"/>
      <c r="LBN309" s="208"/>
      <c r="LBO309" s="207"/>
      <c r="LBP309" s="204"/>
      <c r="LBQ309" s="35"/>
      <c r="LBR309" s="203"/>
      <c r="LBS309" s="203"/>
      <c r="LBT309" s="36"/>
      <c r="LBU309" s="36"/>
      <c r="LBV309" s="203"/>
      <c r="LBW309" s="33"/>
      <c r="LBX309" s="33"/>
      <c r="LBY309" s="33"/>
      <c r="LBZ309" s="33"/>
      <c r="LCA309" s="33"/>
      <c r="LCB309" s="33"/>
      <c r="LCC309" s="37"/>
      <c r="LCD309" s="208"/>
      <c r="LCE309" s="207"/>
      <c r="LCF309" s="204"/>
      <c r="LCG309" s="35"/>
      <c r="LCH309" s="203"/>
      <c r="LCI309" s="203"/>
      <c r="LCJ309" s="36"/>
      <c r="LCK309" s="36"/>
      <c r="LCL309" s="203"/>
      <c r="LCM309" s="33"/>
      <c r="LCN309" s="33"/>
      <c r="LCO309" s="33"/>
      <c r="LCP309" s="33"/>
      <c r="LCQ309" s="33"/>
      <c r="LCR309" s="33"/>
      <c r="LCS309" s="37"/>
      <c r="LCT309" s="208"/>
      <c r="LCU309" s="207"/>
      <c r="LCV309" s="204"/>
      <c r="LCW309" s="35"/>
      <c r="LCX309" s="203"/>
      <c r="LCY309" s="203"/>
      <c r="LCZ309" s="36"/>
      <c r="LDA309" s="36"/>
      <c r="LDB309" s="203"/>
      <c r="LDC309" s="33"/>
      <c r="LDD309" s="33"/>
      <c r="LDE309" s="33"/>
      <c r="LDF309" s="33"/>
      <c r="LDG309" s="33"/>
      <c r="LDH309" s="33"/>
      <c r="LDI309" s="37"/>
      <c r="LDJ309" s="208"/>
      <c r="LDK309" s="207"/>
      <c r="LDL309" s="204"/>
      <c r="LDM309" s="35"/>
      <c r="LDN309" s="203"/>
      <c r="LDO309" s="203"/>
      <c r="LDP309" s="36"/>
      <c r="LDQ309" s="36"/>
      <c r="LDR309" s="203"/>
      <c r="LDS309" s="33"/>
      <c r="LDT309" s="33"/>
      <c r="LDU309" s="33"/>
      <c r="LDV309" s="33"/>
      <c r="LDW309" s="33"/>
      <c r="LDX309" s="33"/>
      <c r="LDY309" s="37"/>
      <c r="LDZ309" s="208"/>
      <c r="LEA309" s="207"/>
      <c r="LEB309" s="204"/>
      <c r="LEC309" s="35"/>
      <c r="LED309" s="203"/>
      <c r="LEE309" s="203"/>
      <c r="LEF309" s="36"/>
      <c r="LEG309" s="36"/>
      <c r="LEH309" s="203"/>
      <c r="LEI309" s="33"/>
      <c r="LEJ309" s="33"/>
      <c r="LEK309" s="33"/>
      <c r="LEL309" s="33"/>
      <c r="LEM309" s="33"/>
      <c r="LEN309" s="33"/>
      <c r="LEO309" s="37"/>
      <c r="LEP309" s="208"/>
      <c r="LEQ309" s="207"/>
      <c r="LER309" s="204"/>
      <c r="LES309" s="35"/>
      <c r="LET309" s="203"/>
      <c r="LEU309" s="203"/>
      <c r="LEV309" s="36"/>
      <c r="LEW309" s="36"/>
      <c r="LEX309" s="203"/>
      <c r="LEY309" s="33"/>
      <c r="LEZ309" s="33"/>
      <c r="LFA309" s="33"/>
      <c r="LFB309" s="33"/>
      <c r="LFC309" s="33"/>
      <c r="LFD309" s="33"/>
      <c r="LFE309" s="37"/>
      <c r="LFF309" s="208"/>
      <c r="LFG309" s="207"/>
      <c r="LFH309" s="204"/>
      <c r="LFI309" s="35"/>
      <c r="LFJ309" s="203"/>
      <c r="LFK309" s="203"/>
      <c r="LFL309" s="36"/>
      <c r="LFM309" s="36"/>
      <c r="LFN309" s="203"/>
      <c r="LFO309" s="33"/>
      <c r="LFP309" s="33"/>
      <c r="LFQ309" s="33"/>
      <c r="LFR309" s="33"/>
      <c r="LFS309" s="33"/>
      <c r="LFT309" s="33"/>
      <c r="LFU309" s="37"/>
      <c r="LFV309" s="208"/>
      <c r="LFW309" s="207"/>
      <c r="LFX309" s="204"/>
      <c r="LFY309" s="35"/>
      <c r="LFZ309" s="203"/>
      <c r="LGA309" s="203"/>
      <c r="LGB309" s="36"/>
      <c r="LGC309" s="36"/>
      <c r="LGD309" s="203"/>
      <c r="LGE309" s="33"/>
      <c r="LGF309" s="33"/>
      <c r="LGG309" s="33"/>
      <c r="LGH309" s="33"/>
      <c r="LGI309" s="33"/>
      <c r="LGJ309" s="33"/>
      <c r="LGK309" s="37"/>
      <c r="LGL309" s="208"/>
      <c r="LGM309" s="207"/>
      <c r="LGN309" s="204"/>
      <c r="LGO309" s="35"/>
      <c r="LGP309" s="203"/>
      <c r="LGQ309" s="203"/>
      <c r="LGR309" s="36"/>
      <c r="LGS309" s="36"/>
      <c r="LGT309" s="203"/>
      <c r="LGU309" s="33"/>
      <c r="LGV309" s="33"/>
      <c r="LGW309" s="33"/>
      <c r="LGX309" s="33"/>
      <c r="LGY309" s="33"/>
      <c r="LGZ309" s="33"/>
      <c r="LHA309" s="37"/>
      <c r="LHB309" s="208"/>
      <c r="LHC309" s="207"/>
      <c r="LHD309" s="204"/>
      <c r="LHE309" s="35"/>
      <c r="LHF309" s="203"/>
      <c r="LHG309" s="203"/>
      <c r="LHH309" s="36"/>
      <c r="LHI309" s="36"/>
      <c r="LHJ309" s="203"/>
      <c r="LHK309" s="33"/>
      <c r="LHL309" s="33"/>
      <c r="LHM309" s="33"/>
      <c r="LHN309" s="33"/>
      <c r="LHO309" s="33"/>
      <c r="LHP309" s="33"/>
      <c r="LHQ309" s="37"/>
      <c r="LHR309" s="208"/>
      <c r="LHS309" s="207"/>
      <c r="LHT309" s="204"/>
      <c r="LHU309" s="35"/>
      <c r="LHV309" s="203"/>
      <c r="LHW309" s="203"/>
      <c r="LHX309" s="36"/>
      <c r="LHY309" s="36"/>
      <c r="LHZ309" s="203"/>
      <c r="LIA309" s="33"/>
      <c r="LIB309" s="33"/>
      <c r="LIC309" s="33"/>
      <c r="LID309" s="33"/>
      <c r="LIE309" s="33"/>
      <c r="LIF309" s="33"/>
      <c r="LIG309" s="37"/>
      <c r="LIH309" s="208"/>
      <c r="LII309" s="207"/>
      <c r="LIJ309" s="204"/>
      <c r="LIK309" s="35"/>
      <c r="LIL309" s="203"/>
      <c r="LIM309" s="203"/>
      <c r="LIN309" s="36"/>
      <c r="LIO309" s="36"/>
      <c r="LIP309" s="203"/>
      <c r="LIQ309" s="33"/>
      <c r="LIR309" s="33"/>
      <c r="LIS309" s="33"/>
      <c r="LIT309" s="33"/>
      <c r="LIU309" s="33"/>
      <c r="LIV309" s="33"/>
      <c r="LIW309" s="37"/>
      <c r="LIX309" s="208"/>
      <c r="LIY309" s="207"/>
      <c r="LIZ309" s="204"/>
      <c r="LJA309" s="35"/>
      <c r="LJB309" s="203"/>
      <c r="LJC309" s="203"/>
      <c r="LJD309" s="36"/>
      <c r="LJE309" s="36"/>
      <c r="LJF309" s="203"/>
      <c r="LJG309" s="33"/>
      <c r="LJH309" s="33"/>
      <c r="LJI309" s="33"/>
      <c r="LJJ309" s="33"/>
      <c r="LJK309" s="33"/>
      <c r="LJL309" s="33"/>
      <c r="LJM309" s="37"/>
      <c r="LJN309" s="208"/>
      <c r="LJO309" s="207"/>
      <c r="LJP309" s="204"/>
      <c r="LJQ309" s="35"/>
      <c r="LJR309" s="203"/>
      <c r="LJS309" s="203"/>
      <c r="LJT309" s="36"/>
      <c r="LJU309" s="36"/>
      <c r="LJV309" s="203"/>
      <c r="LJW309" s="33"/>
      <c r="LJX309" s="33"/>
      <c r="LJY309" s="33"/>
      <c r="LJZ309" s="33"/>
      <c r="LKA309" s="33"/>
      <c r="LKB309" s="33"/>
      <c r="LKC309" s="37"/>
      <c r="LKD309" s="208"/>
      <c r="LKE309" s="207"/>
      <c r="LKF309" s="204"/>
      <c r="LKG309" s="35"/>
      <c r="LKH309" s="203"/>
      <c r="LKI309" s="203"/>
      <c r="LKJ309" s="36"/>
      <c r="LKK309" s="36"/>
      <c r="LKL309" s="203"/>
      <c r="LKM309" s="33"/>
      <c r="LKN309" s="33"/>
      <c r="LKO309" s="33"/>
      <c r="LKP309" s="33"/>
      <c r="LKQ309" s="33"/>
      <c r="LKR309" s="33"/>
      <c r="LKS309" s="37"/>
      <c r="LKT309" s="208"/>
      <c r="LKU309" s="207"/>
      <c r="LKV309" s="204"/>
      <c r="LKW309" s="35"/>
      <c r="LKX309" s="203"/>
      <c r="LKY309" s="203"/>
      <c r="LKZ309" s="36"/>
      <c r="LLA309" s="36"/>
      <c r="LLB309" s="203"/>
      <c r="LLC309" s="33"/>
      <c r="LLD309" s="33"/>
      <c r="LLE309" s="33"/>
      <c r="LLF309" s="33"/>
      <c r="LLG309" s="33"/>
      <c r="LLH309" s="33"/>
      <c r="LLI309" s="37"/>
      <c r="LLJ309" s="208"/>
      <c r="LLK309" s="207"/>
      <c r="LLL309" s="204"/>
      <c r="LLM309" s="35"/>
      <c r="LLN309" s="203"/>
      <c r="LLO309" s="203"/>
      <c r="LLP309" s="36"/>
      <c r="LLQ309" s="36"/>
      <c r="LLR309" s="203"/>
      <c r="LLS309" s="33"/>
      <c r="LLT309" s="33"/>
      <c r="LLU309" s="33"/>
      <c r="LLV309" s="33"/>
      <c r="LLW309" s="33"/>
      <c r="LLX309" s="33"/>
      <c r="LLY309" s="37"/>
      <c r="LLZ309" s="208"/>
      <c r="LMA309" s="207"/>
      <c r="LMB309" s="204"/>
      <c r="LMC309" s="35"/>
      <c r="LMD309" s="203"/>
      <c r="LME309" s="203"/>
      <c r="LMF309" s="36"/>
      <c r="LMG309" s="36"/>
      <c r="LMH309" s="203"/>
      <c r="LMI309" s="33"/>
      <c r="LMJ309" s="33"/>
      <c r="LMK309" s="33"/>
      <c r="LML309" s="33"/>
      <c r="LMM309" s="33"/>
      <c r="LMN309" s="33"/>
      <c r="LMO309" s="37"/>
      <c r="LMP309" s="208"/>
      <c r="LMQ309" s="207"/>
      <c r="LMR309" s="204"/>
      <c r="LMS309" s="35"/>
      <c r="LMT309" s="203"/>
      <c r="LMU309" s="203"/>
      <c r="LMV309" s="36"/>
      <c r="LMW309" s="36"/>
      <c r="LMX309" s="203"/>
      <c r="LMY309" s="33"/>
      <c r="LMZ309" s="33"/>
      <c r="LNA309" s="33"/>
      <c r="LNB309" s="33"/>
      <c r="LNC309" s="33"/>
      <c r="LND309" s="33"/>
      <c r="LNE309" s="37"/>
      <c r="LNF309" s="208"/>
      <c r="LNG309" s="207"/>
      <c r="LNH309" s="204"/>
      <c r="LNI309" s="35"/>
      <c r="LNJ309" s="203"/>
      <c r="LNK309" s="203"/>
      <c r="LNL309" s="36"/>
      <c r="LNM309" s="36"/>
      <c r="LNN309" s="203"/>
      <c r="LNO309" s="33"/>
      <c r="LNP309" s="33"/>
      <c r="LNQ309" s="33"/>
      <c r="LNR309" s="33"/>
      <c r="LNS309" s="33"/>
      <c r="LNT309" s="33"/>
      <c r="LNU309" s="37"/>
      <c r="LNV309" s="208"/>
      <c r="LNW309" s="207"/>
      <c r="LNX309" s="204"/>
      <c r="LNY309" s="35"/>
      <c r="LNZ309" s="203"/>
      <c r="LOA309" s="203"/>
      <c r="LOB309" s="36"/>
      <c r="LOC309" s="36"/>
      <c r="LOD309" s="203"/>
      <c r="LOE309" s="33"/>
      <c r="LOF309" s="33"/>
      <c r="LOG309" s="33"/>
      <c r="LOH309" s="33"/>
      <c r="LOI309" s="33"/>
      <c r="LOJ309" s="33"/>
      <c r="LOK309" s="37"/>
      <c r="LOL309" s="208"/>
      <c r="LOM309" s="207"/>
      <c r="LON309" s="204"/>
      <c r="LOO309" s="35"/>
      <c r="LOP309" s="203"/>
      <c r="LOQ309" s="203"/>
      <c r="LOR309" s="36"/>
      <c r="LOS309" s="36"/>
      <c r="LOT309" s="203"/>
      <c r="LOU309" s="33"/>
      <c r="LOV309" s="33"/>
      <c r="LOW309" s="33"/>
      <c r="LOX309" s="33"/>
      <c r="LOY309" s="33"/>
      <c r="LOZ309" s="33"/>
      <c r="LPA309" s="37"/>
      <c r="LPB309" s="208"/>
      <c r="LPC309" s="207"/>
      <c r="LPD309" s="204"/>
      <c r="LPE309" s="35"/>
      <c r="LPF309" s="203"/>
      <c r="LPG309" s="203"/>
      <c r="LPH309" s="36"/>
      <c r="LPI309" s="36"/>
      <c r="LPJ309" s="203"/>
      <c r="LPK309" s="33"/>
      <c r="LPL309" s="33"/>
      <c r="LPM309" s="33"/>
      <c r="LPN309" s="33"/>
      <c r="LPO309" s="33"/>
      <c r="LPP309" s="33"/>
      <c r="LPQ309" s="37"/>
      <c r="LPR309" s="208"/>
      <c r="LPS309" s="207"/>
      <c r="LPT309" s="204"/>
      <c r="LPU309" s="35"/>
      <c r="LPV309" s="203"/>
      <c r="LPW309" s="203"/>
      <c r="LPX309" s="36"/>
      <c r="LPY309" s="36"/>
      <c r="LPZ309" s="203"/>
      <c r="LQA309" s="33"/>
      <c r="LQB309" s="33"/>
      <c r="LQC309" s="33"/>
      <c r="LQD309" s="33"/>
      <c r="LQE309" s="33"/>
      <c r="LQF309" s="33"/>
      <c r="LQG309" s="37"/>
      <c r="LQH309" s="208"/>
      <c r="LQI309" s="207"/>
      <c r="LQJ309" s="204"/>
      <c r="LQK309" s="35"/>
      <c r="LQL309" s="203"/>
      <c r="LQM309" s="203"/>
      <c r="LQN309" s="36"/>
      <c r="LQO309" s="36"/>
      <c r="LQP309" s="203"/>
      <c r="LQQ309" s="33"/>
      <c r="LQR309" s="33"/>
      <c r="LQS309" s="33"/>
      <c r="LQT309" s="33"/>
      <c r="LQU309" s="33"/>
      <c r="LQV309" s="33"/>
      <c r="LQW309" s="37"/>
      <c r="LQX309" s="208"/>
      <c r="LQY309" s="207"/>
      <c r="LQZ309" s="204"/>
      <c r="LRA309" s="35"/>
      <c r="LRB309" s="203"/>
      <c r="LRC309" s="203"/>
      <c r="LRD309" s="36"/>
      <c r="LRE309" s="36"/>
      <c r="LRF309" s="203"/>
      <c r="LRG309" s="33"/>
      <c r="LRH309" s="33"/>
      <c r="LRI309" s="33"/>
      <c r="LRJ309" s="33"/>
      <c r="LRK309" s="33"/>
      <c r="LRL309" s="33"/>
      <c r="LRM309" s="37"/>
      <c r="LRN309" s="208"/>
      <c r="LRO309" s="207"/>
      <c r="LRP309" s="204"/>
      <c r="LRQ309" s="35"/>
      <c r="LRR309" s="203"/>
      <c r="LRS309" s="203"/>
      <c r="LRT309" s="36"/>
      <c r="LRU309" s="36"/>
      <c r="LRV309" s="203"/>
      <c r="LRW309" s="33"/>
      <c r="LRX309" s="33"/>
      <c r="LRY309" s="33"/>
      <c r="LRZ309" s="33"/>
      <c r="LSA309" s="33"/>
      <c r="LSB309" s="33"/>
      <c r="LSC309" s="37"/>
      <c r="LSD309" s="208"/>
      <c r="LSE309" s="207"/>
      <c r="LSF309" s="204"/>
      <c r="LSG309" s="35"/>
      <c r="LSH309" s="203"/>
      <c r="LSI309" s="203"/>
      <c r="LSJ309" s="36"/>
      <c r="LSK309" s="36"/>
      <c r="LSL309" s="203"/>
      <c r="LSM309" s="33"/>
      <c r="LSN309" s="33"/>
      <c r="LSO309" s="33"/>
      <c r="LSP309" s="33"/>
      <c r="LSQ309" s="33"/>
      <c r="LSR309" s="33"/>
      <c r="LSS309" s="37"/>
      <c r="LST309" s="208"/>
      <c r="LSU309" s="207"/>
      <c r="LSV309" s="204"/>
      <c r="LSW309" s="35"/>
      <c r="LSX309" s="203"/>
      <c r="LSY309" s="203"/>
      <c r="LSZ309" s="36"/>
      <c r="LTA309" s="36"/>
      <c r="LTB309" s="203"/>
      <c r="LTC309" s="33"/>
      <c r="LTD309" s="33"/>
      <c r="LTE309" s="33"/>
      <c r="LTF309" s="33"/>
      <c r="LTG309" s="33"/>
      <c r="LTH309" s="33"/>
      <c r="LTI309" s="37"/>
      <c r="LTJ309" s="208"/>
      <c r="LTK309" s="207"/>
      <c r="LTL309" s="204"/>
      <c r="LTM309" s="35"/>
      <c r="LTN309" s="203"/>
      <c r="LTO309" s="203"/>
      <c r="LTP309" s="36"/>
      <c r="LTQ309" s="36"/>
      <c r="LTR309" s="203"/>
      <c r="LTS309" s="33"/>
      <c r="LTT309" s="33"/>
      <c r="LTU309" s="33"/>
      <c r="LTV309" s="33"/>
      <c r="LTW309" s="33"/>
      <c r="LTX309" s="33"/>
      <c r="LTY309" s="37"/>
      <c r="LTZ309" s="208"/>
      <c r="LUA309" s="207"/>
      <c r="LUB309" s="204"/>
      <c r="LUC309" s="35"/>
      <c r="LUD309" s="203"/>
      <c r="LUE309" s="203"/>
      <c r="LUF309" s="36"/>
      <c r="LUG309" s="36"/>
      <c r="LUH309" s="203"/>
      <c r="LUI309" s="33"/>
      <c r="LUJ309" s="33"/>
      <c r="LUK309" s="33"/>
      <c r="LUL309" s="33"/>
      <c r="LUM309" s="33"/>
      <c r="LUN309" s="33"/>
      <c r="LUO309" s="37"/>
      <c r="LUP309" s="208"/>
      <c r="LUQ309" s="207"/>
      <c r="LUR309" s="204"/>
      <c r="LUS309" s="35"/>
      <c r="LUT309" s="203"/>
      <c r="LUU309" s="203"/>
      <c r="LUV309" s="36"/>
      <c r="LUW309" s="36"/>
      <c r="LUX309" s="203"/>
      <c r="LUY309" s="33"/>
      <c r="LUZ309" s="33"/>
      <c r="LVA309" s="33"/>
      <c r="LVB309" s="33"/>
      <c r="LVC309" s="33"/>
      <c r="LVD309" s="33"/>
      <c r="LVE309" s="37"/>
      <c r="LVF309" s="208"/>
      <c r="LVG309" s="207"/>
      <c r="LVH309" s="204"/>
      <c r="LVI309" s="35"/>
      <c r="LVJ309" s="203"/>
      <c r="LVK309" s="203"/>
      <c r="LVL309" s="36"/>
      <c r="LVM309" s="36"/>
      <c r="LVN309" s="203"/>
      <c r="LVO309" s="33"/>
      <c r="LVP309" s="33"/>
      <c r="LVQ309" s="33"/>
      <c r="LVR309" s="33"/>
      <c r="LVS309" s="33"/>
      <c r="LVT309" s="33"/>
      <c r="LVU309" s="37"/>
      <c r="LVV309" s="208"/>
      <c r="LVW309" s="207"/>
      <c r="LVX309" s="204"/>
      <c r="LVY309" s="35"/>
      <c r="LVZ309" s="203"/>
      <c r="LWA309" s="203"/>
      <c r="LWB309" s="36"/>
      <c r="LWC309" s="36"/>
      <c r="LWD309" s="203"/>
      <c r="LWE309" s="33"/>
      <c r="LWF309" s="33"/>
      <c r="LWG309" s="33"/>
      <c r="LWH309" s="33"/>
      <c r="LWI309" s="33"/>
      <c r="LWJ309" s="33"/>
      <c r="LWK309" s="37"/>
      <c r="LWL309" s="208"/>
      <c r="LWM309" s="207"/>
      <c r="LWN309" s="204"/>
      <c r="LWO309" s="35"/>
      <c r="LWP309" s="203"/>
      <c r="LWQ309" s="203"/>
      <c r="LWR309" s="36"/>
      <c r="LWS309" s="36"/>
      <c r="LWT309" s="203"/>
      <c r="LWU309" s="33"/>
      <c r="LWV309" s="33"/>
      <c r="LWW309" s="33"/>
      <c r="LWX309" s="33"/>
      <c r="LWY309" s="33"/>
      <c r="LWZ309" s="33"/>
      <c r="LXA309" s="37"/>
      <c r="LXB309" s="208"/>
      <c r="LXC309" s="207"/>
      <c r="LXD309" s="204"/>
      <c r="LXE309" s="35"/>
      <c r="LXF309" s="203"/>
      <c r="LXG309" s="203"/>
      <c r="LXH309" s="36"/>
      <c r="LXI309" s="36"/>
      <c r="LXJ309" s="203"/>
      <c r="LXK309" s="33"/>
      <c r="LXL309" s="33"/>
      <c r="LXM309" s="33"/>
      <c r="LXN309" s="33"/>
      <c r="LXO309" s="33"/>
      <c r="LXP309" s="33"/>
      <c r="LXQ309" s="37"/>
      <c r="LXR309" s="208"/>
      <c r="LXS309" s="207"/>
      <c r="LXT309" s="204"/>
      <c r="LXU309" s="35"/>
      <c r="LXV309" s="203"/>
      <c r="LXW309" s="203"/>
      <c r="LXX309" s="36"/>
      <c r="LXY309" s="36"/>
      <c r="LXZ309" s="203"/>
      <c r="LYA309" s="33"/>
      <c r="LYB309" s="33"/>
      <c r="LYC309" s="33"/>
      <c r="LYD309" s="33"/>
      <c r="LYE309" s="33"/>
      <c r="LYF309" s="33"/>
      <c r="LYG309" s="37"/>
      <c r="LYH309" s="208"/>
      <c r="LYI309" s="207"/>
      <c r="LYJ309" s="204"/>
      <c r="LYK309" s="35"/>
      <c r="LYL309" s="203"/>
      <c r="LYM309" s="203"/>
      <c r="LYN309" s="36"/>
      <c r="LYO309" s="36"/>
      <c r="LYP309" s="203"/>
      <c r="LYQ309" s="33"/>
      <c r="LYR309" s="33"/>
      <c r="LYS309" s="33"/>
      <c r="LYT309" s="33"/>
      <c r="LYU309" s="33"/>
      <c r="LYV309" s="33"/>
      <c r="LYW309" s="37"/>
      <c r="LYX309" s="208"/>
      <c r="LYY309" s="207"/>
      <c r="LYZ309" s="204"/>
      <c r="LZA309" s="35"/>
      <c r="LZB309" s="203"/>
      <c r="LZC309" s="203"/>
      <c r="LZD309" s="36"/>
      <c r="LZE309" s="36"/>
      <c r="LZF309" s="203"/>
      <c r="LZG309" s="33"/>
      <c r="LZH309" s="33"/>
      <c r="LZI309" s="33"/>
      <c r="LZJ309" s="33"/>
      <c r="LZK309" s="33"/>
      <c r="LZL309" s="33"/>
      <c r="LZM309" s="37"/>
      <c r="LZN309" s="208"/>
      <c r="LZO309" s="207"/>
      <c r="LZP309" s="204"/>
      <c r="LZQ309" s="35"/>
      <c r="LZR309" s="203"/>
      <c r="LZS309" s="203"/>
      <c r="LZT309" s="36"/>
      <c r="LZU309" s="36"/>
      <c r="LZV309" s="203"/>
      <c r="LZW309" s="33"/>
      <c r="LZX309" s="33"/>
      <c r="LZY309" s="33"/>
      <c r="LZZ309" s="33"/>
      <c r="MAA309" s="33"/>
      <c r="MAB309" s="33"/>
      <c r="MAC309" s="37"/>
      <c r="MAD309" s="208"/>
      <c r="MAE309" s="207"/>
      <c r="MAF309" s="204"/>
      <c r="MAG309" s="35"/>
      <c r="MAH309" s="203"/>
      <c r="MAI309" s="203"/>
      <c r="MAJ309" s="36"/>
      <c r="MAK309" s="36"/>
      <c r="MAL309" s="203"/>
      <c r="MAM309" s="33"/>
      <c r="MAN309" s="33"/>
      <c r="MAO309" s="33"/>
      <c r="MAP309" s="33"/>
      <c r="MAQ309" s="33"/>
      <c r="MAR309" s="33"/>
      <c r="MAS309" s="37"/>
      <c r="MAT309" s="208"/>
      <c r="MAU309" s="207"/>
      <c r="MAV309" s="204"/>
      <c r="MAW309" s="35"/>
      <c r="MAX309" s="203"/>
      <c r="MAY309" s="203"/>
      <c r="MAZ309" s="36"/>
      <c r="MBA309" s="36"/>
      <c r="MBB309" s="203"/>
      <c r="MBC309" s="33"/>
      <c r="MBD309" s="33"/>
      <c r="MBE309" s="33"/>
      <c r="MBF309" s="33"/>
      <c r="MBG309" s="33"/>
      <c r="MBH309" s="33"/>
      <c r="MBI309" s="37"/>
      <c r="MBJ309" s="208"/>
      <c r="MBK309" s="207"/>
      <c r="MBL309" s="204"/>
      <c r="MBM309" s="35"/>
      <c r="MBN309" s="203"/>
      <c r="MBO309" s="203"/>
      <c r="MBP309" s="36"/>
      <c r="MBQ309" s="36"/>
      <c r="MBR309" s="203"/>
      <c r="MBS309" s="33"/>
      <c r="MBT309" s="33"/>
      <c r="MBU309" s="33"/>
      <c r="MBV309" s="33"/>
      <c r="MBW309" s="33"/>
      <c r="MBX309" s="33"/>
      <c r="MBY309" s="37"/>
      <c r="MBZ309" s="208"/>
      <c r="MCA309" s="207"/>
      <c r="MCB309" s="204"/>
      <c r="MCC309" s="35"/>
      <c r="MCD309" s="203"/>
      <c r="MCE309" s="203"/>
      <c r="MCF309" s="36"/>
      <c r="MCG309" s="36"/>
      <c r="MCH309" s="203"/>
      <c r="MCI309" s="33"/>
      <c r="MCJ309" s="33"/>
      <c r="MCK309" s="33"/>
      <c r="MCL309" s="33"/>
      <c r="MCM309" s="33"/>
      <c r="MCN309" s="33"/>
      <c r="MCO309" s="37"/>
      <c r="MCP309" s="208"/>
      <c r="MCQ309" s="207"/>
      <c r="MCR309" s="204"/>
      <c r="MCS309" s="35"/>
      <c r="MCT309" s="203"/>
      <c r="MCU309" s="203"/>
      <c r="MCV309" s="36"/>
      <c r="MCW309" s="36"/>
      <c r="MCX309" s="203"/>
      <c r="MCY309" s="33"/>
      <c r="MCZ309" s="33"/>
      <c r="MDA309" s="33"/>
      <c r="MDB309" s="33"/>
      <c r="MDC309" s="33"/>
      <c r="MDD309" s="33"/>
      <c r="MDE309" s="37"/>
      <c r="MDF309" s="208"/>
      <c r="MDG309" s="207"/>
      <c r="MDH309" s="204"/>
      <c r="MDI309" s="35"/>
      <c r="MDJ309" s="203"/>
      <c r="MDK309" s="203"/>
      <c r="MDL309" s="36"/>
      <c r="MDM309" s="36"/>
      <c r="MDN309" s="203"/>
      <c r="MDO309" s="33"/>
      <c r="MDP309" s="33"/>
      <c r="MDQ309" s="33"/>
      <c r="MDR309" s="33"/>
      <c r="MDS309" s="33"/>
      <c r="MDT309" s="33"/>
      <c r="MDU309" s="37"/>
      <c r="MDV309" s="208"/>
      <c r="MDW309" s="207"/>
      <c r="MDX309" s="204"/>
      <c r="MDY309" s="35"/>
      <c r="MDZ309" s="203"/>
      <c r="MEA309" s="203"/>
      <c r="MEB309" s="36"/>
      <c r="MEC309" s="36"/>
      <c r="MED309" s="203"/>
      <c r="MEE309" s="33"/>
      <c r="MEF309" s="33"/>
      <c r="MEG309" s="33"/>
      <c r="MEH309" s="33"/>
      <c r="MEI309" s="33"/>
      <c r="MEJ309" s="33"/>
      <c r="MEK309" s="37"/>
      <c r="MEL309" s="208"/>
      <c r="MEM309" s="207"/>
      <c r="MEN309" s="204"/>
      <c r="MEO309" s="35"/>
      <c r="MEP309" s="203"/>
      <c r="MEQ309" s="203"/>
      <c r="MER309" s="36"/>
      <c r="MES309" s="36"/>
      <c r="MET309" s="203"/>
      <c r="MEU309" s="33"/>
      <c r="MEV309" s="33"/>
      <c r="MEW309" s="33"/>
      <c r="MEX309" s="33"/>
      <c r="MEY309" s="33"/>
      <c r="MEZ309" s="33"/>
      <c r="MFA309" s="37"/>
      <c r="MFB309" s="208"/>
      <c r="MFC309" s="207"/>
      <c r="MFD309" s="204"/>
      <c r="MFE309" s="35"/>
      <c r="MFF309" s="203"/>
      <c r="MFG309" s="203"/>
      <c r="MFH309" s="36"/>
      <c r="MFI309" s="36"/>
      <c r="MFJ309" s="203"/>
      <c r="MFK309" s="33"/>
      <c r="MFL309" s="33"/>
      <c r="MFM309" s="33"/>
      <c r="MFN309" s="33"/>
      <c r="MFO309" s="33"/>
      <c r="MFP309" s="33"/>
      <c r="MFQ309" s="37"/>
      <c r="MFR309" s="208"/>
      <c r="MFS309" s="207"/>
      <c r="MFT309" s="204"/>
      <c r="MFU309" s="35"/>
      <c r="MFV309" s="203"/>
      <c r="MFW309" s="203"/>
      <c r="MFX309" s="36"/>
      <c r="MFY309" s="36"/>
      <c r="MFZ309" s="203"/>
      <c r="MGA309" s="33"/>
      <c r="MGB309" s="33"/>
      <c r="MGC309" s="33"/>
      <c r="MGD309" s="33"/>
      <c r="MGE309" s="33"/>
      <c r="MGF309" s="33"/>
      <c r="MGG309" s="37"/>
      <c r="MGH309" s="208"/>
      <c r="MGI309" s="207"/>
      <c r="MGJ309" s="204"/>
      <c r="MGK309" s="35"/>
      <c r="MGL309" s="203"/>
      <c r="MGM309" s="203"/>
      <c r="MGN309" s="36"/>
      <c r="MGO309" s="36"/>
      <c r="MGP309" s="203"/>
      <c r="MGQ309" s="33"/>
      <c r="MGR309" s="33"/>
      <c r="MGS309" s="33"/>
      <c r="MGT309" s="33"/>
      <c r="MGU309" s="33"/>
      <c r="MGV309" s="33"/>
      <c r="MGW309" s="37"/>
      <c r="MGX309" s="208"/>
      <c r="MGY309" s="207"/>
      <c r="MGZ309" s="204"/>
      <c r="MHA309" s="35"/>
      <c r="MHB309" s="203"/>
      <c r="MHC309" s="203"/>
      <c r="MHD309" s="36"/>
      <c r="MHE309" s="36"/>
      <c r="MHF309" s="203"/>
      <c r="MHG309" s="33"/>
      <c r="MHH309" s="33"/>
      <c r="MHI309" s="33"/>
      <c r="MHJ309" s="33"/>
      <c r="MHK309" s="33"/>
      <c r="MHL309" s="33"/>
      <c r="MHM309" s="37"/>
      <c r="MHN309" s="208"/>
      <c r="MHO309" s="207"/>
      <c r="MHP309" s="204"/>
      <c r="MHQ309" s="35"/>
      <c r="MHR309" s="203"/>
      <c r="MHS309" s="203"/>
      <c r="MHT309" s="36"/>
      <c r="MHU309" s="36"/>
      <c r="MHV309" s="203"/>
      <c r="MHW309" s="33"/>
      <c r="MHX309" s="33"/>
      <c r="MHY309" s="33"/>
      <c r="MHZ309" s="33"/>
      <c r="MIA309" s="33"/>
      <c r="MIB309" s="33"/>
      <c r="MIC309" s="37"/>
      <c r="MID309" s="208"/>
      <c r="MIE309" s="207"/>
      <c r="MIF309" s="204"/>
      <c r="MIG309" s="35"/>
      <c r="MIH309" s="203"/>
      <c r="MII309" s="203"/>
      <c r="MIJ309" s="36"/>
      <c r="MIK309" s="36"/>
      <c r="MIL309" s="203"/>
      <c r="MIM309" s="33"/>
      <c r="MIN309" s="33"/>
      <c r="MIO309" s="33"/>
      <c r="MIP309" s="33"/>
      <c r="MIQ309" s="33"/>
      <c r="MIR309" s="33"/>
      <c r="MIS309" s="37"/>
      <c r="MIT309" s="208"/>
      <c r="MIU309" s="207"/>
      <c r="MIV309" s="204"/>
      <c r="MIW309" s="35"/>
      <c r="MIX309" s="203"/>
      <c r="MIY309" s="203"/>
      <c r="MIZ309" s="36"/>
      <c r="MJA309" s="36"/>
      <c r="MJB309" s="203"/>
      <c r="MJC309" s="33"/>
      <c r="MJD309" s="33"/>
      <c r="MJE309" s="33"/>
      <c r="MJF309" s="33"/>
      <c r="MJG309" s="33"/>
      <c r="MJH309" s="33"/>
      <c r="MJI309" s="37"/>
      <c r="MJJ309" s="208"/>
      <c r="MJK309" s="207"/>
      <c r="MJL309" s="204"/>
      <c r="MJM309" s="35"/>
      <c r="MJN309" s="203"/>
      <c r="MJO309" s="203"/>
      <c r="MJP309" s="36"/>
      <c r="MJQ309" s="36"/>
      <c r="MJR309" s="203"/>
      <c r="MJS309" s="33"/>
      <c r="MJT309" s="33"/>
      <c r="MJU309" s="33"/>
      <c r="MJV309" s="33"/>
      <c r="MJW309" s="33"/>
      <c r="MJX309" s="33"/>
      <c r="MJY309" s="37"/>
      <c r="MJZ309" s="208"/>
      <c r="MKA309" s="207"/>
      <c r="MKB309" s="204"/>
      <c r="MKC309" s="35"/>
      <c r="MKD309" s="203"/>
      <c r="MKE309" s="203"/>
      <c r="MKF309" s="36"/>
      <c r="MKG309" s="36"/>
      <c r="MKH309" s="203"/>
      <c r="MKI309" s="33"/>
      <c r="MKJ309" s="33"/>
      <c r="MKK309" s="33"/>
      <c r="MKL309" s="33"/>
      <c r="MKM309" s="33"/>
      <c r="MKN309" s="33"/>
      <c r="MKO309" s="37"/>
      <c r="MKP309" s="208"/>
      <c r="MKQ309" s="207"/>
      <c r="MKR309" s="204"/>
      <c r="MKS309" s="35"/>
      <c r="MKT309" s="203"/>
      <c r="MKU309" s="203"/>
      <c r="MKV309" s="36"/>
      <c r="MKW309" s="36"/>
      <c r="MKX309" s="203"/>
      <c r="MKY309" s="33"/>
      <c r="MKZ309" s="33"/>
      <c r="MLA309" s="33"/>
      <c r="MLB309" s="33"/>
      <c r="MLC309" s="33"/>
      <c r="MLD309" s="33"/>
      <c r="MLE309" s="37"/>
      <c r="MLF309" s="208"/>
      <c r="MLG309" s="207"/>
      <c r="MLH309" s="204"/>
      <c r="MLI309" s="35"/>
      <c r="MLJ309" s="203"/>
      <c r="MLK309" s="203"/>
      <c r="MLL309" s="36"/>
      <c r="MLM309" s="36"/>
      <c r="MLN309" s="203"/>
      <c r="MLO309" s="33"/>
      <c r="MLP309" s="33"/>
      <c r="MLQ309" s="33"/>
      <c r="MLR309" s="33"/>
      <c r="MLS309" s="33"/>
      <c r="MLT309" s="33"/>
      <c r="MLU309" s="37"/>
      <c r="MLV309" s="208"/>
      <c r="MLW309" s="207"/>
      <c r="MLX309" s="204"/>
      <c r="MLY309" s="35"/>
      <c r="MLZ309" s="203"/>
      <c r="MMA309" s="203"/>
      <c r="MMB309" s="36"/>
      <c r="MMC309" s="36"/>
      <c r="MMD309" s="203"/>
      <c r="MME309" s="33"/>
      <c r="MMF309" s="33"/>
      <c r="MMG309" s="33"/>
      <c r="MMH309" s="33"/>
      <c r="MMI309" s="33"/>
      <c r="MMJ309" s="33"/>
      <c r="MMK309" s="37"/>
      <c r="MML309" s="208"/>
      <c r="MMM309" s="207"/>
      <c r="MMN309" s="204"/>
      <c r="MMO309" s="35"/>
      <c r="MMP309" s="203"/>
      <c r="MMQ309" s="203"/>
      <c r="MMR309" s="36"/>
      <c r="MMS309" s="36"/>
      <c r="MMT309" s="203"/>
      <c r="MMU309" s="33"/>
      <c r="MMV309" s="33"/>
      <c r="MMW309" s="33"/>
      <c r="MMX309" s="33"/>
      <c r="MMY309" s="33"/>
      <c r="MMZ309" s="33"/>
      <c r="MNA309" s="37"/>
      <c r="MNB309" s="208"/>
      <c r="MNC309" s="207"/>
      <c r="MND309" s="204"/>
      <c r="MNE309" s="35"/>
      <c r="MNF309" s="203"/>
      <c r="MNG309" s="203"/>
      <c r="MNH309" s="36"/>
      <c r="MNI309" s="36"/>
      <c r="MNJ309" s="203"/>
      <c r="MNK309" s="33"/>
      <c r="MNL309" s="33"/>
      <c r="MNM309" s="33"/>
      <c r="MNN309" s="33"/>
      <c r="MNO309" s="33"/>
      <c r="MNP309" s="33"/>
      <c r="MNQ309" s="37"/>
      <c r="MNR309" s="208"/>
      <c r="MNS309" s="207"/>
      <c r="MNT309" s="204"/>
      <c r="MNU309" s="35"/>
      <c r="MNV309" s="203"/>
      <c r="MNW309" s="203"/>
      <c r="MNX309" s="36"/>
      <c r="MNY309" s="36"/>
      <c r="MNZ309" s="203"/>
      <c r="MOA309" s="33"/>
      <c r="MOB309" s="33"/>
      <c r="MOC309" s="33"/>
      <c r="MOD309" s="33"/>
      <c r="MOE309" s="33"/>
      <c r="MOF309" s="33"/>
      <c r="MOG309" s="37"/>
      <c r="MOH309" s="208"/>
      <c r="MOI309" s="207"/>
      <c r="MOJ309" s="204"/>
      <c r="MOK309" s="35"/>
      <c r="MOL309" s="203"/>
      <c r="MOM309" s="203"/>
      <c r="MON309" s="36"/>
      <c r="MOO309" s="36"/>
      <c r="MOP309" s="203"/>
      <c r="MOQ309" s="33"/>
      <c r="MOR309" s="33"/>
      <c r="MOS309" s="33"/>
      <c r="MOT309" s="33"/>
      <c r="MOU309" s="33"/>
      <c r="MOV309" s="33"/>
      <c r="MOW309" s="37"/>
      <c r="MOX309" s="208"/>
      <c r="MOY309" s="207"/>
      <c r="MOZ309" s="204"/>
      <c r="MPA309" s="35"/>
      <c r="MPB309" s="203"/>
      <c r="MPC309" s="203"/>
      <c r="MPD309" s="36"/>
      <c r="MPE309" s="36"/>
      <c r="MPF309" s="203"/>
      <c r="MPG309" s="33"/>
      <c r="MPH309" s="33"/>
      <c r="MPI309" s="33"/>
      <c r="MPJ309" s="33"/>
      <c r="MPK309" s="33"/>
      <c r="MPL309" s="33"/>
      <c r="MPM309" s="37"/>
      <c r="MPN309" s="208"/>
      <c r="MPO309" s="207"/>
      <c r="MPP309" s="204"/>
      <c r="MPQ309" s="35"/>
      <c r="MPR309" s="203"/>
      <c r="MPS309" s="203"/>
      <c r="MPT309" s="36"/>
      <c r="MPU309" s="36"/>
      <c r="MPV309" s="203"/>
      <c r="MPW309" s="33"/>
      <c r="MPX309" s="33"/>
      <c r="MPY309" s="33"/>
      <c r="MPZ309" s="33"/>
      <c r="MQA309" s="33"/>
      <c r="MQB309" s="33"/>
      <c r="MQC309" s="37"/>
      <c r="MQD309" s="208"/>
      <c r="MQE309" s="207"/>
      <c r="MQF309" s="204"/>
      <c r="MQG309" s="35"/>
      <c r="MQH309" s="203"/>
      <c r="MQI309" s="203"/>
      <c r="MQJ309" s="36"/>
      <c r="MQK309" s="36"/>
      <c r="MQL309" s="203"/>
      <c r="MQM309" s="33"/>
      <c r="MQN309" s="33"/>
      <c r="MQO309" s="33"/>
      <c r="MQP309" s="33"/>
      <c r="MQQ309" s="33"/>
      <c r="MQR309" s="33"/>
      <c r="MQS309" s="37"/>
      <c r="MQT309" s="208"/>
      <c r="MQU309" s="207"/>
      <c r="MQV309" s="204"/>
      <c r="MQW309" s="35"/>
      <c r="MQX309" s="203"/>
      <c r="MQY309" s="203"/>
      <c r="MQZ309" s="36"/>
      <c r="MRA309" s="36"/>
      <c r="MRB309" s="203"/>
      <c r="MRC309" s="33"/>
      <c r="MRD309" s="33"/>
      <c r="MRE309" s="33"/>
      <c r="MRF309" s="33"/>
      <c r="MRG309" s="33"/>
      <c r="MRH309" s="33"/>
      <c r="MRI309" s="37"/>
      <c r="MRJ309" s="208"/>
      <c r="MRK309" s="207"/>
      <c r="MRL309" s="204"/>
      <c r="MRM309" s="35"/>
      <c r="MRN309" s="203"/>
      <c r="MRO309" s="203"/>
      <c r="MRP309" s="36"/>
      <c r="MRQ309" s="36"/>
      <c r="MRR309" s="203"/>
      <c r="MRS309" s="33"/>
      <c r="MRT309" s="33"/>
      <c r="MRU309" s="33"/>
      <c r="MRV309" s="33"/>
      <c r="MRW309" s="33"/>
      <c r="MRX309" s="33"/>
      <c r="MRY309" s="37"/>
      <c r="MRZ309" s="208"/>
      <c r="MSA309" s="207"/>
      <c r="MSB309" s="204"/>
      <c r="MSC309" s="35"/>
      <c r="MSD309" s="203"/>
      <c r="MSE309" s="203"/>
      <c r="MSF309" s="36"/>
      <c r="MSG309" s="36"/>
      <c r="MSH309" s="203"/>
      <c r="MSI309" s="33"/>
      <c r="MSJ309" s="33"/>
      <c r="MSK309" s="33"/>
      <c r="MSL309" s="33"/>
      <c r="MSM309" s="33"/>
      <c r="MSN309" s="33"/>
      <c r="MSO309" s="37"/>
      <c r="MSP309" s="208"/>
      <c r="MSQ309" s="207"/>
      <c r="MSR309" s="204"/>
      <c r="MSS309" s="35"/>
      <c r="MST309" s="203"/>
      <c r="MSU309" s="203"/>
      <c r="MSV309" s="36"/>
      <c r="MSW309" s="36"/>
      <c r="MSX309" s="203"/>
      <c r="MSY309" s="33"/>
      <c r="MSZ309" s="33"/>
      <c r="MTA309" s="33"/>
      <c r="MTB309" s="33"/>
      <c r="MTC309" s="33"/>
      <c r="MTD309" s="33"/>
      <c r="MTE309" s="37"/>
      <c r="MTF309" s="208"/>
      <c r="MTG309" s="207"/>
      <c r="MTH309" s="204"/>
      <c r="MTI309" s="35"/>
      <c r="MTJ309" s="203"/>
      <c r="MTK309" s="203"/>
      <c r="MTL309" s="36"/>
      <c r="MTM309" s="36"/>
      <c r="MTN309" s="203"/>
      <c r="MTO309" s="33"/>
      <c r="MTP309" s="33"/>
      <c r="MTQ309" s="33"/>
      <c r="MTR309" s="33"/>
      <c r="MTS309" s="33"/>
      <c r="MTT309" s="33"/>
      <c r="MTU309" s="37"/>
      <c r="MTV309" s="208"/>
      <c r="MTW309" s="207"/>
      <c r="MTX309" s="204"/>
      <c r="MTY309" s="35"/>
      <c r="MTZ309" s="203"/>
      <c r="MUA309" s="203"/>
      <c r="MUB309" s="36"/>
      <c r="MUC309" s="36"/>
      <c r="MUD309" s="203"/>
      <c r="MUE309" s="33"/>
      <c r="MUF309" s="33"/>
      <c r="MUG309" s="33"/>
      <c r="MUH309" s="33"/>
      <c r="MUI309" s="33"/>
      <c r="MUJ309" s="33"/>
      <c r="MUK309" s="37"/>
      <c r="MUL309" s="208"/>
      <c r="MUM309" s="207"/>
      <c r="MUN309" s="204"/>
      <c r="MUO309" s="35"/>
      <c r="MUP309" s="203"/>
      <c r="MUQ309" s="203"/>
      <c r="MUR309" s="36"/>
      <c r="MUS309" s="36"/>
      <c r="MUT309" s="203"/>
      <c r="MUU309" s="33"/>
      <c r="MUV309" s="33"/>
      <c r="MUW309" s="33"/>
      <c r="MUX309" s="33"/>
      <c r="MUY309" s="33"/>
      <c r="MUZ309" s="33"/>
      <c r="MVA309" s="37"/>
      <c r="MVB309" s="208"/>
      <c r="MVC309" s="207"/>
      <c r="MVD309" s="204"/>
      <c r="MVE309" s="35"/>
      <c r="MVF309" s="203"/>
      <c r="MVG309" s="203"/>
      <c r="MVH309" s="36"/>
      <c r="MVI309" s="36"/>
      <c r="MVJ309" s="203"/>
      <c r="MVK309" s="33"/>
      <c r="MVL309" s="33"/>
      <c r="MVM309" s="33"/>
      <c r="MVN309" s="33"/>
      <c r="MVO309" s="33"/>
      <c r="MVP309" s="33"/>
      <c r="MVQ309" s="37"/>
      <c r="MVR309" s="208"/>
      <c r="MVS309" s="207"/>
      <c r="MVT309" s="204"/>
      <c r="MVU309" s="35"/>
      <c r="MVV309" s="203"/>
      <c r="MVW309" s="203"/>
      <c r="MVX309" s="36"/>
      <c r="MVY309" s="36"/>
      <c r="MVZ309" s="203"/>
      <c r="MWA309" s="33"/>
      <c r="MWB309" s="33"/>
      <c r="MWC309" s="33"/>
      <c r="MWD309" s="33"/>
      <c r="MWE309" s="33"/>
      <c r="MWF309" s="33"/>
      <c r="MWG309" s="37"/>
      <c r="MWH309" s="208"/>
      <c r="MWI309" s="207"/>
      <c r="MWJ309" s="204"/>
      <c r="MWK309" s="35"/>
      <c r="MWL309" s="203"/>
      <c r="MWM309" s="203"/>
      <c r="MWN309" s="36"/>
      <c r="MWO309" s="36"/>
      <c r="MWP309" s="203"/>
      <c r="MWQ309" s="33"/>
      <c r="MWR309" s="33"/>
      <c r="MWS309" s="33"/>
      <c r="MWT309" s="33"/>
      <c r="MWU309" s="33"/>
      <c r="MWV309" s="33"/>
      <c r="MWW309" s="37"/>
      <c r="MWX309" s="208"/>
      <c r="MWY309" s="207"/>
      <c r="MWZ309" s="204"/>
      <c r="MXA309" s="35"/>
      <c r="MXB309" s="203"/>
      <c r="MXC309" s="203"/>
      <c r="MXD309" s="36"/>
      <c r="MXE309" s="36"/>
      <c r="MXF309" s="203"/>
      <c r="MXG309" s="33"/>
      <c r="MXH309" s="33"/>
      <c r="MXI309" s="33"/>
      <c r="MXJ309" s="33"/>
      <c r="MXK309" s="33"/>
      <c r="MXL309" s="33"/>
      <c r="MXM309" s="37"/>
      <c r="MXN309" s="208"/>
      <c r="MXO309" s="207"/>
      <c r="MXP309" s="204"/>
      <c r="MXQ309" s="35"/>
      <c r="MXR309" s="203"/>
      <c r="MXS309" s="203"/>
      <c r="MXT309" s="36"/>
      <c r="MXU309" s="36"/>
      <c r="MXV309" s="203"/>
      <c r="MXW309" s="33"/>
      <c r="MXX309" s="33"/>
      <c r="MXY309" s="33"/>
      <c r="MXZ309" s="33"/>
      <c r="MYA309" s="33"/>
      <c r="MYB309" s="33"/>
      <c r="MYC309" s="37"/>
      <c r="MYD309" s="208"/>
      <c r="MYE309" s="207"/>
      <c r="MYF309" s="204"/>
      <c r="MYG309" s="35"/>
      <c r="MYH309" s="203"/>
      <c r="MYI309" s="203"/>
      <c r="MYJ309" s="36"/>
      <c r="MYK309" s="36"/>
      <c r="MYL309" s="203"/>
      <c r="MYM309" s="33"/>
      <c r="MYN309" s="33"/>
      <c r="MYO309" s="33"/>
      <c r="MYP309" s="33"/>
      <c r="MYQ309" s="33"/>
      <c r="MYR309" s="33"/>
      <c r="MYS309" s="37"/>
      <c r="MYT309" s="208"/>
      <c r="MYU309" s="207"/>
      <c r="MYV309" s="204"/>
      <c r="MYW309" s="35"/>
      <c r="MYX309" s="203"/>
      <c r="MYY309" s="203"/>
      <c r="MYZ309" s="36"/>
      <c r="MZA309" s="36"/>
      <c r="MZB309" s="203"/>
      <c r="MZC309" s="33"/>
      <c r="MZD309" s="33"/>
      <c r="MZE309" s="33"/>
      <c r="MZF309" s="33"/>
      <c r="MZG309" s="33"/>
      <c r="MZH309" s="33"/>
      <c r="MZI309" s="37"/>
      <c r="MZJ309" s="208"/>
      <c r="MZK309" s="207"/>
      <c r="MZL309" s="204"/>
      <c r="MZM309" s="35"/>
      <c r="MZN309" s="203"/>
      <c r="MZO309" s="203"/>
      <c r="MZP309" s="36"/>
      <c r="MZQ309" s="36"/>
      <c r="MZR309" s="203"/>
      <c r="MZS309" s="33"/>
      <c r="MZT309" s="33"/>
      <c r="MZU309" s="33"/>
      <c r="MZV309" s="33"/>
      <c r="MZW309" s="33"/>
      <c r="MZX309" s="33"/>
      <c r="MZY309" s="37"/>
      <c r="MZZ309" s="208"/>
      <c r="NAA309" s="207"/>
      <c r="NAB309" s="204"/>
      <c r="NAC309" s="35"/>
      <c r="NAD309" s="203"/>
      <c r="NAE309" s="203"/>
      <c r="NAF309" s="36"/>
      <c r="NAG309" s="36"/>
      <c r="NAH309" s="203"/>
      <c r="NAI309" s="33"/>
      <c r="NAJ309" s="33"/>
      <c r="NAK309" s="33"/>
      <c r="NAL309" s="33"/>
      <c r="NAM309" s="33"/>
      <c r="NAN309" s="33"/>
      <c r="NAO309" s="37"/>
      <c r="NAP309" s="208"/>
      <c r="NAQ309" s="207"/>
      <c r="NAR309" s="204"/>
      <c r="NAS309" s="35"/>
      <c r="NAT309" s="203"/>
      <c r="NAU309" s="203"/>
      <c r="NAV309" s="36"/>
      <c r="NAW309" s="36"/>
      <c r="NAX309" s="203"/>
      <c r="NAY309" s="33"/>
      <c r="NAZ309" s="33"/>
      <c r="NBA309" s="33"/>
      <c r="NBB309" s="33"/>
      <c r="NBC309" s="33"/>
      <c r="NBD309" s="33"/>
      <c r="NBE309" s="37"/>
      <c r="NBF309" s="208"/>
      <c r="NBG309" s="207"/>
      <c r="NBH309" s="204"/>
      <c r="NBI309" s="35"/>
      <c r="NBJ309" s="203"/>
      <c r="NBK309" s="203"/>
      <c r="NBL309" s="36"/>
      <c r="NBM309" s="36"/>
      <c r="NBN309" s="203"/>
      <c r="NBO309" s="33"/>
      <c r="NBP309" s="33"/>
      <c r="NBQ309" s="33"/>
      <c r="NBR309" s="33"/>
      <c r="NBS309" s="33"/>
      <c r="NBT309" s="33"/>
      <c r="NBU309" s="37"/>
      <c r="NBV309" s="208"/>
      <c r="NBW309" s="207"/>
      <c r="NBX309" s="204"/>
      <c r="NBY309" s="35"/>
      <c r="NBZ309" s="203"/>
      <c r="NCA309" s="203"/>
      <c r="NCB309" s="36"/>
      <c r="NCC309" s="36"/>
      <c r="NCD309" s="203"/>
      <c r="NCE309" s="33"/>
      <c r="NCF309" s="33"/>
      <c r="NCG309" s="33"/>
      <c r="NCH309" s="33"/>
      <c r="NCI309" s="33"/>
      <c r="NCJ309" s="33"/>
      <c r="NCK309" s="37"/>
      <c r="NCL309" s="208"/>
      <c r="NCM309" s="207"/>
      <c r="NCN309" s="204"/>
      <c r="NCO309" s="35"/>
      <c r="NCP309" s="203"/>
      <c r="NCQ309" s="203"/>
      <c r="NCR309" s="36"/>
      <c r="NCS309" s="36"/>
      <c r="NCT309" s="203"/>
      <c r="NCU309" s="33"/>
      <c r="NCV309" s="33"/>
      <c r="NCW309" s="33"/>
      <c r="NCX309" s="33"/>
      <c r="NCY309" s="33"/>
      <c r="NCZ309" s="33"/>
      <c r="NDA309" s="37"/>
      <c r="NDB309" s="208"/>
      <c r="NDC309" s="207"/>
      <c r="NDD309" s="204"/>
      <c r="NDE309" s="35"/>
      <c r="NDF309" s="203"/>
      <c r="NDG309" s="203"/>
      <c r="NDH309" s="36"/>
      <c r="NDI309" s="36"/>
      <c r="NDJ309" s="203"/>
      <c r="NDK309" s="33"/>
      <c r="NDL309" s="33"/>
      <c r="NDM309" s="33"/>
      <c r="NDN309" s="33"/>
      <c r="NDO309" s="33"/>
      <c r="NDP309" s="33"/>
      <c r="NDQ309" s="37"/>
      <c r="NDR309" s="208"/>
      <c r="NDS309" s="207"/>
      <c r="NDT309" s="204"/>
      <c r="NDU309" s="35"/>
      <c r="NDV309" s="203"/>
      <c r="NDW309" s="203"/>
      <c r="NDX309" s="36"/>
      <c r="NDY309" s="36"/>
      <c r="NDZ309" s="203"/>
      <c r="NEA309" s="33"/>
      <c r="NEB309" s="33"/>
      <c r="NEC309" s="33"/>
      <c r="NED309" s="33"/>
      <c r="NEE309" s="33"/>
      <c r="NEF309" s="33"/>
      <c r="NEG309" s="37"/>
      <c r="NEH309" s="208"/>
      <c r="NEI309" s="207"/>
      <c r="NEJ309" s="204"/>
      <c r="NEK309" s="35"/>
      <c r="NEL309" s="203"/>
      <c r="NEM309" s="203"/>
      <c r="NEN309" s="36"/>
      <c r="NEO309" s="36"/>
      <c r="NEP309" s="203"/>
      <c r="NEQ309" s="33"/>
      <c r="NER309" s="33"/>
      <c r="NES309" s="33"/>
      <c r="NET309" s="33"/>
      <c r="NEU309" s="33"/>
      <c r="NEV309" s="33"/>
      <c r="NEW309" s="37"/>
      <c r="NEX309" s="208"/>
      <c r="NEY309" s="207"/>
      <c r="NEZ309" s="204"/>
      <c r="NFA309" s="35"/>
      <c r="NFB309" s="203"/>
      <c r="NFC309" s="203"/>
      <c r="NFD309" s="36"/>
      <c r="NFE309" s="36"/>
      <c r="NFF309" s="203"/>
      <c r="NFG309" s="33"/>
      <c r="NFH309" s="33"/>
      <c r="NFI309" s="33"/>
      <c r="NFJ309" s="33"/>
      <c r="NFK309" s="33"/>
      <c r="NFL309" s="33"/>
      <c r="NFM309" s="37"/>
      <c r="NFN309" s="208"/>
      <c r="NFO309" s="207"/>
      <c r="NFP309" s="204"/>
      <c r="NFQ309" s="35"/>
      <c r="NFR309" s="203"/>
      <c r="NFS309" s="203"/>
      <c r="NFT309" s="36"/>
      <c r="NFU309" s="36"/>
      <c r="NFV309" s="203"/>
      <c r="NFW309" s="33"/>
      <c r="NFX309" s="33"/>
      <c r="NFY309" s="33"/>
      <c r="NFZ309" s="33"/>
      <c r="NGA309" s="33"/>
      <c r="NGB309" s="33"/>
      <c r="NGC309" s="37"/>
      <c r="NGD309" s="208"/>
      <c r="NGE309" s="207"/>
      <c r="NGF309" s="204"/>
      <c r="NGG309" s="35"/>
      <c r="NGH309" s="203"/>
      <c r="NGI309" s="203"/>
      <c r="NGJ309" s="36"/>
      <c r="NGK309" s="36"/>
      <c r="NGL309" s="203"/>
      <c r="NGM309" s="33"/>
      <c r="NGN309" s="33"/>
      <c r="NGO309" s="33"/>
      <c r="NGP309" s="33"/>
      <c r="NGQ309" s="33"/>
      <c r="NGR309" s="33"/>
      <c r="NGS309" s="37"/>
      <c r="NGT309" s="208"/>
      <c r="NGU309" s="207"/>
      <c r="NGV309" s="204"/>
      <c r="NGW309" s="35"/>
      <c r="NGX309" s="203"/>
      <c r="NGY309" s="203"/>
      <c r="NGZ309" s="36"/>
      <c r="NHA309" s="36"/>
      <c r="NHB309" s="203"/>
      <c r="NHC309" s="33"/>
      <c r="NHD309" s="33"/>
      <c r="NHE309" s="33"/>
      <c r="NHF309" s="33"/>
      <c r="NHG309" s="33"/>
      <c r="NHH309" s="33"/>
      <c r="NHI309" s="37"/>
      <c r="NHJ309" s="208"/>
      <c r="NHK309" s="207"/>
      <c r="NHL309" s="204"/>
      <c r="NHM309" s="35"/>
      <c r="NHN309" s="203"/>
      <c r="NHO309" s="203"/>
      <c r="NHP309" s="36"/>
      <c r="NHQ309" s="36"/>
      <c r="NHR309" s="203"/>
      <c r="NHS309" s="33"/>
      <c r="NHT309" s="33"/>
      <c r="NHU309" s="33"/>
      <c r="NHV309" s="33"/>
      <c r="NHW309" s="33"/>
      <c r="NHX309" s="33"/>
      <c r="NHY309" s="37"/>
      <c r="NHZ309" s="208"/>
      <c r="NIA309" s="207"/>
      <c r="NIB309" s="204"/>
      <c r="NIC309" s="35"/>
      <c r="NID309" s="203"/>
      <c r="NIE309" s="203"/>
      <c r="NIF309" s="36"/>
      <c r="NIG309" s="36"/>
      <c r="NIH309" s="203"/>
      <c r="NII309" s="33"/>
      <c r="NIJ309" s="33"/>
      <c r="NIK309" s="33"/>
      <c r="NIL309" s="33"/>
      <c r="NIM309" s="33"/>
      <c r="NIN309" s="33"/>
      <c r="NIO309" s="37"/>
      <c r="NIP309" s="208"/>
      <c r="NIQ309" s="207"/>
      <c r="NIR309" s="204"/>
      <c r="NIS309" s="35"/>
      <c r="NIT309" s="203"/>
      <c r="NIU309" s="203"/>
      <c r="NIV309" s="36"/>
      <c r="NIW309" s="36"/>
      <c r="NIX309" s="203"/>
      <c r="NIY309" s="33"/>
      <c r="NIZ309" s="33"/>
      <c r="NJA309" s="33"/>
      <c r="NJB309" s="33"/>
      <c r="NJC309" s="33"/>
      <c r="NJD309" s="33"/>
      <c r="NJE309" s="37"/>
      <c r="NJF309" s="208"/>
      <c r="NJG309" s="207"/>
      <c r="NJH309" s="204"/>
      <c r="NJI309" s="35"/>
      <c r="NJJ309" s="203"/>
      <c r="NJK309" s="203"/>
      <c r="NJL309" s="36"/>
      <c r="NJM309" s="36"/>
      <c r="NJN309" s="203"/>
      <c r="NJO309" s="33"/>
      <c r="NJP309" s="33"/>
      <c r="NJQ309" s="33"/>
      <c r="NJR309" s="33"/>
      <c r="NJS309" s="33"/>
      <c r="NJT309" s="33"/>
      <c r="NJU309" s="37"/>
      <c r="NJV309" s="208"/>
      <c r="NJW309" s="207"/>
      <c r="NJX309" s="204"/>
      <c r="NJY309" s="35"/>
      <c r="NJZ309" s="203"/>
      <c r="NKA309" s="203"/>
      <c r="NKB309" s="36"/>
      <c r="NKC309" s="36"/>
      <c r="NKD309" s="203"/>
      <c r="NKE309" s="33"/>
      <c r="NKF309" s="33"/>
      <c r="NKG309" s="33"/>
      <c r="NKH309" s="33"/>
      <c r="NKI309" s="33"/>
      <c r="NKJ309" s="33"/>
      <c r="NKK309" s="37"/>
      <c r="NKL309" s="208"/>
      <c r="NKM309" s="207"/>
      <c r="NKN309" s="204"/>
      <c r="NKO309" s="35"/>
      <c r="NKP309" s="203"/>
      <c r="NKQ309" s="203"/>
      <c r="NKR309" s="36"/>
      <c r="NKS309" s="36"/>
      <c r="NKT309" s="203"/>
      <c r="NKU309" s="33"/>
      <c r="NKV309" s="33"/>
      <c r="NKW309" s="33"/>
      <c r="NKX309" s="33"/>
      <c r="NKY309" s="33"/>
      <c r="NKZ309" s="33"/>
      <c r="NLA309" s="37"/>
      <c r="NLB309" s="208"/>
      <c r="NLC309" s="207"/>
      <c r="NLD309" s="204"/>
      <c r="NLE309" s="35"/>
      <c r="NLF309" s="203"/>
      <c r="NLG309" s="203"/>
      <c r="NLH309" s="36"/>
      <c r="NLI309" s="36"/>
      <c r="NLJ309" s="203"/>
      <c r="NLK309" s="33"/>
      <c r="NLL309" s="33"/>
      <c r="NLM309" s="33"/>
      <c r="NLN309" s="33"/>
      <c r="NLO309" s="33"/>
      <c r="NLP309" s="33"/>
      <c r="NLQ309" s="37"/>
      <c r="NLR309" s="208"/>
      <c r="NLS309" s="207"/>
      <c r="NLT309" s="204"/>
      <c r="NLU309" s="35"/>
      <c r="NLV309" s="203"/>
      <c r="NLW309" s="203"/>
      <c r="NLX309" s="36"/>
      <c r="NLY309" s="36"/>
      <c r="NLZ309" s="203"/>
      <c r="NMA309" s="33"/>
      <c r="NMB309" s="33"/>
      <c r="NMC309" s="33"/>
      <c r="NMD309" s="33"/>
      <c r="NME309" s="33"/>
      <c r="NMF309" s="33"/>
      <c r="NMG309" s="37"/>
      <c r="NMH309" s="208"/>
      <c r="NMI309" s="207"/>
      <c r="NMJ309" s="204"/>
      <c r="NMK309" s="35"/>
      <c r="NML309" s="203"/>
      <c r="NMM309" s="203"/>
      <c r="NMN309" s="36"/>
      <c r="NMO309" s="36"/>
      <c r="NMP309" s="203"/>
      <c r="NMQ309" s="33"/>
      <c r="NMR309" s="33"/>
      <c r="NMS309" s="33"/>
      <c r="NMT309" s="33"/>
      <c r="NMU309" s="33"/>
      <c r="NMV309" s="33"/>
      <c r="NMW309" s="37"/>
      <c r="NMX309" s="208"/>
      <c r="NMY309" s="207"/>
      <c r="NMZ309" s="204"/>
      <c r="NNA309" s="35"/>
      <c r="NNB309" s="203"/>
      <c r="NNC309" s="203"/>
      <c r="NND309" s="36"/>
      <c r="NNE309" s="36"/>
      <c r="NNF309" s="203"/>
      <c r="NNG309" s="33"/>
      <c r="NNH309" s="33"/>
      <c r="NNI309" s="33"/>
      <c r="NNJ309" s="33"/>
      <c r="NNK309" s="33"/>
      <c r="NNL309" s="33"/>
      <c r="NNM309" s="37"/>
      <c r="NNN309" s="208"/>
      <c r="NNO309" s="207"/>
      <c r="NNP309" s="204"/>
      <c r="NNQ309" s="35"/>
      <c r="NNR309" s="203"/>
      <c r="NNS309" s="203"/>
      <c r="NNT309" s="36"/>
      <c r="NNU309" s="36"/>
      <c r="NNV309" s="203"/>
      <c r="NNW309" s="33"/>
      <c r="NNX309" s="33"/>
      <c r="NNY309" s="33"/>
      <c r="NNZ309" s="33"/>
      <c r="NOA309" s="33"/>
      <c r="NOB309" s="33"/>
      <c r="NOC309" s="37"/>
      <c r="NOD309" s="208"/>
      <c r="NOE309" s="207"/>
      <c r="NOF309" s="204"/>
      <c r="NOG309" s="35"/>
      <c r="NOH309" s="203"/>
      <c r="NOI309" s="203"/>
      <c r="NOJ309" s="36"/>
      <c r="NOK309" s="36"/>
      <c r="NOL309" s="203"/>
      <c r="NOM309" s="33"/>
      <c r="NON309" s="33"/>
      <c r="NOO309" s="33"/>
      <c r="NOP309" s="33"/>
      <c r="NOQ309" s="33"/>
      <c r="NOR309" s="33"/>
      <c r="NOS309" s="37"/>
      <c r="NOT309" s="208"/>
      <c r="NOU309" s="207"/>
      <c r="NOV309" s="204"/>
      <c r="NOW309" s="35"/>
      <c r="NOX309" s="203"/>
      <c r="NOY309" s="203"/>
      <c r="NOZ309" s="36"/>
      <c r="NPA309" s="36"/>
      <c r="NPB309" s="203"/>
      <c r="NPC309" s="33"/>
      <c r="NPD309" s="33"/>
      <c r="NPE309" s="33"/>
      <c r="NPF309" s="33"/>
      <c r="NPG309" s="33"/>
      <c r="NPH309" s="33"/>
      <c r="NPI309" s="37"/>
      <c r="NPJ309" s="208"/>
      <c r="NPK309" s="207"/>
      <c r="NPL309" s="204"/>
      <c r="NPM309" s="35"/>
      <c r="NPN309" s="203"/>
      <c r="NPO309" s="203"/>
      <c r="NPP309" s="36"/>
      <c r="NPQ309" s="36"/>
      <c r="NPR309" s="203"/>
      <c r="NPS309" s="33"/>
      <c r="NPT309" s="33"/>
      <c r="NPU309" s="33"/>
      <c r="NPV309" s="33"/>
      <c r="NPW309" s="33"/>
      <c r="NPX309" s="33"/>
      <c r="NPY309" s="37"/>
      <c r="NPZ309" s="208"/>
      <c r="NQA309" s="207"/>
      <c r="NQB309" s="204"/>
      <c r="NQC309" s="35"/>
      <c r="NQD309" s="203"/>
      <c r="NQE309" s="203"/>
      <c r="NQF309" s="36"/>
      <c r="NQG309" s="36"/>
      <c r="NQH309" s="203"/>
      <c r="NQI309" s="33"/>
      <c r="NQJ309" s="33"/>
      <c r="NQK309" s="33"/>
      <c r="NQL309" s="33"/>
      <c r="NQM309" s="33"/>
      <c r="NQN309" s="33"/>
      <c r="NQO309" s="37"/>
      <c r="NQP309" s="208"/>
      <c r="NQQ309" s="207"/>
      <c r="NQR309" s="204"/>
      <c r="NQS309" s="35"/>
      <c r="NQT309" s="203"/>
      <c r="NQU309" s="203"/>
      <c r="NQV309" s="36"/>
      <c r="NQW309" s="36"/>
      <c r="NQX309" s="203"/>
      <c r="NQY309" s="33"/>
      <c r="NQZ309" s="33"/>
      <c r="NRA309" s="33"/>
      <c r="NRB309" s="33"/>
      <c r="NRC309" s="33"/>
      <c r="NRD309" s="33"/>
      <c r="NRE309" s="37"/>
      <c r="NRF309" s="208"/>
      <c r="NRG309" s="207"/>
      <c r="NRH309" s="204"/>
      <c r="NRI309" s="35"/>
      <c r="NRJ309" s="203"/>
      <c r="NRK309" s="203"/>
      <c r="NRL309" s="36"/>
      <c r="NRM309" s="36"/>
      <c r="NRN309" s="203"/>
      <c r="NRO309" s="33"/>
      <c r="NRP309" s="33"/>
      <c r="NRQ309" s="33"/>
      <c r="NRR309" s="33"/>
      <c r="NRS309" s="33"/>
      <c r="NRT309" s="33"/>
      <c r="NRU309" s="37"/>
      <c r="NRV309" s="208"/>
      <c r="NRW309" s="207"/>
      <c r="NRX309" s="204"/>
      <c r="NRY309" s="35"/>
      <c r="NRZ309" s="203"/>
      <c r="NSA309" s="203"/>
      <c r="NSB309" s="36"/>
      <c r="NSC309" s="36"/>
      <c r="NSD309" s="203"/>
      <c r="NSE309" s="33"/>
      <c r="NSF309" s="33"/>
      <c r="NSG309" s="33"/>
      <c r="NSH309" s="33"/>
      <c r="NSI309" s="33"/>
      <c r="NSJ309" s="33"/>
      <c r="NSK309" s="37"/>
      <c r="NSL309" s="208"/>
      <c r="NSM309" s="207"/>
      <c r="NSN309" s="204"/>
      <c r="NSO309" s="35"/>
      <c r="NSP309" s="203"/>
      <c r="NSQ309" s="203"/>
      <c r="NSR309" s="36"/>
      <c r="NSS309" s="36"/>
      <c r="NST309" s="203"/>
      <c r="NSU309" s="33"/>
      <c r="NSV309" s="33"/>
      <c r="NSW309" s="33"/>
      <c r="NSX309" s="33"/>
      <c r="NSY309" s="33"/>
      <c r="NSZ309" s="33"/>
      <c r="NTA309" s="37"/>
      <c r="NTB309" s="208"/>
      <c r="NTC309" s="207"/>
      <c r="NTD309" s="204"/>
      <c r="NTE309" s="35"/>
      <c r="NTF309" s="203"/>
      <c r="NTG309" s="203"/>
      <c r="NTH309" s="36"/>
      <c r="NTI309" s="36"/>
      <c r="NTJ309" s="203"/>
      <c r="NTK309" s="33"/>
      <c r="NTL309" s="33"/>
      <c r="NTM309" s="33"/>
      <c r="NTN309" s="33"/>
      <c r="NTO309" s="33"/>
      <c r="NTP309" s="33"/>
      <c r="NTQ309" s="37"/>
      <c r="NTR309" s="208"/>
      <c r="NTS309" s="207"/>
      <c r="NTT309" s="204"/>
      <c r="NTU309" s="35"/>
      <c r="NTV309" s="203"/>
      <c r="NTW309" s="203"/>
      <c r="NTX309" s="36"/>
      <c r="NTY309" s="36"/>
      <c r="NTZ309" s="203"/>
      <c r="NUA309" s="33"/>
      <c r="NUB309" s="33"/>
      <c r="NUC309" s="33"/>
      <c r="NUD309" s="33"/>
      <c r="NUE309" s="33"/>
      <c r="NUF309" s="33"/>
      <c r="NUG309" s="37"/>
      <c r="NUH309" s="208"/>
      <c r="NUI309" s="207"/>
      <c r="NUJ309" s="204"/>
      <c r="NUK309" s="35"/>
      <c r="NUL309" s="203"/>
      <c r="NUM309" s="203"/>
      <c r="NUN309" s="36"/>
      <c r="NUO309" s="36"/>
      <c r="NUP309" s="203"/>
      <c r="NUQ309" s="33"/>
      <c r="NUR309" s="33"/>
      <c r="NUS309" s="33"/>
      <c r="NUT309" s="33"/>
      <c r="NUU309" s="33"/>
      <c r="NUV309" s="33"/>
      <c r="NUW309" s="37"/>
      <c r="NUX309" s="208"/>
      <c r="NUY309" s="207"/>
      <c r="NUZ309" s="204"/>
      <c r="NVA309" s="35"/>
      <c r="NVB309" s="203"/>
      <c r="NVC309" s="203"/>
      <c r="NVD309" s="36"/>
      <c r="NVE309" s="36"/>
      <c r="NVF309" s="203"/>
      <c r="NVG309" s="33"/>
      <c r="NVH309" s="33"/>
      <c r="NVI309" s="33"/>
      <c r="NVJ309" s="33"/>
      <c r="NVK309" s="33"/>
      <c r="NVL309" s="33"/>
      <c r="NVM309" s="37"/>
      <c r="NVN309" s="208"/>
      <c r="NVO309" s="207"/>
      <c r="NVP309" s="204"/>
      <c r="NVQ309" s="35"/>
      <c r="NVR309" s="203"/>
      <c r="NVS309" s="203"/>
      <c r="NVT309" s="36"/>
      <c r="NVU309" s="36"/>
      <c r="NVV309" s="203"/>
      <c r="NVW309" s="33"/>
      <c r="NVX309" s="33"/>
      <c r="NVY309" s="33"/>
      <c r="NVZ309" s="33"/>
      <c r="NWA309" s="33"/>
      <c r="NWB309" s="33"/>
      <c r="NWC309" s="37"/>
      <c r="NWD309" s="208"/>
      <c r="NWE309" s="207"/>
      <c r="NWF309" s="204"/>
      <c r="NWG309" s="35"/>
      <c r="NWH309" s="203"/>
      <c r="NWI309" s="203"/>
      <c r="NWJ309" s="36"/>
      <c r="NWK309" s="36"/>
      <c r="NWL309" s="203"/>
      <c r="NWM309" s="33"/>
      <c r="NWN309" s="33"/>
      <c r="NWO309" s="33"/>
      <c r="NWP309" s="33"/>
      <c r="NWQ309" s="33"/>
      <c r="NWR309" s="33"/>
      <c r="NWS309" s="37"/>
      <c r="NWT309" s="208"/>
      <c r="NWU309" s="207"/>
      <c r="NWV309" s="204"/>
      <c r="NWW309" s="35"/>
      <c r="NWX309" s="203"/>
      <c r="NWY309" s="203"/>
      <c r="NWZ309" s="36"/>
      <c r="NXA309" s="36"/>
      <c r="NXB309" s="203"/>
      <c r="NXC309" s="33"/>
      <c r="NXD309" s="33"/>
      <c r="NXE309" s="33"/>
      <c r="NXF309" s="33"/>
      <c r="NXG309" s="33"/>
      <c r="NXH309" s="33"/>
      <c r="NXI309" s="37"/>
      <c r="NXJ309" s="208"/>
      <c r="NXK309" s="207"/>
      <c r="NXL309" s="204"/>
      <c r="NXM309" s="35"/>
      <c r="NXN309" s="203"/>
      <c r="NXO309" s="203"/>
      <c r="NXP309" s="36"/>
      <c r="NXQ309" s="36"/>
      <c r="NXR309" s="203"/>
      <c r="NXS309" s="33"/>
      <c r="NXT309" s="33"/>
      <c r="NXU309" s="33"/>
      <c r="NXV309" s="33"/>
      <c r="NXW309" s="33"/>
      <c r="NXX309" s="33"/>
      <c r="NXY309" s="37"/>
      <c r="NXZ309" s="208"/>
      <c r="NYA309" s="207"/>
      <c r="NYB309" s="204"/>
      <c r="NYC309" s="35"/>
      <c r="NYD309" s="203"/>
      <c r="NYE309" s="203"/>
      <c r="NYF309" s="36"/>
      <c r="NYG309" s="36"/>
      <c r="NYH309" s="203"/>
      <c r="NYI309" s="33"/>
      <c r="NYJ309" s="33"/>
      <c r="NYK309" s="33"/>
      <c r="NYL309" s="33"/>
      <c r="NYM309" s="33"/>
      <c r="NYN309" s="33"/>
      <c r="NYO309" s="37"/>
      <c r="NYP309" s="208"/>
      <c r="NYQ309" s="207"/>
      <c r="NYR309" s="204"/>
      <c r="NYS309" s="35"/>
      <c r="NYT309" s="203"/>
      <c r="NYU309" s="203"/>
      <c r="NYV309" s="36"/>
      <c r="NYW309" s="36"/>
      <c r="NYX309" s="203"/>
      <c r="NYY309" s="33"/>
      <c r="NYZ309" s="33"/>
      <c r="NZA309" s="33"/>
      <c r="NZB309" s="33"/>
      <c r="NZC309" s="33"/>
      <c r="NZD309" s="33"/>
      <c r="NZE309" s="37"/>
      <c r="NZF309" s="208"/>
      <c r="NZG309" s="207"/>
      <c r="NZH309" s="204"/>
      <c r="NZI309" s="35"/>
      <c r="NZJ309" s="203"/>
      <c r="NZK309" s="203"/>
      <c r="NZL309" s="36"/>
      <c r="NZM309" s="36"/>
      <c r="NZN309" s="203"/>
      <c r="NZO309" s="33"/>
      <c r="NZP309" s="33"/>
      <c r="NZQ309" s="33"/>
      <c r="NZR309" s="33"/>
      <c r="NZS309" s="33"/>
      <c r="NZT309" s="33"/>
      <c r="NZU309" s="37"/>
      <c r="NZV309" s="208"/>
      <c r="NZW309" s="207"/>
      <c r="NZX309" s="204"/>
      <c r="NZY309" s="35"/>
      <c r="NZZ309" s="203"/>
      <c r="OAA309" s="203"/>
      <c r="OAB309" s="36"/>
      <c r="OAC309" s="36"/>
      <c r="OAD309" s="203"/>
      <c r="OAE309" s="33"/>
      <c r="OAF309" s="33"/>
      <c r="OAG309" s="33"/>
      <c r="OAH309" s="33"/>
      <c r="OAI309" s="33"/>
      <c r="OAJ309" s="33"/>
      <c r="OAK309" s="37"/>
      <c r="OAL309" s="208"/>
      <c r="OAM309" s="207"/>
      <c r="OAN309" s="204"/>
      <c r="OAO309" s="35"/>
      <c r="OAP309" s="203"/>
      <c r="OAQ309" s="203"/>
      <c r="OAR309" s="36"/>
      <c r="OAS309" s="36"/>
      <c r="OAT309" s="203"/>
      <c r="OAU309" s="33"/>
      <c r="OAV309" s="33"/>
      <c r="OAW309" s="33"/>
      <c r="OAX309" s="33"/>
      <c r="OAY309" s="33"/>
      <c r="OAZ309" s="33"/>
      <c r="OBA309" s="37"/>
      <c r="OBB309" s="208"/>
      <c r="OBC309" s="207"/>
      <c r="OBD309" s="204"/>
      <c r="OBE309" s="35"/>
      <c r="OBF309" s="203"/>
      <c r="OBG309" s="203"/>
      <c r="OBH309" s="36"/>
      <c r="OBI309" s="36"/>
      <c r="OBJ309" s="203"/>
      <c r="OBK309" s="33"/>
      <c r="OBL309" s="33"/>
      <c r="OBM309" s="33"/>
      <c r="OBN309" s="33"/>
      <c r="OBO309" s="33"/>
      <c r="OBP309" s="33"/>
      <c r="OBQ309" s="37"/>
      <c r="OBR309" s="208"/>
      <c r="OBS309" s="207"/>
      <c r="OBT309" s="204"/>
      <c r="OBU309" s="35"/>
      <c r="OBV309" s="203"/>
      <c r="OBW309" s="203"/>
      <c r="OBX309" s="36"/>
      <c r="OBY309" s="36"/>
      <c r="OBZ309" s="203"/>
      <c r="OCA309" s="33"/>
      <c r="OCB309" s="33"/>
      <c r="OCC309" s="33"/>
      <c r="OCD309" s="33"/>
      <c r="OCE309" s="33"/>
      <c r="OCF309" s="33"/>
      <c r="OCG309" s="37"/>
      <c r="OCH309" s="208"/>
      <c r="OCI309" s="207"/>
      <c r="OCJ309" s="204"/>
      <c r="OCK309" s="35"/>
      <c r="OCL309" s="203"/>
      <c r="OCM309" s="203"/>
      <c r="OCN309" s="36"/>
      <c r="OCO309" s="36"/>
      <c r="OCP309" s="203"/>
      <c r="OCQ309" s="33"/>
      <c r="OCR309" s="33"/>
      <c r="OCS309" s="33"/>
      <c r="OCT309" s="33"/>
      <c r="OCU309" s="33"/>
      <c r="OCV309" s="33"/>
      <c r="OCW309" s="37"/>
      <c r="OCX309" s="208"/>
      <c r="OCY309" s="207"/>
      <c r="OCZ309" s="204"/>
      <c r="ODA309" s="35"/>
      <c r="ODB309" s="203"/>
      <c r="ODC309" s="203"/>
      <c r="ODD309" s="36"/>
      <c r="ODE309" s="36"/>
      <c r="ODF309" s="203"/>
      <c r="ODG309" s="33"/>
      <c r="ODH309" s="33"/>
      <c r="ODI309" s="33"/>
      <c r="ODJ309" s="33"/>
      <c r="ODK309" s="33"/>
      <c r="ODL309" s="33"/>
      <c r="ODM309" s="37"/>
      <c r="ODN309" s="208"/>
      <c r="ODO309" s="207"/>
      <c r="ODP309" s="204"/>
      <c r="ODQ309" s="35"/>
      <c r="ODR309" s="203"/>
      <c r="ODS309" s="203"/>
      <c r="ODT309" s="36"/>
      <c r="ODU309" s="36"/>
      <c r="ODV309" s="203"/>
      <c r="ODW309" s="33"/>
      <c r="ODX309" s="33"/>
      <c r="ODY309" s="33"/>
      <c r="ODZ309" s="33"/>
      <c r="OEA309" s="33"/>
      <c r="OEB309" s="33"/>
      <c r="OEC309" s="37"/>
      <c r="OED309" s="208"/>
      <c r="OEE309" s="207"/>
      <c r="OEF309" s="204"/>
      <c r="OEG309" s="35"/>
      <c r="OEH309" s="203"/>
      <c r="OEI309" s="203"/>
      <c r="OEJ309" s="36"/>
      <c r="OEK309" s="36"/>
      <c r="OEL309" s="203"/>
      <c r="OEM309" s="33"/>
      <c r="OEN309" s="33"/>
      <c r="OEO309" s="33"/>
      <c r="OEP309" s="33"/>
      <c r="OEQ309" s="33"/>
      <c r="OER309" s="33"/>
      <c r="OES309" s="37"/>
      <c r="OET309" s="208"/>
      <c r="OEU309" s="207"/>
      <c r="OEV309" s="204"/>
      <c r="OEW309" s="35"/>
      <c r="OEX309" s="203"/>
      <c r="OEY309" s="203"/>
      <c r="OEZ309" s="36"/>
      <c r="OFA309" s="36"/>
      <c r="OFB309" s="203"/>
      <c r="OFC309" s="33"/>
      <c r="OFD309" s="33"/>
      <c r="OFE309" s="33"/>
      <c r="OFF309" s="33"/>
      <c r="OFG309" s="33"/>
      <c r="OFH309" s="33"/>
      <c r="OFI309" s="37"/>
      <c r="OFJ309" s="208"/>
      <c r="OFK309" s="207"/>
      <c r="OFL309" s="204"/>
      <c r="OFM309" s="35"/>
      <c r="OFN309" s="203"/>
      <c r="OFO309" s="203"/>
      <c r="OFP309" s="36"/>
      <c r="OFQ309" s="36"/>
      <c r="OFR309" s="203"/>
      <c r="OFS309" s="33"/>
      <c r="OFT309" s="33"/>
      <c r="OFU309" s="33"/>
      <c r="OFV309" s="33"/>
      <c r="OFW309" s="33"/>
      <c r="OFX309" s="33"/>
      <c r="OFY309" s="37"/>
      <c r="OFZ309" s="208"/>
      <c r="OGA309" s="207"/>
      <c r="OGB309" s="204"/>
      <c r="OGC309" s="35"/>
      <c r="OGD309" s="203"/>
      <c r="OGE309" s="203"/>
      <c r="OGF309" s="36"/>
      <c r="OGG309" s="36"/>
      <c r="OGH309" s="203"/>
      <c r="OGI309" s="33"/>
      <c r="OGJ309" s="33"/>
      <c r="OGK309" s="33"/>
      <c r="OGL309" s="33"/>
      <c r="OGM309" s="33"/>
      <c r="OGN309" s="33"/>
      <c r="OGO309" s="37"/>
      <c r="OGP309" s="208"/>
      <c r="OGQ309" s="207"/>
      <c r="OGR309" s="204"/>
      <c r="OGS309" s="35"/>
      <c r="OGT309" s="203"/>
      <c r="OGU309" s="203"/>
      <c r="OGV309" s="36"/>
      <c r="OGW309" s="36"/>
      <c r="OGX309" s="203"/>
      <c r="OGY309" s="33"/>
      <c r="OGZ309" s="33"/>
      <c r="OHA309" s="33"/>
      <c r="OHB309" s="33"/>
      <c r="OHC309" s="33"/>
      <c r="OHD309" s="33"/>
      <c r="OHE309" s="37"/>
      <c r="OHF309" s="208"/>
      <c r="OHG309" s="207"/>
      <c r="OHH309" s="204"/>
      <c r="OHI309" s="35"/>
      <c r="OHJ309" s="203"/>
      <c r="OHK309" s="203"/>
      <c r="OHL309" s="36"/>
      <c r="OHM309" s="36"/>
      <c r="OHN309" s="203"/>
      <c r="OHO309" s="33"/>
      <c r="OHP309" s="33"/>
      <c r="OHQ309" s="33"/>
      <c r="OHR309" s="33"/>
      <c r="OHS309" s="33"/>
      <c r="OHT309" s="33"/>
      <c r="OHU309" s="37"/>
      <c r="OHV309" s="208"/>
      <c r="OHW309" s="207"/>
      <c r="OHX309" s="204"/>
      <c r="OHY309" s="35"/>
      <c r="OHZ309" s="203"/>
      <c r="OIA309" s="203"/>
      <c r="OIB309" s="36"/>
      <c r="OIC309" s="36"/>
      <c r="OID309" s="203"/>
      <c r="OIE309" s="33"/>
      <c r="OIF309" s="33"/>
      <c r="OIG309" s="33"/>
      <c r="OIH309" s="33"/>
      <c r="OII309" s="33"/>
      <c r="OIJ309" s="33"/>
      <c r="OIK309" s="37"/>
      <c r="OIL309" s="208"/>
      <c r="OIM309" s="207"/>
      <c r="OIN309" s="204"/>
      <c r="OIO309" s="35"/>
      <c r="OIP309" s="203"/>
      <c r="OIQ309" s="203"/>
      <c r="OIR309" s="36"/>
      <c r="OIS309" s="36"/>
      <c r="OIT309" s="203"/>
      <c r="OIU309" s="33"/>
      <c r="OIV309" s="33"/>
      <c r="OIW309" s="33"/>
      <c r="OIX309" s="33"/>
      <c r="OIY309" s="33"/>
      <c r="OIZ309" s="33"/>
      <c r="OJA309" s="37"/>
      <c r="OJB309" s="208"/>
      <c r="OJC309" s="207"/>
      <c r="OJD309" s="204"/>
      <c r="OJE309" s="35"/>
      <c r="OJF309" s="203"/>
      <c r="OJG309" s="203"/>
      <c r="OJH309" s="36"/>
      <c r="OJI309" s="36"/>
      <c r="OJJ309" s="203"/>
      <c r="OJK309" s="33"/>
      <c r="OJL309" s="33"/>
      <c r="OJM309" s="33"/>
      <c r="OJN309" s="33"/>
      <c r="OJO309" s="33"/>
      <c r="OJP309" s="33"/>
      <c r="OJQ309" s="37"/>
      <c r="OJR309" s="208"/>
      <c r="OJS309" s="207"/>
      <c r="OJT309" s="204"/>
      <c r="OJU309" s="35"/>
      <c r="OJV309" s="203"/>
      <c r="OJW309" s="203"/>
      <c r="OJX309" s="36"/>
      <c r="OJY309" s="36"/>
      <c r="OJZ309" s="203"/>
      <c r="OKA309" s="33"/>
      <c r="OKB309" s="33"/>
      <c r="OKC309" s="33"/>
      <c r="OKD309" s="33"/>
      <c r="OKE309" s="33"/>
      <c r="OKF309" s="33"/>
      <c r="OKG309" s="37"/>
      <c r="OKH309" s="208"/>
      <c r="OKI309" s="207"/>
      <c r="OKJ309" s="204"/>
      <c r="OKK309" s="35"/>
      <c r="OKL309" s="203"/>
      <c r="OKM309" s="203"/>
      <c r="OKN309" s="36"/>
      <c r="OKO309" s="36"/>
      <c r="OKP309" s="203"/>
      <c r="OKQ309" s="33"/>
      <c r="OKR309" s="33"/>
      <c r="OKS309" s="33"/>
      <c r="OKT309" s="33"/>
      <c r="OKU309" s="33"/>
      <c r="OKV309" s="33"/>
      <c r="OKW309" s="37"/>
      <c r="OKX309" s="208"/>
      <c r="OKY309" s="207"/>
      <c r="OKZ309" s="204"/>
      <c r="OLA309" s="35"/>
      <c r="OLB309" s="203"/>
      <c r="OLC309" s="203"/>
      <c r="OLD309" s="36"/>
      <c r="OLE309" s="36"/>
      <c r="OLF309" s="203"/>
      <c r="OLG309" s="33"/>
      <c r="OLH309" s="33"/>
      <c r="OLI309" s="33"/>
      <c r="OLJ309" s="33"/>
      <c r="OLK309" s="33"/>
      <c r="OLL309" s="33"/>
      <c r="OLM309" s="37"/>
      <c r="OLN309" s="208"/>
      <c r="OLO309" s="207"/>
      <c r="OLP309" s="204"/>
      <c r="OLQ309" s="35"/>
      <c r="OLR309" s="203"/>
      <c r="OLS309" s="203"/>
      <c r="OLT309" s="36"/>
      <c r="OLU309" s="36"/>
      <c r="OLV309" s="203"/>
      <c r="OLW309" s="33"/>
      <c r="OLX309" s="33"/>
      <c r="OLY309" s="33"/>
      <c r="OLZ309" s="33"/>
      <c r="OMA309" s="33"/>
      <c r="OMB309" s="33"/>
      <c r="OMC309" s="37"/>
      <c r="OMD309" s="208"/>
      <c r="OME309" s="207"/>
      <c r="OMF309" s="204"/>
      <c r="OMG309" s="35"/>
      <c r="OMH309" s="203"/>
      <c r="OMI309" s="203"/>
      <c r="OMJ309" s="36"/>
      <c r="OMK309" s="36"/>
      <c r="OML309" s="203"/>
      <c r="OMM309" s="33"/>
      <c r="OMN309" s="33"/>
      <c r="OMO309" s="33"/>
      <c r="OMP309" s="33"/>
      <c r="OMQ309" s="33"/>
      <c r="OMR309" s="33"/>
      <c r="OMS309" s="37"/>
      <c r="OMT309" s="208"/>
      <c r="OMU309" s="207"/>
      <c r="OMV309" s="204"/>
      <c r="OMW309" s="35"/>
      <c r="OMX309" s="203"/>
      <c r="OMY309" s="203"/>
      <c r="OMZ309" s="36"/>
      <c r="ONA309" s="36"/>
      <c r="ONB309" s="203"/>
      <c r="ONC309" s="33"/>
      <c r="OND309" s="33"/>
      <c r="ONE309" s="33"/>
      <c r="ONF309" s="33"/>
      <c r="ONG309" s="33"/>
      <c r="ONH309" s="33"/>
      <c r="ONI309" s="37"/>
      <c r="ONJ309" s="208"/>
      <c r="ONK309" s="207"/>
      <c r="ONL309" s="204"/>
      <c r="ONM309" s="35"/>
      <c r="ONN309" s="203"/>
      <c r="ONO309" s="203"/>
      <c r="ONP309" s="36"/>
      <c r="ONQ309" s="36"/>
      <c r="ONR309" s="203"/>
      <c r="ONS309" s="33"/>
      <c r="ONT309" s="33"/>
      <c r="ONU309" s="33"/>
      <c r="ONV309" s="33"/>
      <c r="ONW309" s="33"/>
      <c r="ONX309" s="33"/>
      <c r="ONY309" s="37"/>
      <c r="ONZ309" s="208"/>
      <c r="OOA309" s="207"/>
      <c r="OOB309" s="204"/>
      <c r="OOC309" s="35"/>
      <c r="OOD309" s="203"/>
      <c r="OOE309" s="203"/>
      <c r="OOF309" s="36"/>
      <c r="OOG309" s="36"/>
      <c r="OOH309" s="203"/>
      <c r="OOI309" s="33"/>
      <c r="OOJ309" s="33"/>
      <c r="OOK309" s="33"/>
      <c r="OOL309" s="33"/>
      <c r="OOM309" s="33"/>
      <c r="OON309" s="33"/>
      <c r="OOO309" s="37"/>
      <c r="OOP309" s="208"/>
      <c r="OOQ309" s="207"/>
      <c r="OOR309" s="204"/>
      <c r="OOS309" s="35"/>
      <c r="OOT309" s="203"/>
      <c r="OOU309" s="203"/>
      <c r="OOV309" s="36"/>
      <c r="OOW309" s="36"/>
      <c r="OOX309" s="203"/>
      <c r="OOY309" s="33"/>
      <c r="OOZ309" s="33"/>
      <c r="OPA309" s="33"/>
      <c r="OPB309" s="33"/>
      <c r="OPC309" s="33"/>
      <c r="OPD309" s="33"/>
      <c r="OPE309" s="37"/>
      <c r="OPF309" s="208"/>
      <c r="OPG309" s="207"/>
      <c r="OPH309" s="204"/>
      <c r="OPI309" s="35"/>
      <c r="OPJ309" s="203"/>
      <c r="OPK309" s="203"/>
      <c r="OPL309" s="36"/>
      <c r="OPM309" s="36"/>
      <c r="OPN309" s="203"/>
      <c r="OPO309" s="33"/>
      <c r="OPP309" s="33"/>
      <c r="OPQ309" s="33"/>
      <c r="OPR309" s="33"/>
      <c r="OPS309" s="33"/>
      <c r="OPT309" s="33"/>
      <c r="OPU309" s="37"/>
      <c r="OPV309" s="208"/>
      <c r="OPW309" s="207"/>
      <c r="OPX309" s="204"/>
      <c r="OPY309" s="35"/>
      <c r="OPZ309" s="203"/>
      <c r="OQA309" s="203"/>
      <c r="OQB309" s="36"/>
      <c r="OQC309" s="36"/>
      <c r="OQD309" s="203"/>
      <c r="OQE309" s="33"/>
      <c r="OQF309" s="33"/>
      <c r="OQG309" s="33"/>
      <c r="OQH309" s="33"/>
      <c r="OQI309" s="33"/>
      <c r="OQJ309" s="33"/>
      <c r="OQK309" s="37"/>
      <c r="OQL309" s="208"/>
      <c r="OQM309" s="207"/>
      <c r="OQN309" s="204"/>
      <c r="OQO309" s="35"/>
      <c r="OQP309" s="203"/>
      <c r="OQQ309" s="203"/>
      <c r="OQR309" s="36"/>
      <c r="OQS309" s="36"/>
      <c r="OQT309" s="203"/>
      <c r="OQU309" s="33"/>
      <c r="OQV309" s="33"/>
      <c r="OQW309" s="33"/>
      <c r="OQX309" s="33"/>
      <c r="OQY309" s="33"/>
      <c r="OQZ309" s="33"/>
      <c r="ORA309" s="37"/>
      <c r="ORB309" s="208"/>
      <c r="ORC309" s="207"/>
      <c r="ORD309" s="204"/>
      <c r="ORE309" s="35"/>
      <c r="ORF309" s="203"/>
      <c r="ORG309" s="203"/>
      <c r="ORH309" s="36"/>
      <c r="ORI309" s="36"/>
      <c r="ORJ309" s="203"/>
      <c r="ORK309" s="33"/>
      <c r="ORL309" s="33"/>
      <c r="ORM309" s="33"/>
      <c r="ORN309" s="33"/>
      <c r="ORO309" s="33"/>
      <c r="ORP309" s="33"/>
      <c r="ORQ309" s="37"/>
      <c r="ORR309" s="208"/>
      <c r="ORS309" s="207"/>
      <c r="ORT309" s="204"/>
      <c r="ORU309" s="35"/>
      <c r="ORV309" s="203"/>
      <c r="ORW309" s="203"/>
      <c r="ORX309" s="36"/>
      <c r="ORY309" s="36"/>
      <c r="ORZ309" s="203"/>
      <c r="OSA309" s="33"/>
      <c r="OSB309" s="33"/>
      <c r="OSC309" s="33"/>
      <c r="OSD309" s="33"/>
      <c r="OSE309" s="33"/>
      <c r="OSF309" s="33"/>
      <c r="OSG309" s="37"/>
      <c r="OSH309" s="208"/>
      <c r="OSI309" s="207"/>
      <c r="OSJ309" s="204"/>
      <c r="OSK309" s="35"/>
      <c r="OSL309" s="203"/>
      <c r="OSM309" s="203"/>
      <c r="OSN309" s="36"/>
      <c r="OSO309" s="36"/>
      <c r="OSP309" s="203"/>
      <c r="OSQ309" s="33"/>
      <c r="OSR309" s="33"/>
      <c r="OSS309" s="33"/>
      <c r="OST309" s="33"/>
      <c r="OSU309" s="33"/>
      <c r="OSV309" s="33"/>
      <c r="OSW309" s="37"/>
      <c r="OSX309" s="208"/>
      <c r="OSY309" s="207"/>
      <c r="OSZ309" s="204"/>
      <c r="OTA309" s="35"/>
      <c r="OTB309" s="203"/>
      <c r="OTC309" s="203"/>
      <c r="OTD309" s="36"/>
      <c r="OTE309" s="36"/>
      <c r="OTF309" s="203"/>
      <c r="OTG309" s="33"/>
      <c r="OTH309" s="33"/>
      <c r="OTI309" s="33"/>
      <c r="OTJ309" s="33"/>
      <c r="OTK309" s="33"/>
      <c r="OTL309" s="33"/>
      <c r="OTM309" s="37"/>
      <c r="OTN309" s="208"/>
      <c r="OTO309" s="207"/>
      <c r="OTP309" s="204"/>
      <c r="OTQ309" s="35"/>
      <c r="OTR309" s="203"/>
      <c r="OTS309" s="203"/>
      <c r="OTT309" s="36"/>
      <c r="OTU309" s="36"/>
      <c r="OTV309" s="203"/>
      <c r="OTW309" s="33"/>
      <c r="OTX309" s="33"/>
      <c r="OTY309" s="33"/>
      <c r="OTZ309" s="33"/>
      <c r="OUA309" s="33"/>
      <c r="OUB309" s="33"/>
      <c r="OUC309" s="37"/>
      <c r="OUD309" s="208"/>
      <c r="OUE309" s="207"/>
      <c r="OUF309" s="204"/>
      <c r="OUG309" s="35"/>
      <c r="OUH309" s="203"/>
      <c r="OUI309" s="203"/>
      <c r="OUJ309" s="36"/>
      <c r="OUK309" s="36"/>
      <c r="OUL309" s="203"/>
      <c r="OUM309" s="33"/>
      <c r="OUN309" s="33"/>
      <c r="OUO309" s="33"/>
      <c r="OUP309" s="33"/>
      <c r="OUQ309" s="33"/>
      <c r="OUR309" s="33"/>
      <c r="OUS309" s="37"/>
      <c r="OUT309" s="208"/>
      <c r="OUU309" s="207"/>
      <c r="OUV309" s="204"/>
      <c r="OUW309" s="35"/>
      <c r="OUX309" s="203"/>
      <c r="OUY309" s="203"/>
      <c r="OUZ309" s="36"/>
      <c r="OVA309" s="36"/>
      <c r="OVB309" s="203"/>
      <c r="OVC309" s="33"/>
      <c r="OVD309" s="33"/>
      <c r="OVE309" s="33"/>
      <c r="OVF309" s="33"/>
      <c r="OVG309" s="33"/>
      <c r="OVH309" s="33"/>
      <c r="OVI309" s="37"/>
      <c r="OVJ309" s="208"/>
      <c r="OVK309" s="207"/>
      <c r="OVL309" s="204"/>
      <c r="OVM309" s="35"/>
      <c r="OVN309" s="203"/>
      <c r="OVO309" s="203"/>
      <c r="OVP309" s="36"/>
      <c r="OVQ309" s="36"/>
      <c r="OVR309" s="203"/>
      <c r="OVS309" s="33"/>
      <c r="OVT309" s="33"/>
      <c r="OVU309" s="33"/>
      <c r="OVV309" s="33"/>
      <c r="OVW309" s="33"/>
      <c r="OVX309" s="33"/>
      <c r="OVY309" s="37"/>
      <c r="OVZ309" s="208"/>
      <c r="OWA309" s="207"/>
      <c r="OWB309" s="204"/>
      <c r="OWC309" s="35"/>
      <c r="OWD309" s="203"/>
      <c r="OWE309" s="203"/>
      <c r="OWF309" s="36"/>
      <c r="OWG309" s="36"/>
      <c r="OWH309" s="203"/>
      <c r="OWI309" s="33"/>
      <c r="OWJ309" s="33"/>
      <c r="OWK309" s="33"/>
      <c r="OWL309" s="33"/>
      <c r="OWM309" s="33"/>
      <c r="OWN309" s="33"/>
      <c r="OWO309" s="37"/>
      <c r="OWP309" s="208"/>
      <c r="OWQ309" s="207"/>
      <c r="OWR309" s="204"/>
      <c r="OWS309" s="35"/>
      <c r="OWT309" s="203"/>
      <c r="OWU309" s="203"/>
      <c r="OWV309" s="36"/>
      <c r="OWW309" s="36"/>
      <c r="OWX309" s="203"/>
      <c r="OWY309" s="33"/>
      <c r="OWZ309" s="33"/>
      <c r="OXA309" s="33"/>
      <c r="OXB309" s="33"/>
      <c r="OXC309" s="33"/>
      <c r="OXD309" s="33"/>
      <c r="OXE309" s="37"/>
      <c r="OXF309" s="208"/>
      <c r="OXG309" s="207"/>
      <c r="OXH309" s="204"/>
      <c r="OXI309" s="35"/>
      <c r="OXJ309" s="203"/>
      <c r="OXK309" s="203"/>
      <c r="OXL309" s="36"/>
      <c r="OXM309" s="36"/>
      <c r="OXN309" s="203"/>
      <c r="OXO309" s="33"/>
      <c r="OXP309" s="33"/>
      <c r="OXQ309" s="33"/>
      <c r="OXR309" s="33"/>
      <c r="OXS309" s="33"/>
      <c r="OXT309" s="33"/>
      <c r="OXU309" s="37"/>
      <c r="OXV309" s="208"/>
      <c r="OXW309" s="207"/>
      <c r="OXX309" s="204"/>
      <c r="OXY309" s="35"/>
      <c r="OXZ309" s="203"/>
      <c r="OYA309" s="203"/>
      <c r="OYB309" s="36"/>
      <c r="OYC309" s="36"/>
      <c r="OYD309" s="203"/>
      <c r="OYE309" s="33"/>
      <c r="OYF309" s="33"/>
      <c r="OYG309" s="33"/>
      <c r="OYH309" s="33"/>
      <c r="OYI309" s="33"/>
      <c r="OYJ309" s="33"/>
      <c r="OYK309" s="37"/>
      <c r="OYL309" s="208"/>
      <c r="OYM309" s="207"/>
      <c r="OYN309" s="204"/>
      <c r="OYO309" s="35"/>
      <c r="OYP309" s="203"/>
      <c r="OYQ309" s="203"/>
      <c r="OYR309" s="36"/>
      <c r="OYS309" s="36"/>
      <c r="OYT309" s="203"/>
      <c r="OYU309" s="33"/>
      <c r="OYV309" s="33"/>
      <c r="OYW309" s="33"/>
      <c r="OYX309" s="33"/>
      <c r="OYY309" s="33"/>
      <c r="OYZ309" s="33"/>
      <c r="OZA309" s="37"/>
      <c r="OZB309" s="208"/>
      <c r="OZC309" s="207"/>
      <c r="OZD309" s="204"/>
      <c r="OZE309" s="35"/>
      <c r="OZF309" s="203"/>
      <c r="OZG309" s="203"/>
      <c r="OZH309" s="36"/>
      <c r="OZI309" s="36"/>
      <c r="OZJ309" s="203"/>
      <c r="OZK309" s="33"/>
      <c r="OZL309" s="33"/>
      <c r="OZM309" s="33"/>
      <c r="OZN309" s="33"/>
      <c r="OZO309" s="33"/>
      <c r="OZP309" s="33"/>
      <c r="OZQ309" s="37"/>
      <c r="OZR309" s="208"/>
      <c r="OZS309" s="207"/>
      <c r="OZT309" s="204"/>
      <c r="OZU309" s="35"/>
      <c r="OZV309" s="203"/>
      <c r="OZW309" s="203"/>
      <c r="OZX309" s="36"/>
      <c r="OZY309" s="36"/>
      <c r="OZZ309" s="203"/>
      <c r="PAA309" s="33"/>
      <c r="PAB309" s="33"/>
      <c r="PAC309" s="33"/>
      <c r="PAD309" s="33"/>
      <c r="PAE309" s="33"/>
      <c r="PAF309" s="33"/>
      <c r="PAG309" s="37"/>
      <c r="PAH309" s="208"/>
      <c r="PAI309" s="207"/>
      <c r="PAJ309" s="204"/>
      <c r="PAK309" s="35"/>
      <c r="PAL309" s="203"/>
      <c r="PAM309" s="203"/>
      <c r="PAN309" s="36"/>
      <c r="PAO309" s="36"/>
      <c r="PAP309" s="203"/>
      <c r="PAQ309" s="33"/>
      <c r="PAR309" s="33"/>
      <c r="PAS309" s="33"/>
      <c r="PAT309" s="33"/>
      <c r="PAU309" s="33"/>
      <c r="PAV309" s="33"/>
      <c r="PAW309" s="37"/>
      <c r="PAX309" s="208"/>
      <c r="PAY309" s="207"/>
      <c r="PAZ309" s="204"/>
      <c r="PBA309" s="35"/>
      <c r="PBB309" s="203"/>
      <c r="PBC309" s="203"/>
      <c r="PBD309" s="36"/>
      <c r="PBE309" s="36"/>
      <c r="PBF309" s="203"/>
      <c r="PBG309" s="33"/>
      <c r="PBH309" s="33"/>
      <c r="PBI309" s="33"/>
      <c r="PBJ309" s="33"/>
      <c r="PBK309" s="33"/>
      <c r="PBL309" s="33"/>
      <c r="PBM309" s="37"/>
      <c r="PBN309" s="208"/>
      <c r="PBO309" s="207"/>
      <c r="PBP309" s="204"/>
      <c r="PBQ309" s="35"/>
      <c r="PBR309" s="203"/>
      <c r="PBS309" s="203"/>
      <c r="PBT309" s="36"/>
      <c r="PBU309" s="36"/>
      <c r="PBV309" s="203"/>
      <c r="PBW309" s="33"/>
      <c r="PBX309" s="33"/>
      <c r="PBY309" s="33"/>
      <c r="PBZ309" s="33"/>
      <c r="PCA309" s="33"/>
      <c r="PCB309" s="33"/>
      <c r="PCC309" s="37"/>
      <c r="PCD309" s="208"/>
      <c r="PCE309" s="207"/>
      <c r="PCF309" s="204"/>
      <c r="PCG309" s="35"/>
      <c r="PCH309" s="203"/>
      <c r="PCI309" s="203"/>
      <c r="PCJ309" s="36"/>
      <c r="PCK309" s="36"/>
      <c r="PCL309" s="203"/>
      <c r="PCM309" s="33"/>
      <c r="PCN309" s="33"/>
      <c r="PCO309" s="33"/>
      <c r="PCP309" s="33"/>
      <c r="PCQ309" s="33"/>
      <c r="PCR309" s="33"/>
      <c r="PCS309" s="37"/>
      <c r="PCT309" s="208"/>
      <c r="PCU309" s="207"/>
      <c r="PCV309" s="204"/>
      <c r="PCW309" s="35"/>
      <c r="PCX309" s="203"/>
      <c r="PCY309" s="203"/>
      <c r="PCZ309" s="36"/>
      <c r="PDA309" s="36"/>
      <c r="PDB309" s="203"/>
      <c r="PDC309" s="33"/>
      <c r="PDD309" s="33"/>
      <c r="PDE309" s="33"/>
      <c r="PDF309" s="33"/>
      <c r="PDG309" s="33"/>
      <c r="PDH309" s="33"/>
      <c r="PDI309" s="37"/>
      <c r="PDJ309" s="208"/>
      <c r="PDK309" s="207"/>
      <c r="PDL309" s="204"/>
      <c r="PDM309" s="35"/>
      <c r="PDN309" s="203"/>
      <c r="PDO309" s="203"/>
      <c r="PDP309" s="36"/>
      <c r="PDQ309" s="36"/>
      <c r="PDR309" s="203"/>
      <c r="PDS309" s="33"/>
      <c r="PDT309" s="33"/>
      <c r="PDU309" s="33"/>
      <c r="PDV309" s="33"/>
      <c r="PDW309" s="33"/>
      <c r="PDX309" s="33"/>
      <c r="PDY309" s="37"/>
      <c r="PDZ309" s="208"/>
      <c r="PEA309" s="207"/>
      <c r="PEB309" s="204"/>
      <c r="PEC309" s="35"/>
      <c r="PED309" s="203"/>
      <c r="PEE309" s="203"/>
      <c r="PEF309" s="36"/>
      <c r="PEG309" s="36"/>
      <c r="PEH309" s="203"/>
      <c r="PEI309" s="33"/>
      <c r="PEJ309" s="33"/>
      <c r="PEK309" s="33"/>
      <c r="PEL309" s="33"/>
      <c r="PEM309" s="33"/>
      <c r="PEN309" s="33"/>
      <c r="PEO309" s="37"/>
      <c r="PEP309" s="208"/>
      <c r="PEQ309" s="207"/>
      <c r="PER309" s="204"/>
      <c r="PES309" s="35"/>
      <c r="PET309" s="203"/>
      <c r="PEU309" s="203"/>
      <c r="PEV309" s="36"/>
      <c r="PEW309" s="36"/>
      <c r="PEX309" s="203"/>
      <c r="PEY309" s="33"/>
      <c r="PEZ309" s="33"/>
      <c r="PFA309" s="33"/>
      <c r="PFB309" s="33"/>
      <c r="PFC309" s="33"/>
      <c r="PFD309" s="33"/>
      <c r="PFE309" s="37"/>
      <c r="PFF309" s="208"/>
      <c r="PFG309" s="207"/>
      <c r="PFH309" s="204"/>
      <c r="PFI309" s="35"/>
      <c r="PFJ309" s="203"/>
      <c r="PFK309" s="203"/>
      <c r="PFL309" s="36"/>
      <c r="PFM309" s="36"/>
      <c r="PFN309" s="203"/>
      <c r="PFO309" s="33"/>
      <c r="PFP309" s="33"/>
      <c r="PFQ309" s="33"/>
      <c r="PFR309" s="33"/>
      <c r="PFS309" s="33"/>
      <c r="PFT309" s="33"/>
      <c r="PFU309" s="37"/>
      <c r="PFV309" s="208"/>
      <c r="PFW309" s="207"/>
      <c r="PFX309" s="204"/>
      <c r="PFY309" s="35"/>
      <c r="PFZ309" s="203"/>
      <c r="PGA309" s="203"/>
      <c r="PGB309" s="36"/>
      <c r="PGC309" s="36"/>
      <c r="PGD309" s="203"/>
      <c r="PGE309" s="33"/>
      <c r="PGF309" s="33"/>
      <c r="PGG309" s="33"/>
      <c r="PGH309" s="33"/>
      <c r="PGI309" s="33"/>
      <c r="PGJ309" s="33"/>
      <c r="PGK309" s="37"/>
      <c r="PGL309" s="208"/>
      <c r="PGM309" s="207"/>
      <c r="PGN309" s="204"/>
      <c r="PGO309" s="35"/>
      <c r="PGP309" s="203"/>
      <c r="PGQ309" s="203"/>
      <c r="PGR309" s="36"/>
      <c r="PGS309" s="36"/>
      <c r="PGT309" s="203"/>
      <c r="PGU309" s="33"/>
      <c r="PGV309" s="33"/>
      <c r="PGW309" s="33"/>
      <c r="PGX309" s="33"/>
      <c r="PGY309" s="33"/>
      <c r="PGZ309" s="33"/>
      <c r="PHA309" s="37"/>
      <c r="PHB309" s="208"/>
      <c r="PHC309" s="207"/>
      <c r="PHD309" s="204"/>
      <c r="PHE309" s="35"/>
      <c r="PHF309" s="203"/>
      <c r="PHG309" s="203"/>
      <c r="PHH309" s="36"/>
      <c r="PHI309" s="36"/>
      <c r="PHJ309" s="203"/>
      <c r="PHK309" s="33"/>
      <c r="PHL309" s="33"/>
      <c r="PHM309" s="33"/>
      <c r="PHN309" s="33"/>
      <c r="PHO309" s="33"/>
      <c r="PHP309" s="33"/>
      <c r="PHQ309" s="37"/>
      <c r="PHR309" s="208"/>
      <c r="PHS309" s="207"/>
      <c r="PHT309" s="204"/>
      <c r="PHU309" s="35"/>
      <c r="PHV309" s="203"/>
      <c r="PHW309" s="203"/>
      <c r="PHX309" s="36"/>
      <c r="PHY309" s="36"/>
      <c r="PHZ309" s="203"/>
      <c r="PIA309" s="33"/>
      <c r="PIB309" s="33"/>
      <c r="PIC309" s="33"/>
      <c r="PID309" s="33"/>
      <c r="PIE309" s="33"/>
      <c r="PIF309" s="33"/>
      <c r="PIG309" s="37"/>
      <c r="PIH309" s="208"/>
      <c r="PII309" s="207"/>
      <c r="PIJ309" s="204"/>
      <c r="PIK309" s="35"/>
      <c r="PIL309" s="203"/>
      <c r="PIM309" s="203"/>
      <c r="PIN309" s="36"/>
      <c r="PIO309" s="36"/>
      <c r="PIP309" s="203"/>
      <c r="PIQ309" s="33"/>
      <c r="PIR309" s="33"/>
      <c r="PIS309" s="33"/>
      <c r="PIT309" s="33"/>
      <c r="PIU309" s="33"/>
      <c r="PIV309" s="33"/>
      <c r="PIW309" s="37"/>
      <c r="PIX309" s="208"/>
      <c r="PIY309" s="207"/>
      <c r="PIZ309" s="204"/>
      <c r="PJA309" s="35"/>
      <c r="PJB309" s="203"/>
      <c r="PJC309" s="203"/>
      <c r="PJD309" s="36"/>
      <c r="PJE309" s="36"/>
      <c r="PJF309" s="203"/>
      <c r="PJG309" s="33"/>
      <c r="PJH309" s="33"/>
      <c r="PJI309" s="33"/>
      <c r="PJJ309" s="33"/>
      <c r="PJK309" s="33"/>
      <c r="PJL309" s="33"/>
      <c r="PJM309" s="37"/>
      <c r="PJN309" s="208"/>
      <c r="PJO309" s="207"/>
      <c r="PJP309" s="204"/>
      <c r="PJQ309" s="35"/>
      <c r="PJR309" s="203"/>
      <c r="PJS309" s="203"/>
      <c r="PJT309" s="36"/>
      <c r="PJU309" s="36"/>
      <c r="PJV309" s="203"/>
      <c r="PJW309" s="33"/>
      <c r="PJX309" s="33"/>
      <c r="PJY309" s="33"/>
      <c r="PJZ309" s="33"/>
      <c r="PKA309" s="33"/>
      <c r="PKB309" s="33"/>
      <c r="PKC309" s="37"/>
      <c r="PKD309" s="208"/>
      <c r="PKE309" s="207"/>
      <c r="PKF309" s="204"/>
      <c r="PKG309" s="35"/>
      <c r="PKH309" s="203"/>
      <c r="PKI309" s="203"/>
      <c r="PKJ309" s="36"/>
      <c r="PKK309" s="36"/>
      <c r="PKL309" s="203"/>
      <c r="PKM309" s="33"/>
      <c r="PKN309" s="33"/>
      <c r="PKO309" s="33"/>
      <c r="PKP309" s="33"/>
      <c r="PKQ309" s="33"/>
      <c r="PKR309" s="33"/>
      <c r="PKS309" s="37"/>
      <c r="PKT309" s="208"/>
      <c r="PKU309" s="207"/>
      <c r="PKV309" s="204"/>
      <c r="PKW309" s="35"/>
      <c r="PKX309" s="203"/>
      <c r="PKY309" s="203"/>
      <c r="PKZ309" s="36"/>
      <c r="PLA309" s="36"/>
      <c r="PLB309" s="203"/>
      <c r="PLC309" s="33"/>
      <c r="PLD309" s="33"/>
      <c r="PLE309" s="33"/>
      <c r="PLF309" s="33"/>
      <c r="PLG309" s="33"/>
      <c r="PLH309" s="33"/>
      <c r="PLI309" s="37"/>
      <c r="PLJ309" s="208"/>
      <c r="PLK309" s="207"/>
      <c r="PLL309" s="204"/>
      <c r="PLM309" s="35"/>
      <c r="PLN309" s="203"/>
      <c r="PLO309" s="203"/>
      <c r="PLP309" s="36"/>
      <c r="PLQ309" s="36"/>
      <c r="PLR309" s="203"/>
      <c r="PLS309" s="33"/>
      <c r="PLT309" s="33"/>
      <c r="PLU309" s="33"/>
      <c r="PLV309" s="33"/>
      <c r="PLW309" s="33"/>
      <c r="PLX309" s="33"/>
      <c r="PLY309" s="37"/>
      <c r="PLZ309" s="208"/>
      <c r="PMA309" s="207"/>
      <c r="PMB309" s="204"/>
      <c r="PMC309" s="35"/>
      <c r="PMD309" s="203"/>
      <c r="PME309" s="203"/>
      <c r="PMF309" s="36"/>
      <c r="PMG309" s="36"/>
      <c r="PMH309" s="203"/>
      <c r="PMI309" s="33"/>
      <c r="PMJ309" s="33"/>
      <c r="PMK309" s="33"/>
      <c r="PML309" s="33"/>
      <c r="PMM309" s="33"/>
      <c r="PMN309" s="33"/>
      <c r="PMO309" s="37"/>
      <c r="PMP309" s="208"/>
      <c r="PMQ309" s="207"/>
      <c r="PMR309" s="204"/>
      <c r="PMS309" s="35"/>
      <c r="PMT309" s="203"/>
      <c r="PMU309" s="203"/>
      <c r="PMV309" s="36"/>
      <c r="PMW309" s="36"/>
      <c r="PMX309" s="203"/>
      <c r="PMY309" s="33"/>
      <c r="PMZ309" s="33"/>
      <c r="PNA309" s="33"/>
      <c r="PNB309" s="33"/>
      <c r="PNC309" s="33"/>
      <c r="PND309" s="33"/>
      <c r="PNE309" s="37"/>
      <c r="PNF309" s="208"/>
      <c r="PNG309" s="207"/>
      <c r="PNH309" s="204"/>
      <c r="PNI309" s="35"/>
      <c r="PNJ309" s="203"/>
      <c r="PNK309" s="203"/>
      <c r="PNL309" s="36"/>
      <c r="PNM309" s="36"/>
      <c r="PNN309" s="203"/>
      <c r="PNO309" s="33"/>
      <c r="PNP309" s="33"/>
      <c r="PNQ309" s="33"/>
      <c r="PNR309" s="33"/>
      <c r="PNS309" s="33"/>
      <c r="PNT309" s="33"/>
      <c r="PNU309" s="37"/>
      <c r="PNV309" s="208"/>
      <c r="PNW309" s="207"/>
      <c r="PNX309" s="204"/>
      <c r="PNY309" s="35"/>
      <c r="PNZ309" s="203"/>
      <c r="POA309" s="203"/>
      <c r="POB309" s="36"/>
      <c r="POC309" s="36"/>
      <c r="POD309" s="203"/>
      <c r="POE309" s="33"/>
      <c r="POF309" s="33"/>
      <c r="POG309" s="33"/>
      <c r="POH309" s="33"/>
      <c r="POI309" s="33"/>
      <c r="POJ309" s="33"/>
      <c r="POK309" s="37"/>
      <c r="POL309" s="208"/>
      <c r="POM309" s="207"/>
      <c r="PON309" s="204"/>
      <c r="POO309" s="35"/>
      <c r="POP309" s="203"/>
      <c r="POQ309" s="203"/>
      <c r="POR309" s="36"/>
      <c r="POS309" s="36"/>
      <c r="POT309" s="203"/>
      <c r="POU309" s="33"/>
      <c r="POV309" s="33"/>
      <c r="POW309" s="33"/>
      <c r="POX309" s="33"/>
      <c r="POY309" s="33"/>
      <c r="POZ309" s="33"/>
      <c r="PPA309" s="37"/>
      <c r="PPB309" s="208"/>
      <c r="PPC309" s="207"/>
      <c r="PPD309" s="204"/>
      <c r="PPE309" s="35"/>
      <c r="PPF309" s="203"/>
      <c r="PPG309" s="203"/>
      <c r="PPH309" s="36"/>
      <c r="PPI309" s="36"/>
      <c r="PPJ309" s="203"/>
      <c r="PPK309" s="33"/>
      <c r="PPL309" s="33"/>
      <c r="PPM309" s="33"/>
      <c r="PPN309" s="33"/>
      <c r="PPO309" s="33"/>
      <c r="PPP309" s="33"/>
      <c r="PPQ309" s="37"/>
      <c r="PPR309" s="208"/>
      <c r="PPS309" s="207"/>
      <c r="PPT309" s="204"/>
      <c r="PPU309" s="35"/>
      <c r="PPV309" s="203"/>
      <c r="PPW309" s="203"/>
      <c r="PPX309" s="36"/>
      <c r="PPY309" s="36"/>
      <c r="PPZ309" s="203"/>
      <c r="PQA309" s="33"/>
      <c r="PQB309" s="33"/>
      <c r="PQC309" s="33"/>
      <c r="PQD309" s="33"/>
      <c r="PQE309" s="33"/>
      <c r="PQF309" s="33"/>
      <c r="PQG309" s="37"/>
      <c r="PQH309" s="208"/>
      <c r="PQI309" s="207"/>
      <c r="PQJ309" s="204"/>
      <c r="PQK309" s="35"/>
      <c r="PQL309" s="203"/>
      <c r="PQM309" s="203"/>
      <c r="PQN309" s="36"/>
      <c r="PQO309" s="36"/>
      <c r="PQP309" s="203"/>
      <c r="PQQ309" s="33"/>
      <c r="PQR309" s="33"/>
      <c r="PQS309" s="33"/>
      <c r="PQT309" s="33"/>
      <c r="PQU309" s="33"/>
      <c r="PQV309" s="33"/>
      <c r="PQW309" s="37"/>
      <c r="PQX309" s="208"/>
      <c r="PQY309" s="207"/>
      <c r="PQZ309" s="204"/>
      <c r="PRA309" s="35"/>
      <c r="PRB309" s="203"/>
      <c r="PRC309" s="203"/>
      <c r="PRD309" s="36"/>
      <c r="PRE309" s="36"/>
      <c r="PRF309" s="203"/>
      <c r="PRG309" s="33"/>
      <c r="PRH309" s="33"/>
      <c r="PRI309" s="33"/>
      <c r="PRJ309" s="33"/>
      <c r="PRK309" s="33"/>
      <c r="PRL309" s="33"/>
      <c r="PRM309" s="37"/>
      <c r="PRN309" s="208"/>
      <c r="PRO309" s="207"/>
      <c r="PRP309" s="204"/>
      <c r="PRQ309" s="35"/>
      <c r="PRR309" s="203"/>
      <c r="PRS309" s="203"/>
      <c r="PRT309" s="36"/>
      <c r="PRU309" s="36"/>
      <c r="PRV309" s="203"/>
      <c r="PRW309" s="33"/>
      <c r="PRX309" s="33"/>
      <c r="PRY309" s="33"/>
      <c r="PRZ309" s="33"/>
      <c r="PSA309" s="33"/>
      <c r="PSB309" s="33"/>
      <c r="PSC309" s="37"/>
      <c r="PSD309" s="208"/>
      <c r="PSE309" s="207"/>
      <c r="PSF309" s="204"/>
      <c r="PSG309" s="35"/>
      <c r="PSH309" s="203"/>
      <c r="PSI309" s="203"/>
      <c r="PSJ309" s="36"/>
      <c r="PSK309" s="36"/>
      <c r="PSL309" s="203"/>
      <c r="PSM309" s="33"/>
      <c r="PSN309" s="33"/>
      <c r="PSO309" s="33"/>
      <c r="PSP309" s="33"/>
      <c r="PSQ309" s="33"/>
      <c r="PSR309" s="33"/>
      <c r="PSS309" s="37"/>
      <c r="PST309" s="208"/>
      <c r="PSU309" s="207"/>
      <c r="PSV309" s="204"/>
      <c r="PSW309" s="35"/>
      <c r="PSX309" s="203"/>
      <c r="PSY309" s="203"/>
      <c r="PSZ309" s="36"/>
      <c r="PTA309" s="36"/>
      <c r="PTB309" s="203"/>
      <c r="PTC309" s="33"/>
      <c r="PTD309" s="33"/>
      <c r="PTE309" s="33"/>
      <c r="PTF309" s="33"/>
      <c r="PTG309" s="33"/>
      <c r="PTH309" s="33"/>
      <c r="PTI309" s="37"/>
      <c r="PTJ309" s="208"/>
      <c r="PTK309" s="207"/>
      <c r="PTL309" s="204"/>
      <c r="PTM309" s="35"/>
      <c r="PTN309" s="203"/>
      <c r="PTO309" s="203"/>
      <c r="PTP309" s="36"/>
      <c r="PTQ309" s="36"/>
      <c r="PTR309" s="203"/>
      <c r="PTS309" s="33"/>
      <c r="PTT309" s="33"/>
      <c r="PTU309" s="33"/>
      <c r="PTV309" s="33"/>
      <c r="PTW309" s="33"/>
      <c r="PTX309" s="33"/>
      <c r="PTY309" s="37"/>
      <c r="PTZ309" s="208"/>
      <c r="PUA309" s="207"/>
      <c r="PUB309" s="204"/>
      <c r="PUC309" s="35"/>
      <c r="PUD309" s="203"/>
      <c r="PUE309" s="203"/>
      <c r="PUF309" s="36"/>
      <c r="PUG309" s="36"/>
      <c r="PUH309" s="203"/>
      <c r="PUI309" s="33"/>
      <c r="PUJ309" s="33"/>
      <c r="PUK309" s="33"/>
      <c r="PUL309" s="33"/>
      <c r="PUM309" s="33"/>
      <c r="PUN309" s="33"/>
      <c r="PUO309" s="37"/>
      <c r="PUP309" s="208"/>
      <c r="PUQ309" s="207"/>
      <c r="PUR309" s="204"/>
      <c r="PUS309" s="35"/>
      <c r="PUT309" s="203"/>
      <c r="PUU309" s="203"/>
      <c r="PUV309" s="36"/>
      <c r="PUW309" s="36"/>
      <c r="PUX309" s="203"/>
      <c r="PUY309" s="33"/>
      <c r="PUZ309" s="33"/>
      <c r="PVA309" s="33"/>
      <c r="PVB309" s="33"/>
      <c r="PVC309" s="33"/>
      <c r="PVD309" s="33"/>
      <c r="PVE309" s="37"/>
      <c r="PVF309" s="208"/>
      <c r="PVG309" s="207"/>
      <c r="PVH309" s="204"/>
      <c r="PVI309" s="35"/>
      <c r="PVJ309" s="203"/>
      <c r="PVK309" s="203"/>
      <c r="PVL309" s="36"/>
      <c r="PVM309" s="36"/>
      <c r="PVN309" s="203"/>
      <c r="PVO309" s="33"/>
      <c r="PVP309" s="33"/>
      <c r="PVQ309" s="33"/>
      <c r="PVR309" s="33"/>
      <c r="PVS309" s="33"/>
      <c r="PVT309" s="33"/>
      <c r="PVU309" s="37"/>
      <c r="PVV309" s="208"/>
      <c r="PVW309" s="207"/>
      <c r="PVX309" s="204"/>
      <c r="PVY309" s="35"/>
      <c r="PVZ309" s="203"/>
      <c r="PWA309" s="203"/>
      <c r="PWB309" s="36"/>
      <c r="PWC309" s="36"/>
      <c r="PWD309" s="203"/>
      <c r="PWE309" s="33"/>
      <c r="PWF309" s="33"/>
      <c r="PWG309" s="33"/>
      <c r="PWH309" s="33"/>
      <c r="PWI309" s="33"/>
      <c r="PWJ309" s="33"/>
      <c r="PWK309" s="37"/>
      <c r="PWL309" s="208"/>
      <c r="PWM309" s="207"/>
      <c r="PWN309" s="204"/>
      <c r="PWO309" s="35"/>
      <c r="PWP309" s="203"/>
      <c r="PWQ309" s="203"/>
      <c r="PWR309" s="36"/>
      <c r="PWS309" s="36"/>
      <c r="PWT309" s="203"/>
      <c r="PWU309" s="33"/>
      <c r="PWV309" s="33"/>
      <c r="PWW309" s="33"/>
      <c r="PWX309" s="33"/>
      <c r="PWY309" s="33"/>
      <c r="PWZ309" s="33"/>
      <c r="PXA309" s="37"/>
      <c r="PXB309" s="208"/>
      <c r="PXC309" s="207"/>
      <c r="PXD309" s="204"/>
      <c r="PXE309" s="35"/>
      <c r="PXF309" s="203"/>
      <c r="PXG309" s="203"/>
      <c r="PXH309" s="36"/>
      <c r="PXI309" s="36"/>
      <c r="PXJ309" s="203"/>
      <c r="PXK309" s="33"/>
      <c r="PXL309" s="33"/>
      <c r="PXM309" s="33"/>
      <c r="PXN309" s="33"/>
      <c r="PXO309" s="33"/>
      <c r="PXP309" s="33"/>
      <c r="PXQ309" s="37"/>
      <c r="PXR309" s="208"/>
      <c r="PXS309" s="207"/>
      <c r="PXT309" s="204"/>
      <c r="PXU309" s="35"/>
      <c r="PXV309" s="203"/>
      <c r="PXW309" s="203"/>
      <c r="PXX309" s="36"/>
      <c r="PXY309" s="36"/>
      <c r="PXZ309" s="203"/>
      <c r="PYA309" s="33"/>
      <c r="PYB309" s="33"/>
      <c r="PYC309" s="33"/>
      <c r="PYD309" s="33"/>
      <c r="PYE309" s="33"/>
      <c r="PYF309" s="33"/>
      <c r="PYG309" s="37"/>
      <c r="PYH309" s="208"/>
      <c r="PYI309" s="207"/>
      <c r="PYJ309" s="204"/>
      <c r="PYK309" s="35"/>
      <c r="PYL309" s="203"/>
      <c r="PYM309" s="203"/>
      <c r="PYN309" s="36"/>
      <c r="PYO309" s="36"/>
      <c r="PYP309" s="203"/>
      <c r="PYQ309" s="33"/>
      <c r="PYR309" s="33"/>
      <c r="PYS309" s="33"/>
      <c r="PYT309" s="33"/>
      <c r="PYU309" s="33"/>
      <c r="PYV309" s="33"/>
      <c r="PYW309" s="37"/>
      <c r="PYX309" s="208"/>
      <c r="PYY309" s="207"/>
      <c r="PYZ309" s="204"/>
      <c r="PZA309" s="35"/>
      <c r="PZB309" s="203"/>
      <c r="PZC309" s="203"/>
      <c r="PZD309" s="36"/>
      <c r="PZE309" s="36"/>
      <c r="PZF309" s="203"/>
      <c r="PZG309" s="33"/>
      <c r="PZH309" s="33"/>
      <c r="PZI309" s="33"/>
      <c r="PZJ309" s="33"/>
      <c r="PZK309" s="33"/>
      <c r="PZL309" s="33"/>
      <c r="PZM309" s="37"/>
      <c r="PZN309" s="208"/>
      <c r="PZO309" s="207"/>
      <c r="PZP309" s="204"/>
      <c r="PZQ309" s="35"/>
      <c r="PZR309" s="203"/>
      <c r="PZS309" s="203"/>
      <c r="PZT309" s="36"/>
      <c r="PZU309" s="36"/>
      <c r="PZV309" s="203"/>
      <c r="PZW309" s="33"/>
      <c r="PZX309" s="33"/>
      <c r="PZY309" s="33"/>
      <c r="PZZ309" s="33"/>
      <c r="QAA309" s="33"/>
      <c r="QAB309" s="33"/>
      <c r="QAC309" s="37"/>
      <c r="QAD309" s="208"/>
      <c r="QAE309" s="207"/>
      <c r="QAF309" s="204"/>
      <c r="QAG309" s="35"/>
      <c r="QAH309" s="203"/>
      <c r="QAI309" s="203"/>
      <c r="QAJ309" s="36"/>
      <c r="QAK309" s="36"/>
      <c r="QAL309" s="203"/>
      <c r="QAM309" s="33"/>
      <c r="QAN309" s="33"/>
      <c r="QAO309" s="33"/>
      <c r="QAP309" s="33"/>
      <c r="QAQ309" s="33"/>
      <c r="QAR309" s="33"/>
      <c r="QAS309" s="37"/>
      <c r="QAT309" s="208"/>
      <c r="QAU309" s="207"/>
      <c r="QAV309" s="204"/>
      <c r="QAW309" s="35"/>
      <c r="QAX309" s="203"/>
      <c r="QAY309" s="203"/>
      <c r="QAZ309" s="36"/>
      <c r="QBA309" s="36"/>
      <c r="QBB309" s="203"/>
      <c r="QBC309" s="33"/>
      <c r="QBD309" s="33"/>
      <c r="QBE309" s="33"/>
      <c r="QBF309" s="33"/>
      <c r="QBG309" s="33"/>
      <c r="QBH309" s="33"/>
      <c r="QBI309" s="37"/>
      <c r="QBJ309" s="208"/>
      <c r="QBK309" s="207"/>
      <c r="QBL309" s="204"/>
      <c r="QBM309" s="35"/>
      <c r="QBN309" s="203"/>
      <c r="QBO309" s="203"/>
      <c r="QBP309" s="36"/>
      <c r="QBQ309" s="36"/>
      <c r="QBR309" s="203"/>
      <c r="QBS309" s="33"/>
      <c r="QBT309" s="33"/>
      <c r="QBU309" s="33"/>
      <c r="QBV309" s="33"/>
      <c r="QBW309" s="33"/>
      <c r="QBX309" s="33"/>
      <c r="QBY309" s="37"/>
      <c r="QBZ309" s="208"/>
      <c r="QCA309" s="207"/>
      <c r="QCB309" s="204"/>
      <c r="QCC309" s="35"/>
      <c r="QCD309" s="203"/>
      <c r="QCE309" s="203"/>
      <c r="QCF309" s="36"/>
      <c r="QCG309" s="36"/>
      <c r="QCH309" s="203"/>
      <c r="QCI309" s="33"/>
      <c r="QCJ309" s="33"/>
      <c r="QCK309" s="33"/>
      <c r="QCL309" s="33"/>
      <c r="QCM309" s="33"/>
      <c r="QCN309" s="33"/>
      <c r="QCO309" s="37"/>
      <c r="QCP309" s="208"/>
      <c r="QCQ309" s="207"/>
      <c r="QCR309" s="204"/>
      <c r="QCS309" s="35"/>
      <c r="QCT309" s="203"/>
      <c r="QCU309" s="203"/>
      <c r="QCV309" s="36"/>
      <c r="QCW309" s="36"/>
      <c r="QCX309" s="203"/>
      <c r="QCY309" s="33"/>
      <c r="QCZ309" s="33"/>
      <c r="QDA309" s="33"/>
      <c r="QDB309" s="33"/>
      <c r="QDC309" s="33"/>
      <c r="QDD309" s="33"/>
      <c r="QDE309" s="37"/>
      <c r="QDF309" s="208"/>
      <c r="QDG309" s="207"/>
      <c r="QDH309" s="204"/>
      <c r="QDI309" s="35"/>
      <c r="QDJ309" s="203"/>
      <c r="QDK309" s="203"/>
      <c r="QDL309" s="36"/>
      <c r="QDM309" s="36"/>
      <c r="QDN309" s="203"/>
      <c r="QDO309" s="33"/>
      <c r="QDP309" s="33"/>
      <c r="QDQ309" s="33"/>
      <c r="QDR309" s="33"/>
      <c r="QDS309" s="33"/>
      <c r="QDT309" s="33"/>
      <c r="QDU309" s="37"/>
      <c r="QDV309" s="208"/>
      <c r="QDW309" s="207"/>
      <c r="QDX309" s="204"/>
      <c r="QDY309" s="35"/>
      <c r="QDZ309" s="203"/>
      <c r="QEA309" s="203"/>
      <c r="QEB309" s="36"/>
      <c r="QEC309" s="36"/>
      <c r="QED309" s="203"/>
      <c r="QEE309" s="33"/>
      <c r="QEF309" s="33"/>
      <c r="QEG309" s="33"/>
      <c r="QEH309" s="33"/>
      <c r="QEI309" s="33"/>
      <c r="QEJ309" s="33"/>
      <c r="QEK309" s="37"/>
      <c r="QEL309" s="208"/>
      <c r="QEM309" s="207"/>
      <c r="QEN309" s="204"/>
      <c r="QEO309" s="35"/>
      <c r="QEP309" s="203"/>
      <c r="QEQ309" s="203"/>
      <c r="QER309" s="36"/>
      <c r="QES309" s="36"/>
      <c r="QET309" s="203"/>
      <c r="QEU309" s="33"/>
      <c r="QEV309" s="33"/>
      <c r="QEW309" s="33"/>
      <c r="QEX309" s="33"/>
      <c r="QEY309" s="33"/>
      <c r="QEZ309" s="33"/>
      <c r="QFA309" s="37"/>
      <c r="QFB309" s="208"/>
      <c r="QFC309" s="207"/>
      <c r="QFD309" s="204"/>
      <c r="QFE309" s="35"/>
      <c r="QFF309" s="203"/>
      <c r="QFG309" s="203"/>
      <c r="QFH309" s="36"/>
      <c r="QFI309" s="36"/>
      <c r="QFJ309" s="203"/>
      <c r="QFK309" s="33"/>
      <c r="QFL309" s="33"/>
      <c r="QFM309" s="33"/>
      <c r="QFN309" s="33"/>
      <c r="QFO309" s="33"/>
      <c r="QFP309" s="33"/>
      <c r="QFQ309" s="37"/>
      <c r="QFR309" s="208"/>
      <c r="QFS309" s="207"/>
      <c r="QFT309" s="204"/>
      <c r="QFU309" s="35"/>
      <c r="QFV309" s="203"/>
      <c r="QFW309" s="203"/>
      <c r="QFX309" s="36"/>
      <c r="QFY309" s="36"/>
      <c r="QFZ309" s="203"/>
      <c r="QGA309" s="33"/>
      <c r="QGB309" s="33"/>
      <c r="QGC309" s="33"/>
      <c r="QGD309" s="33"/>
      <c r="QGE309" s="33"/>
      <c r="QGF309" s="33"/>
      <c r="QGG309" s="37"/>
      <c r="QGH309" s="208"/>
      <c r="QGI309" s="207"/>
      <c r="QGJ309" s="204"/>
      <c r="QGK309" s="35"/>
      <c r="QGL309" s="203"/>
      <c r="QGM309" s="203"/>
      <c r="QGN309" s="36"/>
      <c r="QGO309" s="36"/>
      <c r="QGP309" s="203"/>
      <c r="QGQ309" s="33"/>
      <c r="QGR309" s="33"/>
      <c r="QGS309" s="33"/>
      <c r="QGT309" s="33"/>
      <c r="QGU309" s="33"/>
      <c r="QGV309" s="33"/>
      <c r="QGW309" s="37"/>
      <c r="QGX309" s="208"/>
      <c r="QGY309" s="207"/>
      <c r="QGZ309" s="204"/>
      <c r="QHA309" s="35"/>
      <c r="QHB309" s="203"/>
      <c r="QHC309" s="203"/>
      <c r="QHD309" s="36"/>
      <c r="QHE309" s="36"/>
      <c r="QHF309" s="203"/>
      <c r="QHG309" s="33"/>
      <c r="QHH309" s="33"/>
      <c r="QHI309" s="33"/>
      <c r="QHJ309" s="33"/>
      <c r="QHK309" s="33"/>
      <c r="QHL309" s="33"/>
      <c r="QHM309" s="37"/>
      <c r="QHN309" s="208"/>
      <c r="QHO309" s="207"/>
      <c r="QHP309" s="204"/>
      <c r="QHQ309" s="35"/>
      <c r="QHR309" s="203"/>
      <c r="QHS309" s="203"/>
      <c r="QHT309" s="36"/>
      <c r="QHU309" s="36"/>
      <c r="QHV309" s="203"/>
      <c r="QHW309" s="33"/>
      <c r="QHX309" s="33"/>
      <c r="QHY309" s="33"/>
      <c r="QHZ309" s="33"/>
      <c r="QIA309" s="33"/>
      <c r="QIB309" s="33"/>
      <c r="QIC309" s="37"/>
      <c r="QID309" s="208"/>
      <c r="QIE309" s="207"/>
      <c r="QIF309" s="204"/>
      <c r="QIG309" s="35"/>
      <c r="QIH309" s="203"/>
      <c r="QII309" s="203"/>
      <c r="QIJ309" s="36"/>
      <c r="QIK309" s="36"/>
      <c r="QIL309" s="203"/>
      <c r="QIM309" s="33"/>
      <c r="QIN309" s="33"/>
      <c r="QIO309" s="33"/>
      <c r="QIP309" s="33"/>
      <c r="QIQ309" s="33"/>
      <c r="QIR309" s="33"/>
      <c r="QIS309" s="37"/>
      <c r="QIT309" s="208"/>
      <c r="QIU309" s="207"/>
      <c r="QIV309" s="204"/>
      <c r="QIW309" s="35"/>
      <c r="QIX309" s="203"/>
      <c r="QIY309" s="203"/>
      <c r="QIZ309" s="36"/>
      <c r="QJA309" s="36"/>
      <c r="QJB309" s="203"/>
      <c r="QJC309" s="33"/>
      <c r="QJD309" s="33"/>
      <c r="QJE309" s="33"/>
      <c r="QJF309" s="33"/>
      <c r="QJG309" s="33"/>
      <c r="QJH309" s="33"/>
      <c r="QJI309" s="37"/>
      <c r="QJJ309" s="208"/>
      <c r="QJK309" s="207"/>
      <c r="QJL309" s="204"/>
      <c r="QJM309" s="35"/>
      <c r="QJN309" s="203"/>
      <c r="QJO309" s="203"/>
      <c r="QJP309" s="36"/>
      <c r="QJQ309" s="36"/>
      <c r="QJR309" s="203"/>
      <c r="QJS309" s="33"/>
      <c r="QJT309" s="33"/>
      <c r="QJU309" s="33"/>
      <c r="QJV309" s="33"/>
      <c r="QJW309" s="33"/>
      <c r="QJX309" s="33"/>
      <c r="QJY309" s="37"/>
      <c r="QJZ309" s="208"/>
      <c r="QKA309" s="207"/>
      <c r="QKB309" s="204"/>
      <c r="QKC309" s="35"/>
      <c r="QKD309" s="203"/>
      <c r="QKE309" s="203"/>
      <c r="QKF309" s="36"/>
      <c r="QKG309" s="36"/>
      <c r="QKH309" s="203"/>
      <c r="QKI309" s="33"/>
      <c r="QKJ309" s="33"/>
      <c r="QKK309" s="33"/>
      <c r="QKL309" s="33"/>
      <c r="QKM309" s="33"/>
      <c r="QKN309" s="33"/>
      <c r="QKO309" s="37"/>
      <c r="QKP309" s="208"/>
      <c r="QKQ309" s="207"/>
      <c r="QKR309" s="204"/>
      <c r="QKS309" s="35"/>
      <c r="QKT309" s="203"/>
      <c r="QKU309" s="203"/>
      <c r="QKV309" s="36"/>
      <c r="QKW309" s="36"/>
      <c r="QKX309" s="203"/>
      <c r="QKY309" s="33"/>
      <c r="QKZ309" s="33"/>
      <c r="QLA309" s="33"/>
      <c r="QLB309" s="33"/>
      <c r="QLC309" s="33"/>
      <c r="QLD309" s="33"/>
      <c r="QLE309" s="37"/>
      <c r="QLF309" s="208"/>
      <c r="QLG309" s="207"/>
      <c r="QLH309" s="204"/>
      <c r="QLI309" s="35"/>
      <c r="QLJ309" s="203"/>
      <c r="QLK309" s="203"/>
      <c r="QLL309" s="36"/>
      <c r="QLM309" s="36"/>
      <c r="QLN309" s="203"/>
      <c r="QLO309" s="33"/>
      <c r="QLP309" s="33"/>
      <c r="QLQ309" s="33"/>
      <c r="QLR309" s="33"/>
      <c r="QLS309" s="33"/>
      <c r="QLT309" s="33"/>
      <c r="QLU309" s="37"/>
      <c r="QLV309" s="208"/>
      <c r="QLW309" s="207"/>
      <c r="QLX309" s="204"/>
      <c r="QLY309" s="35"/>
      <c r="QLZ309" s="203"/>
      <c r="QMA309" s="203"/>
      <c r="QMB309" s="36"/>
      <c r="QMC309" s="36"/>
      <c r="QMD309" s="203"/>
      <c r="QME309" s="33"/>
      <c r="QMF309" s="33"/>
      <c r="QMG309" s="33"/>
      <c r="QMH309" s="33"/>
      <c r="QMI309" s="33"/>
      <c r="QMJ309" s="33"/>
      <c r="QMK309" s="37"/>
      <c r="QML309" s="208"/>
      <c r="QMM309" s="207"/>
      <c r="QMN309" s="204"/>
      <c r="QMO309" s="35"/>
      <c r="QMP309" s="203"/>
      <c r="QMQ309" s="203"/>
      <c r="QMR309" s="36"/>
      <c r="QMS309" s="36"/>
      <c r="QMT309" s="203"/>
      <c r="QMU309" s="33"/>
      <c r="QMV309" s="33"/>
      <c r="QMW309" s="33"/>
      <c r="QMX309" s="33"/>
      <c r="QMY309" s="33"/>
      <c r="QMZ309" s="33"/>
      <c r="QNA309" s="37"/>
      <c r="QNB309" s="208"/>
      <c r="QNC309" s="207"/>
      <c r="QND309" s="204"/>
      <c r="QNE309" s="35"/>
      <c r="QNF309" s="203"/>
      <c r="QNG309" s="203"/>
      <c r="QNH309" s="36"/>
      <c r="QNI309" s="36"/>
      <c r="QNJ309" s="203"/>
      <c r="QNK309" s="33"/>
      <c r="QNL309" s="33"/>
      <c r="QNM309" s="33"/>
      <c r="QNN309" s="33"/>
      <c r="QNO309" s="33"/>
      <c r="QNP309" s="33"/>
      <c r="QNQ309" s="37"/>
      <c r="QNR309" s="208"/>
      <c r="QNS309" s="207"/>
      <c r="QNT309" s="204"/>
      <c r="QNU309" s="35"/>
      <c r="QNV309" s="203"/>
      <c r="QNW309" s="203"/>
      <c r="QNX309" s="36"/>
      <c r="QNY309" s="36"/>
      <c r="QNZ309" s="203"/>
      <c r="QOA309" s="33"/>
      <c r="QOB309" s="33"/>
      <c r="QOC309" s="33"/>
      <c r="QOD309" s="33"/>
      <c r="QOE309" s="33"/>
      <c r="QOF309" s="33"/>
      <c r="QOG309" s="37"/>
      <c r="QOH309" s="208"/>
      <c r="QOI309" s="207"/>
      <c r="QOJ309" s="204"/>
      <c r="QOK309" s="35"/>
      <c r="QOL309" s="203"/>
      <c r="QOM309" s="203"/>
      <c r="QON309" s="36"/>
      <c r="QOO309" s="36"/>
      <c r="QOP309" s="203"/>
      <c r="QOQ309" s="33"/>
      <c r="QOR309" s="33"/>
      <c r="QOS309" s="33"/>
      <c r="QOT309" s="33"/>
      <c r="QOU309" s="33"/>
      <c r="QOV309" s="33"/>
      <c r="QOW309" s="37"/>
      <c r="QOX309" s="208"/>
      <c r="QOY309" s="207"/>
      <c r="QOZ309" s="204"/>
      <c r="QPA309" s="35"/>
      <c r="QPB309" s="203"/>
      <c r="QPC309" s="203"/>
      <c r="QPD309" s="36"/>
      <c r="QPE309" s="36"/>
      <c r="QPF309" s="203"/>
      <c r="QPG309" s="33"/>
      <c r="QPH309" s="33"/>
      <c r="QPI309" s="33"/>
      <c r="QPJ309" s="33"/>
      <c r="QPK309" s="33"/>
      <c r="QPL309" s="33"/>
      <c r="QPM309" s="37"/>
      <c r="QPN309" s="208"/>
      <c r="QPO309" s="207"/>
      <c r="QPP309" s="204"/>
      <c r="QPQ309" s="35"/>
      <c r="QPR309" s="203"/>
      <c r="QPS309" s="203"/>
      <c r="QPT309" s="36"/>
      <c r="QPU309" s="36"/>
      <c r="QPV309" s="203"/>
      <c r="QPW309" s="33"/>
      <c r="QPX309" s="33"/>
      <c r="QPY309" s="33"/>
      <c r="QPZ309" s="33"/>
      <c r="QQA309" s="33"/>
      <c r="QQB309" s="33"/>
      <c r="QQC309" s="37"/>
      <c r="QQD309" s="208"/>
      <c r="QQE309" s="207"/>
      <c r="QQF309" s="204"/>
      <c r="QQG309" s="35"/>
      <c r="QQH309" s="203"/>
      <c r="QQI309" s="203"/>
      <c r="QQJ309" s="36"/>
      <c r="QQK309" s="36"/>
      <c r="QQL309" s="203"/>
      <c r="QQM309" s="33"/>
      <c r="QQN309" s="33"/>
      <c r="QQO309" s="33"/>
      <c r="QQP309" s="33"/>
      <c r="QQQ309" s="33"/>
      <c r="QQR309" s="33"/>
      <c r="QQS309" s="37"/>
      <c r="QQT309" s="208"/>
      <c r="QQU309" s="207"/>
      <c r="QQV309" s="204"/>
      <c r="QQW309" s="35"/>
      <c r="QQX309" s="203"/>
      <c r="QQY309" s="203"/>
      <c r="QQZ309" s="36"/>
      <c r="QRA309" s="36"/>
      <c r="QRB309" s="203"/>
      <c r="QRC309" s="33"/>
      <c r="QRD309" s="33"/>
      <c r="QRE309" s="33"/>
      <c r="QRF309" s="33"/>
      <c r="QRG309" s="33"/>
      <c r="QRH309" s="33"/>
      <c r="QRI309" s="37"/>
      <c r="QRJ309" s="208"/>
      <c r="QRK309" s="207"/>
      <c r="QRL309" s="204"/>
      <c r="QRM309" s="35"/>
      <c r="QRN309" s="203"/>
      <c r="QRO309" s="203"/>
      <c r="QRP309" s="36"/>
      <c r="QRQ309" s="36"/>
      <c r="QRR309" s="203"/>
      <c r="QRS309" s="33"/>
      <c r="QRT309" s="33"/>
      <c r="QRU309" s="33"/>
      <c r="QRV309" s="33"/>
      <c r="QRW309" s="33"/>
      <c r="QRX309" s="33"/>
      <c r="QRY309" s="37"/>
      <c r="QRZ309" s="208"/>
      <c r="QSA309" s="207"/>
      <c r="QSB309" s="204"/>
      <c r="QSC309" s="35"/>
      <c r="QSD309" s="203"/>
      <c r="QSE309" s="203"/>
      <c r="QSF309" s="36"/>
      <c r="QSG309" s="36"/>
      <c r="QSH309" s="203"/>
      <c r="QSI309" s="33"/>
      <c r="QSJ309" s="33"/>
      <c r="QSK309" s="33"/>
      <c r="QSL309" s="33"/>
      <c r="QSM309" s="33"/>
      <c r="QSN309" s="33"/>
      <c r="QSO309" s="37"/>
      <c r="QSP309" s="208"/>
      <c r="QSQ309" s="207"/>
      <c r="QSR309" s="204"/>
      <c r="QSS309" s="35"/>
      <c r="QST309" s="203"/>
      <c r="QSU309" s="203"/>
      <c r="QSV309" s="36"/>
      <c r="QSW309" s="36"/>
      <c r="QSX309" s="203"/>
      <c r="QSY309" s="33"/>
      <c r="QSZ309" s="33"/>
      <c r="QTA309" s="33"/>
      <c r="QTB309" s="33"/>
      <c r="QTC309" s="33"/>
      <c r="QTD309" s="33"/>
      <c r="QTE309" s="37"/>
      <c r="QTF309" s="208"/>
      <c r="QTG309" s="207"/>
      <c r="QTH309" s="204"/>
      <c r="QTI309" s="35"/>
      <c r="QTJ309" s="203"/>
      <c r="QTK309" s="203"/>
      <c r="QTL309" s="36"/>
      <c r="QTM309" s="36"/>
      <c r="QTN309" s="203"/>
      <c r="QTO309" s="33"/>
      <c r="QTP309" s="33"/>
      <c r="QTQ309" s="33"/>
      <c r="QTR309" s="33"/>
      <c r="QTS309" s="33"/>
      <c r="QTT309" s="33"/>
      <c r="QTU309" s="37"/>
      <c r="QTV309" s="208"/>
      <c r="QTW309" s="207"/>
      <c r="QTX309" s="204"/>
      <c r="QTY309" s="35"/>
      <c r="QTZ309" s="203"/>
      <c r="QUA309" s="203"/>
      <c r="QUB309" s="36"/>
      <c r="QUC309" s="36"/>
      <c r="QUD309" s="203"/>
      <c r="QUE309" s="33"/>
      <c r="QUF309" s="33"/>
      <c r="QUG309" s="33"/>
      <c r="QUH309" s="33"/>
      <c r="QUI309" s="33"/>
      <c r="QUJ309" s="33"/>
      <c r="QUK309" s="37"/>
      <c r="QUL309" s="208"/>
      <c r="QUM309" s="207"/>
      <c r="QUN309" s="204"/>
      <c r="QUO309" s="35"/>
      <c r="QUP309" s="203"/>
      <c r="QUQ309" s="203"/>
      <c r="QUR309" s="36"/>
      <c r="QUS309" s="36"/>
      <c r="QUT309" s="203"/>
      <c r="QUU309" s="33"/>
      <c r="QUV309" s="33"/>
      <c r="QUW309" s="33"/>
      <c r="QUX309" s="33"/>
      <c r="QUY309" s="33"/>
      <c r="QUZ309" s="33"/>
      <c r="QVA309" s="37"/>
      <c r="QVB309" s="208"/>
      <c r="QVC309" s="207"/>
      <c r="QVD309" s="204"/>
      <c r="QVE309" s="35"/>
      <c r="QVF309" s="203"/>
      <c r="QVG309" s="203"/>
      <c r="QVH309" s="36"/>
      <c r="QVI309" s="36"/>
      <c r="QVJ309" s="203"/>
      <c r="QVK309" s="33"/>
      <c r="QVL309" s="33"/>
      <c r="QVM309" s="33"/>
      <c r="QVN309" s="33"/>
      <c r="QVO309" s="33"/>
      <c r="QVP309" s="33"/>
      <c r="QVQ309" s="37"/>
      <c r="QVR309" s="208"/>
      <c r="QVS309" s="207"/>
      <c r="QVT309" s="204"/>
      <c r="QVU309" s="35"/>
      <c r="QVV309" s="203"/>
      <c r="QVW309" s="203"/>
      <c r="QVX309" s="36"/>
      <c r="QVY309" s="36"/>
      <c r="QVZ309" s="203"/>
      <c r="QWA309" s="33"/>
      <c r="QWB309" s="33"/>
      <c r="QWC309" s="33"/>
      <c r="QWD309" s="33"/>
      <c r="QWE309" s="33"/>
      <c r="QWF309" s="33"/>
      <c r="QWG309" s="37"/>
      <c r="QWH309" s="208"/>
      <c r="QWI309" s="207"/>
      <c r="QWJ309" s="204"/>
      <c r="QWK309" s="35"/>
      <c r="QWL309" s="203"/>
      <c r="QWM309" s="203"/>
      <c r="QWN309" s="36"/>
      <c r="QWO309" s="36"/>
      <c r="QWP309" s="203"/>
      <c r="QWQ309" s="33"/>
      <c r="QWR309" s="33"/>
      <c r="QWS309" s="33"/>
      <c r="QWT309" s="33"/>
      <c r="QWU309" s="33"/>
      <c r="QWV309" s="33"/>
      <c r="QWW309" s="37"/>
      <c r="QWX309" s="208"/>
      <c r="QWY309" s="207"/>
      <c r="QWZ309" s="204"/>
      <c r="QXA309" s="35"/>
      <c r="QXB309" s="203"/>
      <c r="QXC309" s="203"/>
      <c r="QXD309" s="36"/>
      <c r="QXE309" s="36"/>
      <c r="QXF309" s="203"/>
      <c r="QXG309" s="33"/>
      <c r="QXH309" s="33"/>
      <c r="QXI309" s="33"/>
      <c r="QXJ309" s="33"/>
      <c r="QXK309" s="33"/>
      <c r="QXL309" s="33"/>
      <c r="QXM309" s="37"/>
      <c r="QXN309" s="208"/>
      <c r="QXO309" s="207"/>
      <c r="QXP309" s="204"/>
      <c r="QXQ309" s="35"/>
      <c r="QXR309" s="203"/>
      <c r="QXS309" s="203"/>
      <c r="QXT309" s="36"/>
      <c r="QXU309" s="36"/>
      <c r="QXV309" s="203"/>
      <c r="QXW309" s="33"/>
      <c r="QXX309" s="33"/>
      <c r="QXY309" s="33"/>
      <c r="QXZ309" s="33"/>
      <c r="QYA309" s="33"/>
      <c r="QYB309" s="33"/>
      <c r="QYC309" s="37"/>
      <c r="QYD309" s="208"/>
      <c r="QYE309" s="207"/>
      <c r="QYF309" s="204"/>
      <c r="QYG309" s="35"/>
      <c r="QYH309" s="203"/>
      <c r="QYI309" s="203"/>
      <c r="QYJ309" s="36"/>
      <c r="QYK309" s="36"/>
      <c r="QYL309" s="203"/>
      <c r="QYM309" s="33"/>
      <c r="QYN309" s="33"/>
      <c r="QYO309" s="33"/>
      <c r="QYP309" s="33"/>
      <c r="QYQ309" s="33"/>
      <c r="QYR309" s="33"/>
      <c r="QYS309" s="37"/>
      <c r="QYT309" s="208"/>
      <c r="QYU309" s="207"/>
      <c r="QYV309" s="204"/>
      <c r="QYW309" s="35"/>
      <c r="QYX309" s="203"/>
      <c r="QYY309" s="203"/>
      <c r="QYZ309" s="36"/>
      <c r="QZA309" s="36"/>
      <c r="QZB309" s="203"/>
      <c r="QZC309" s="33"/>
      <c r="QZD309" s="33"/>
      <c r="QZE309" s="33"/>
      <c r="QZF309" s="33"/>
      <c r="QZG309" s="33"/>
      <c r="QZH309" s="33"/>
      <c r="QZI309" s="37"/>
      <c r="QZJ309" s="208"/>
      <c r="QZK309" s="207"/>
      <c r="QZL309" s="204"/>
      <c r="QZM309" s="35"/>
      <c r="QZN309" s="203"/>
      <c r="QZO309" s="203"/>
      <c r="QZP309" s="36"/>
      <c r="QZQ309" s="36"/>
      <c r="QZR309" s="203"/>
      <c r="QZS309" s="33"/>
      <c r="QZT309" s="33"/>
      <c r="QZU309" s="33"/>
      <c r="QZV309" s="33"/>
      <c r="QZW309" s="33"/>
      <c r="QZX309" s="33"/>
      <c r="QZY309" s="37"/>
      <c r="QZZ309" s="208"/>
      <c r="RAA309" s="207"/>
      <c r="RAB309" s="204"/>
      <c r="RAC309" s="35"/>
      <c r="RAD309" s="203"/>
      <c r="RAE309" s="203"/>
      <c r="RAF309" s="36"/>
      <c r="RAG309" s="36"/>
      <c r="RAH309" s="203"/>
      <c r="RAI309" s="33"/>
      <c r="RAJ309" s="33"/>
      <c r="RAK309" s="33"/>
      <c r="RAL309" s="33"/>
      <c r="RAM309" s="33"/>
      <c r="RAN309" s="33"/>
      <c r="RAO309" s="37"/>
      <c r="RAP309" s="208"/>
      <c r="RAQ309" s="207"/>
      <c r="RAR309" s="204"/>
      <c r="RAS309" s="35"/>
      <c r="RAT309" s="203"/>
      <c r="RAU309" s="203"/>
      <c r="RAV309" s="36"/>
      <c r="RAW309" s="36"/>
      <c r="RAX309" s="203"/>
      <c r="RAY309" s="33"/>
      <c r="RAZ309" s="33"/>
      <c r="RBA309" s="33"/>
      <c r="RBB309" s="33"/>
      <c r="RBC309" s="33"/>
      <c r="RBD309" s="33"/>
      <c r="RBE309" s="37"/>
      <c r="RBF309" s="208"/>
      <c r="RBG309" s="207"/>
      <c r="RBH309" s="204"/>
      <c r="RBI309" s="35"/>
      <c r="RBJ309" s="203"/>
      <c r="RBK309" s="203"/>
      <c r="RBL309" s="36"/>
      <c r="RBM309" s="36"/>
      <c r="RBN309" s="203"/>
      <c r="RBO309" s="33"/>
      <c r="RBP309" s="33"/>
      <c r="RBQ309" s="33"/>
      <c r="RBR309" s="33"/>
      <c r="RBS309" s="33"/>
      <c r="RBT309" s="33"/>
      <c r="RBU309" s="37"/>
      <c r="RBV309" s="208"/>
      <c r="RBW309" s="207"/>
      <c r="RBX309" s="204"/>
      <c r="RBY309" s="35"/>
      <c r="RBZ309" s="203"/>
      <c r="RCA309" s="203"/>
      <c r="RCB309" s="36"/>
      <c r="RCC309" s="36"/>
      <c r="RCD309" s="203"/>
      <c r="RCE309" s="33"/>
      <c r="RCF309" s="33"/>
      <c r="RCG309" s="33"/>
      <c r="RCH309" s="33"/>
      <c r="RCI309" s="33"/>
      <c r="RCJ309" s="33"/>
      <c r="RCK309" s="37"/>
      <c r="RCL309" s="208"/>
      <c r="RCM309" s="207"/>
      <c r="RCN309" s="204"/>
      <c r="RCO309" s="35"/>
      <c r="RCP309" s="203"/>
      <c r="RCQ309" s="203"/>
      <c r="RCR309" s="36"/>
      <c r="RCS309" s="36"/>
      <c r="RCT309" s="203"/>
      <c r="RCU309" s="33"/>
      <c r="RCV309" s="33"/>
      <c r="RCW309" s="33"/>
      <c r="RCX309" s="33"/>
      <c r="RCY309" s="33"/>
      <c r="RCZ309" s="33"/>
      <c r="RDA309" s="37"/>
      <c r="RDB309" s="208"/>
      <c r="RDC309" s="207"/>
      <c r="RDD309" s="204"/>
      <c r="RDE309" s="35"/>
      <c r="RDF309" s="203"/>
      <c r="RDG309" s="203"/>
      <c r="RDH309" s="36"/>
      <c r="RDI309" s="36"/>
      <c r="RDJ309" s="203"/>
      <c r="RDK309" s="33"/>
      <c r="RDL309" s="33"/>
      <c r="RDM309" s="33"/>
      <c r="RDN309" s="33"/>
      <c r="RDO309" s="33"/>
      <c r="RDP309" s="33"/>
      <c r="RDQ309" s="37"/>
      <c r="RDR309" s="208"/>
      <c r="RDS309" s="207"/>
      <c r="RDT309" s="204"/>
      <c r="RDU309" s="35"/>
      <c r="RDV309" s="203"/>
      <c r="RDW309" s="203"/>
      <c r="RDX309" s="36"/>
      <c r="RDY309" s="36"/>
      <c r="RDZ309" s="203"/>
      <c r="REA309" s="33"/>
      <c r="REB309" s="33"/>
      <c r="REC309" s="33"/>
      <c r="RED309" s="33"/>
      <c r="REE309" s="33"/>
      <c r="REF309" s="33"/>
      <c r="REG309" s="37"/>
      <c r="REH309" s="208"/>
      <c r="REI309" s="207"/>
      <c r="REJ309" s="204"/>
      <c r="REK309" s="35"/>
      <c r="REL309" s="203"/>
      <c r="REM309" s="203"/>
      <c r="REN309" s="36"/>
      <c r="REO309" s="36"/>
      <c r="REP309" s="203"/>
      <c r="REQ309" s="33"/>
      <c r="RER309" s="33"/>
      <c r="RES309" s="33"/>
      <c r="RET309" s="33"/>
      <c r="REU309" s="33"/>
      <c r="REV309" s="33"/>
      <c r="REW309" s="37"/>
      <c r="REX309" s="208"/>
      <c r="REY309" s="207"/>
      <c r="REZ309" s="204"/>
      <c r="RFA309" s="35"/>
      <c r="RFB309" s="203"/>
      <c r="RFC309" s="203"/>
      <c r="RFD309" s="36"/>
      <c r="RFE309" s="36"/>
      <c r="RFF309" s="203"/>
      <c r="RFG309" s="33"/>
      <c r="RFH309" s="33"/>
      <c r="RFI309" s="33"/>
      <c r="RFJ309" s="33"/>
      <c r="RFK309" s="33"/>
      <c r="RFL309" s="33"/>
      <c r="RFM309" s="37"/>
      <c r="RFN309" s="208"/>
      <c r="RFO309" s="207"/>
      <c r="RFP309" s="204"/>
      <c r="RFQ309" s="35"/>
      <c r="RFR309" s="203"/>
      <c r="RFS309" s="203"/>
      <c r="RFT309" s="36"/>
      <c r="RFU309" s="36"/>
      <c r="RFV309" s="203"/>
      <c r="RFW309" s="33"/>
      <c r="RFX309" s="33"/>
      <c r="RFY309" s="33"/>
      <c r="RFZ309" s="33"/>
      <c r="RGA309" s="33"/>
      <c r="RGB309" s="33"/>
      <c r="RGC309" s="37"/>
      <c r="RGD309" s="208"/>
      <c r="RGE309" s="207"/>
      <c r="RGF309" s="204"/>
      <c r="RGG309" s="35"/>
      <c r="RGH309" s="203"/>
      <c r="RGI309" s="203"/>
      <c r="RGJ309" s="36"/>
      <c r="RGK309" s="36"/>
      <c r="RGL309" s="203"/>
      <c r="RGM309" s="33"/>
      <c r="RGN309" s="33"/>
      <c r="RGO309" s="33"/>
      <c r="RGP309" s="33"/>
      <c r="RGQ309" s="33"/>
      <c r="RGR309" s="33"/>
      <c r="RGS309" s="37"/>
      <c r="RGT309" s="208"/>
      <c r="RGU309" s="207"/>
      <c r="RGV309" s="204"/>
      <c r="RGW309" s="35"/>
      <c r="RGX309" s="203"/>
      <c r="RGY309" s="203"/>
      <c r="RGZ309" s="36"/>
      <c r="RHA309" s="36"/>
      <c r="RHB309" s="203"/>
      <c r="RHC309" s="33"/>
      <c r="RHD309" s="33"/>
      <c r="RHE309" s="33"/>
      <c r="RHF309" s="33"/>
      <c r="RHG309" s="33"/>
      <c r="RHH309" s="33"/>
      <c r="RHI309" s="37"/>
      <c r="RHJ309" s="208"/>
      <c r="RHK309" s="207"/>
      <c r="RHL309" s="204"/>
      <c r="RHM309" s="35"/>
      <c r="RHN309" s="203"/>
      <c r="RHO309" s="203"/>
      <c r="RHP309" s="36"/>
      <c r="RHQ309" s="36"/>
      <c r="RHR309" s="203"/>
      <c r="RHS309" s="33"/>
      <c r="RHT309" s="33"/>
      <c r="RHU309" s="33"/>
      <c r="RHV309" s="33"/>
      <c r="RHW309" s="33"/>
      <c r="RHX309" s="33"/>
      <c r="RHY309" s="37"/>
      <c r="RHZ309" s="208"/>
      <c r="RIA309" s="207"/>
      <c r="RIB309" s="204"/>
      <c r="RIC309" s="35"/>
      <c r="RID309" s="203"/>
      <c r="RIE309" s="203"/>
      <c r="RIF309" s="36"/>
      <c r="RIG309" s="36"/>
      <c r="RIH309" s="203"/>
      <c r="RII309" s="33"/>
      <c r="RIJ309" s="33"/>
      <c r="RIK309" s="33"/>
      <c r="RIL309" s="33"/>
      <c r="RIM309" s="33"/>
      <c r="RIN309" s="33"/>
      <c r="RIO309" s="37"/>
      <c r="RIP309" s="208"/>
      <c r="RIQ309" s="207"/>
      <c r="RIR309" s="204"/>
      <c r="RIS309" s="35"/>
      <c r="RIT309" s="203"/>
      <c r="RIU309" s="203"/>
      <c r="RIV309" s="36"/>
      <c r="RIW309" s="36"/>
      <c r="RIX309" s="203"/>
      <c r="RIY309" s="33"/>
      <c r="RIZ309" s="33"/>
      <c r="RJA309" s="33"/>
      <c r="RJB309" s="33"/>
      <c r="RJC309" s="33"/>
      <c r="RJD309" s="33"/>
      <c r="RJE309" s="37"/>
      <c r="RJF309" s="208"/>
      <c r="RJG309" s="207"/>
      <c r="RJH309" s="204"/>
      <c r="RJI309" s="35"/>
      <c r="RJJ309" s="203"/>
      <c r="RJK309" s="203"/>
      <c r="RJL309" s="36"/>
      <c r="RJM309" s="36"/>
      <c r="RJN309" s="203"/>
      <c r="RJO309" s="33"/>
      <c r="RJP309" s="33"/>
      <c r="RJQ309" s="33"/>
      <c r="RJR309" s="33"/>
      <c r="RJS309" s="33"/>
      <c r="RJT309" s="33"/>
      <c r="RJU309" s="37"/>
      <c r="RJV309" s="208"/>
      <c r="RJW309" s="207"/>
      <c r="RJX309" s="204"/>
      <c r="RJY309" s="35"/>
      <c r="RJZ309" s="203"/>
      <c r="RKA309" s="203"/>
      <c r="RKB309" s="36"/>
      <c r="RKC309" s="36"/>
      <c r="RKD309" s="203"/>
      <c r="RKE309" s="33"/>
      <c r="RKF309" s="33"/>
      <c r="RKG309" s="33"/>
      <c r="RKH309" s="33"/>
      <c r="RKI309" s="33"/>
      <c r="RKJ309" s="33"/>
      <c r="RKK309" s="37"/>
      <c r="RKL309" s="208"/>
      <c r="RKM309" s="207"/>
      <c r="RKN309" s="204"/>
      <c r="RKO309" s="35"/>
      <c r="RKP309" s="203"/>
      <c r="RKQ309" s="203"/>
      <c r="RKR309" s="36"/>
      <c r="RKS309" s="36"/>
      <c r="RKT309" s="203"/>
      <c r="RKU309" s="33"/>
      <c r="RKV309" s="33"/>
      <c r="RKW309" s="33"/>
      <c r="RKX309" s="33"/>
      <c r="RKY309" s="33"/>
      <c r="RKZ309" s="33"/>
      <c r="RLA309" s="37"/>
      <c r="RLB309" s="208"/>
      <c r="RLC309" s="207"/>
      <c r="RLD309" s="204"/>
      <c r="RLE309" s="35"/>
      <c r="RLF309" s="203"/>
      <c r="RLG309" s="203"/>
      <c r="RLH309" s="36"/>
      <c r="RLI309" s="36"/>
      <c r="RLJ309" s="203"/>
      <c r="RLK309" s="33"/>
      <c r="RLL309" s="33"/>
      <c r="RLM309" s="33"/>
      <c r="RLN309" s="33"/>
      <c r="RLO309" s="33"/>
      <c r="RLP309" s="33"/>
      <c r="RLQ309" s="37"/>
      <c r="RLR309" s="208"/>
      <c r="RLS309" s="207"/>
      <c r="RLT309" s="204"/>
      <c r="RLU309" s="35"/>
      <c r="RLV309" s="203"/>
      <c r="RLW309" s="203"/>
      <c r="RLX309" s="36"/>
      <c r="RLY309" s="36"/>
      <c r="RLZ309" s="203"/>
      <c r="RMA309" s="33"/>
      <c r="RMB309" s="33"/>
      <c r="RMC309" s="33"/>
      <c r="RMD309" s="33"/>
      <c r="RME309" s="33"/>
      <c r="RMF309" s="33"/>
      <c r="RMG309" s="37"/>
      <c r="RMH309" s="208"/>
      <c r="RMI309" s="207"/>
      <c r="RMJ309" s="204"/>
      <c r="RMK309" s="35"/>
      <c r="RML309" s="203"/>
      <c r="RMM309" s="203"/>
      <c r="RMN309" s="36"/>
      <c r="RMO309" s="36"/>
      <c r="RMP309" s="203"/>
      <c r="RMQ309" s="33"/>
      <c r="RMR309" s="33"/>
      <c r="RMS309" s="33"/>
      <c r="RMT309" s="33"/>
      <c r="RMU309" s="33"/>
      <c r="RMV309" s="33"/>
      <c r="RMW309" s="37"/>
      <c r="RMX309" s="208"/>
      <c r="RMY309" s="207"/>
      <c r="RMZ309" s="204"/>
      <c r="RNA309" s="35"/>
      <c r="RNB309" s="203"/>
      <c r="RNC309" s="203"/>
      <c r="RND309" s="36"/>
      <c r="RNE309" s="36"/>
      <c r="RNF309" s="203"/>
      <c r="RNG309" s="33"/>
      <c r="RNH309" s="33"/>
      <c r="RNI309" s="33"/>
      <c r="RNJ309" s="33"/>
      <c r="RNK309" s="33"/>
      <c r="RNL309" s="33"/>
      <c r="RNM309" s="37"/>
      <c r="RNN309" s="208"/>
      <c r="RNO309" s="207"/>
      <c r="RNP309" s="204"/>
      <c r="RNQ309" s="35"/>
      <c r="RNR309" s="203"/>
      <c r="RNS309" s="203"/>
      <c r="RNT309" s="36"/>
      <c r="RNU309" s="36"/>
      <c r="RNV309" s="203"/>
      <c r="RNW309" s="33"/>
      <c r="RNX309" s="33"/>
      <c r="RNY309" s="33"/>
      <c r="RNZ309" s="33"/>
      <c r="ROA309" s="33"/>
      <c r="ROB309" s="33"/>
      <c r="ROC309" s="37"/>
      <c r="ROD309" s="208"/>
      <c r="ROE309" s="207"/>
      <c r="ROF309" s="204"/>
      <c r="ROG309" s="35"/>
      <c r="ROH309" s="203"/>
      <c r="ROI309" s="203"/>
      <c r="ROJ309" s="36"/>
      <c r="ROK309" s="36"/>
      <c r="ROL309" s="203"/>
      <c r="ROM309" s="33"/>
      <c r="RON309" s="33"/>
      <c r="ROO309" s="33"/>
      <c r="ROP309" s="33"/>
      <c r="ROQ309" s="33"/>
      <c r="ROR309" s="33"/>
      <c r="ROS309" s="37"/>
      <c r="ROT309" s="208"/>
      <c r="ROU309" s="207"/>
      <c r="ROV309" s="204"/>
      <c r="ROW309" s="35"/>
      <c r="ROX309" s="203"/>
      <c r="ROY309" s="203"/>
      <c r="ROZ309" s="36"/>
      <c r="RPA309" s="36"/>
      <c r="RPB309" s="203"/>
      <c r="RPC309" s="33"/>
      <c r="RPD309" s="33"/>
      <c r="RPE309" s="33"/>
      <c r="RPF309" s="33"/>
      <c r="RPG309" s="33"/>
      <c r="RPH309" s="33"/>
      <c r="RPI309" s="37"/>
      <c r="RPJ309" s="208"/>
      <c r="RPK309" s="207"/>
      <c r="RPL309" s="204"/>
      <c r="RPM309" s="35"/>
      <c r="RPN309" s="203"/>
      <c r="RPO309" s="203"/>
      <c r="RPP309" s="36"/>
      <c r="RPQ309" s="36"/>
      <c r="RPR309" s="203"/>
      <c r="RPS309" s="33"/>
      <c r="RPT309" s="33"/>
      <c r="RPU309" s="33"/>
      <c r="RPV309" s="33"/>
      <c r="RPW309" s="33"/>
      <c r="RPX309" s="33"/>
      <c r="RPY309" s="37"/>
      <c r="RPZ309" s="208"/>
      <c r="RQA309" s="207"/>
      <c r="RQB309" s="204"/>
      <c r="RQC309" s="35"/>
      <c r="RQD309" s="203"/>
      <c r="RQE309" s="203"/>
      <c r="RQF309" s="36"/>
      <c r="RQG309" s="36"/>
      <c r="RQH309" s="203"/>
      <c r="RQI309" s="33"/>
      <c r="RQJ309" s="33"/>
      <c r="RQK309" s="33"/>
      <c r="RQL309" s="33"/>
      <c r="RQM309" s="33"/>
      <c r="RQN309" s="33"/>
      <c r="RQO309" s="37"/>
      <c r="RQP309" s="208"/>
      <c r="RQQ309" s="207"/>
      <c r="RQR309" s="204"/>
      <c r="RQS309" s="35"/>
      <c r="RQT309" s="203"/>
      <c r="RQU309" s="203"/>
      <c r="RQV309" s="36"/>
      <c r="RQW309" s="36"/>
      <c r="RQX309" s="203"/>
      <c r="RQY309" s="33"/>
      <c r="RQZ309" s="33"/>
      <c r="RRA309" s="33"/>
      <c r="RRB309" s="33"/>
      <c r="RRC309" s="33"/>
      <c r="RRD309" s="33"/>
      <c r="RRE309" s="37"/>
      <c r="RRF309" s="208"/>
      <c r="RRG309" s="207"/>
      <c r="RRH309" s="204"/>
      <c r="RRI309" s="35"/>
      <c r="RRJ309" s="203"/>
      <c r="RRK309" s="203"/>
      <c r="RRL309" s="36"/>
      <c r="RRM309" s="36"/>
      <c r="RRN309" s="203"/>
      <c r="RRO309" s="33"/>
      <c r="RRP309" s="33"/>
      <c r="RRQ309" s="33"/>
      <c r="RRR309" s="33"/>
      <c r="RRS309" s="33"/>
      <c r="RRT309" s="33"/>
      <c r="RRU309" s="37"/>
      <c r="RRV309" s="208"/>
      <c r="RRW309" s="207"/>
      <c r="RRX309" s="204"/>
      <c r="RRY309" s="35"/>
      <c r="RRZ309" s="203"/>
      <c r="RSA309" s="203"/>
      <c r="RSB309" s="36"/>
      <c r="RSC309" s="36"/>
      <c r="RSD309" s="203"/>
      <c r="RSE309" s="33"/>
      <c r="RSF309" s="33"/>
      <c r="RSG309" s="33"/>
      <c r="RSH309" s="33"/>
      <c r="RSI309" s="33"/>
      <c r="RSJ309" s="33"/>
      <c r="RSK309" s="37"/>
      <c r="RSL309" s="208"/>
      <c r="RSM309" s="207"/>
      <c r="RSN309" s="204"/>
      <c r="RSO309" s="35"/>
      <c r="RSP309" s="203"/>
      <c r="RSQ309" s="203"/>
      <c r="RSR309" s="36"/>
      <c r="RSS309" s="36"/>
      <c r="RST309" s="203"/>
      <c r="RSU309" s="33"/>
      <c r="RSV309" s="33"/>
      <c r="RSW309" s="33"/>
      <c r="RSX309" s="33"/>
      <c r="RSY309" s="33"/>
      <c r="RSZ309" s="33"/>
      <c r="RTA309" s="37"/>
      <c r="RTB309" s="208"/>
      <c r="RTC309" s="207"/>
      <c r="RTD309" s="204"/>
      <c r="RTE309" s="35"/>
      <c r="RTF309" s="203"/>
      <c r="RTG309" s="203"/>
      <c r="RTH309" s="36"/>
      <c r="RTI309" s="36"/>
      <c r="RTJ309" s="203"/>
      <c r="RTK309" s="33"/>
      <c r="RTL309" s="33"/>
      <c r="RTM309" s="33"/>
      <c r="RTN309" s="33"/>
      <c r="RTO309" s="33"/>
      <c r="RTP309" s="33"/>
      <c r="RTQ309" s="37"/>
      <c r="RTR309" s="208"/>
      <c r="RTS309" s="207"/>
      <c r="RTT309" s="204"/>
      <c r="RTU309" s="35"/>
      <c r="RTV309" s="203"/>
      <c r="RTW309" s="203"/>
      <c r="RTX309" s="36"/>
      <c r="RTY309" s="36"/>
      <c r="RTZ309" s="203"/>
      <c r="RUA309" s="33"/>
      <c r="RUB309" s="33"/>
      <c r="RUC309" s="33"/>
      <c r="RUD309" s="33"/>
      <c r="RUE309" s="33"/>
      <c r="RUF309" s="33"/>
      <c r="RUG309" s="37"/>
      <c r="RUH309" s="208"/>
      <c r="RUI309" s="207"/>
      <c r="RUJ309" s="204"/>
      <c r="RUK309" s="35"/>
      <c r="RUL309" s="203"/>
      <c r="RUM309" s="203"/>
      <c r="RUN309" s="36"/>
      <c r="RUO309" s="36"/>
      <c r="RUP309" s="203"/>
      <c r="RUQ309" s="33"/>
      <c r="RUR309" s="33"/>
      <c r="RUS309" s="33"/>
      <c r="RUT309" s="33"/>
      <c r="RUU309" s="33"/>
      <c r="RUV309" s="33"/>
      <c r="RUW309" s="37"/>
      <c r="RUX309" s="208"/>
      <c r="RUY309" s="207"/>
      <c r="RUZ309" s="204"/>
      <c r="RVA309" s="35"/>
      <c r="RVB309" s="203"/>
      <c r="RVC309" s="203"/>
      <c r="RVD309" s="36"/>
      <c r="RVE309" s="36"/>
      <c r="RVF309" s="203"/>
      <c r="RVG309" s="33"/>
      <c r="RVH309" s="33"/>
      <c r="RVI309" s="33"/>
      <c r="RVJ309" s="33"/>
      <c r="RVK309" s="33"/>
      <c r="RVL309" s="33"/>
      <c r="RVM309" s="37"/>
      <c r="RVN309" s="208"/>
      <c r="RVO309" s="207"/>
      <c r="RVP309" s="204"/>
      <c r="RVQ309" s="35"/>
      <c r="RVR309" s="203"/>
      <c r="RVS309" s="203"/>
      <c r="RVT309" s="36"/>
      <c r="RVU309" s="36"/>
      <c r="RVV309" s="203"/>
      <c r="RVW309" s="33"/>
      <c r="RVX309" s="33"/>
      <c r="RVY309" s="33"/>
      <c r="RVZ309" s="33"/>
      <c r="RWA309" s="33"/>
      <c r="RWB309" s="33"/>
      <c r="RWC309" s="37"/>
      <c r="RWD309" s="208"/>
      <c r="RWE309" s="207"/>
      <c r="RWF309" s="204"/>
      <c r="RWG309" s="35"/>
      <c r="RWH309" s="203"/>
      <c r="RWI309" s="203"/>
      <c r="RWJ309" s="36"/>
      <c r="RWK309" s="36"/>
      <c r="RWL309" s="203"/>
      <c r="RWM309" s="33"/>
      <c r="RWN309" s="33"/>
      <c r="RWO309" s="33"/>
      <c r="RWP309" s="33"/>
      <c r="RWQ309" s="33"/>
      <c r="RWR309" s="33"/>
      <c r="RWS309" s="37"/>
      <c r="RWT309" s="208"/>
      <c r="RWU309" s="207"/>
      <c r="RWV309" s="204"/>
      <c r="RWW309" s="35"/>
      <c r="RWX309" s="203"/>
      <c r="RWY309" s="203"/>
      <c r="RWZ309" s="36"/>
      <c r="RXA309" s="36"/>
      <c r="RXB309" s="203"/>
      <c r="RXC309" s="33"/>
      <c r="RXD309" s="33"/>
      <c r="RXE309" s="33"/>
      <c r="RXF309" s="33"/>
      <c r="RXG309" s="33"/>
      <c r="RXH309" s="33"/>
      <c r="RXI309" s="37"/>
      <c r="RXJ309" s="208"/>
      <c r="RXK309" s="207"/>
      <c r="RXL309" s="204"/>
      <c r="RXM309" s="35"/>
      <c r="RXN309" s="203"/>
      <c r="RXO309" s="203"/>
      <c r="RXP309" s="36"/>
      <c r="RXQ309" s="36"/>
      <c r="RXR309" s="203"/>
      <c r="RXS309" s="33"/>
      <c r="RXT309" s="33"/>
      <c r="RXU309" s="33"/>
      <c r="RXV309" s="33"/>
      <c r="RXW309" s="33"/>
      <c r="RXX309" s="33"/>
      <c r="RXY309" s="37"/>
      <c r="RXZ309" s="208"/>
      <c r="RYA309" s="207"/>
      <c r="RYB309" s="204"/>
      <c r="RYC309" s="35"/>
      <c r="RYD309" s="203"/>
      <c r="RYE309" s="203"/>
      <c r="RYF309" s="36"/>
      <c r="RYG309" s="36"/>
      <c r="RYH309" s="203"/>
      <c r="RYI309" s="33"/>
      <c r="RYJ309" s="33"/>
      <c r="RYK309" s="33"/>
      <c r="RYL309" s="33"/>
      <c r="RYM309" s="33"/>
      <c r="RYN309" s="33"/>
      <c r="RYO309" s="37"/>
      <c r="RYP309" s="208"/>
      <c r="RYQ309" s="207"/>
      <c r="RYR309" s="204"/>
      <c r="RYS309" s="35"/>
      <c r="RYT309" s="203"/>
      <c r="RYU309" s="203"/>
      <c r="RYV309" s="36"/>
      <c r="RYW309" s="36"/>
      <c r="RYX309" s="203"/>
      <c r="RYY309" s="33"/>
      <c r="RYZ309" s="33"/>
      <c r="RZA309" s="33"/>
      <c r="RZB309" s="33"/>
      <c r="RZC309" s="33"/>
      <c r="RZD309" s="33"/>
      <c r="RZE309" s="37"/>
      <c r="RZF309" s="208"/>
      <c r="RZG309" s="207"/>
      <c r="RZH309" s="204"/>
      <c r="RZI309" s="35"/>
      <c r="RZJ309" s="203"/>
      <c r="RZK309" s="203"/>
      <c r="RZL309" s="36"/>
      <c r="RZM309" s="36"/>
      <c r="RZN309" s="203"/>
      <c r="RZO309" s="33"/>
      <c r="RZP309" s="33"/>
      <c r="RZQ309" s="33"/>
      <c r="RZR309" s="33"/>
      <c r="RZS309" s="33"/>
      <c r="RZT309" s="33"/>
      <c r="RZU309" s="37"/>
      <c r="RZV309" s="208"/>
      <c r="RZW309" s="207"/>
      <c r="RZX309" s="204"/>
      <c r="RZY309" s="35"/>
      <c r="RZZ309" s="203"/>
      <c r="SAA309" s="203"/>
      <c r="SAB309" s="36"/>
      <c r="SAC309" s="36"/>
      <c r="SAD309" s="203"/>
      <c r="SAE309" s="33"/>
      <c r="SAF309" s="33"/>
      <c r="SAG309" s="33"/>
      <c r="SAH309" s="33"/>
      <c r="SAI309" s="33"/>
      <c r="SAJ309" s="33"/>
      <c r="SAK309" s="37"/>
      <c r="SAL309" s="208"/>
      <c r="SAM309" s="207"/>
      <c r="SAN309" s="204"/>
      <c r="SAO309" s="35"/>
      <c r="SAP309" s="203"/>
      <c r="SAQ309" s="203"/>
      <c r="SAR309" s="36"/>
      <c r="SAS309" s="36"/>
      <c r="SAT309" s="203"/>
      <c r="SAU309" s="33"/>
      <c r="SAV309" s="33"/>
      <c r="SAW309" s="33"/>
      <c r="SAX309" s="33"/>
      <c r="SAY309" s="33"/>
      <c r="SAZ309" s="33"/>
      <c r="SBA309" s="37"/>
      <c r="SBB309" s="208"/>
      <c r="SBC309" s="207"/>
      <c r="SBD309" s="204"/>
      <c r="SBE309" s="35"/>
      <c r="SBF309" s="203"/>
      <c r="SBG309" s="203"/>
      <c r="SBH309" s="36"/>
      <c r="SBI309" s="36"/>
      <c r="SBJ309" s="203"/>
      <c r="SBK309" s="33"/>
      <c r="SBL309" s="33"/>
      <c r="SBM309" s="33"/>
      <c r="SBN309" s="33"/>
      <c r="SBO309" s="33"/>
      <c r="SBP309" s="33"/>
      <c r="SBQ309" s="37"/>
      <c r="SBR309" s="208"/>
      <c r="SBS309" s="207"/>
      <c r="SBT309" s="204"/>
      <c r="SBU309" s="35"/>
      <c r="SBV309" s="203"/>
      <c r="SBW309" s="203"/>
      <c r="SBX309" s="36"/>
      <c r="SBY309" s="36"/>
      <c r="SBZ309" s="203"/>
      <c r="SCA309" s="33"/>
      <c r="SCB309" s="33"/>
      <c r="SCC309" s="33"/>
      <c r="SCD309" s="33"/>
      <c r="SCE309" s="33"/>
      <c r="SCF309" s="33"/>
      <c r="SCG309" s="37"/>
      <c r="SCH309" s="208"/>
      <c r="SCI309" s="207"/>
      <c r="SCJ309" s="204"/>
      <c r="SCK309" s="35"/>
      <c r="SCL309" s="203"/>
      <c r="SCM309" s="203"/>
      <c r="SCN309" s="36"/>
      <c r="SCO309" s="36"/>
      <c r="SCP309" s="203"/>
      <c r="SCQ309" s="33"/>
      <c r="SCR309" s="33"/>
      <c r="SCS309" s="33"/>
      <c r="SCT309" s="33"/>
      <c r="SCU309" s="33"/>
      <c r="SCV309" s="33"/>
      <c r="SCW309" s="37"/>
      <c r="SCX309" s="208"/>
      <c r="SCY309" s="207"/>
      <c r="SCZ309" s="204"/>
      <c r="SDA309" s="35"/>
      <c r="SDB309" s="203"/>
      <c r="SDC309" s="203"/>
      <c r="SDD309" s="36"/>
      <c r="SDE309" s="36"/>
      <c r="SDF309" s="203"/>
      <c r="SDG309" s="33"/>
      <c r="SDH309" s="33"/>
      <c r="SDI309" s="33"/>
      <c r="SDJ309" s="33"/>
      <c r="SDK309" s="33"/>
      <c r="SDL309" s="33"/>
      <c r="SDM309" s="37"/>
      <c r="SDN309" s="208"/>
      <c r="SDO309" s="207"/>
      <c r="SDP309" s="204"/>
      <c r="SDQ309" s="35"/>
      <c r="SDR309" s="203"/>
      <c r="SDS309" s="203"/>
      <c r="SDT309" s="36"/>
      <c r="SDU309" s="36"/>
      <c r="SDV309" s="203"/>
      <c r="SDW309" s="33"/>
      <c r="SDX309" s="33"/>
      <c r="SDY309" s="33"/>
      <c r="SDZ309" s="33"/>
      <c r="SEA309" s="33"/>
      <c r="SEB309" s="33"/>
      <c r="SEC309" s="37"/>
      <c r="SED309" s="208"/>
      <c r="SEE309" s="207"/>
      <c r="SEF309" s="204"/>
      <c r="SEG309" s="35"/>
      <c r="SEH309" s="203"/>
      <c r="SEI309" s="203"/>
      <c r="SEJ309" s="36"/>
      <c r="SEK309" s="36"/>
      <c r="SEL309" s="203"/>
      <c r="SEM309" s="33"/>
      <c r="SEN309" s="33"/>
      <c r="SEO309" s="33"/>
      <c r="SEP309" s="33"/>
      <c r="SEQ309" s="33"/>
      <c r="SER309" s="33"/>
      <c r="SES309" s="37"/>
      <c r="SET309" s="208"/>
      <c r="SEU309" s="207"/>
      <c r="SEV309" s="204"/>
      <c r="SEW309" s="35"/>
      <c r="SEX309" s="203"/>
      <c r="SEY309" s="203"/>
      <c r="SEZ309" s="36"/>
      <c r="SFA309" s="36"/>
      <c r="SFB309" s="203"/>
      <c r="SFC309" s="33"/>
      <c r="SFD309" s="33"/>
      <c r="SFE309" s="33"/>
      <c r="SFF309" s="33"/>
      <c r="SFG309" s="33"/>
      <c r="SFH309" s="33"/>
      <c r="SFI309" s="37"/>
      <c r="SFJ309" s="208"/>
      <c r="SFK309" s="207"/>
      <c r="SFL309" s="204"/>
      <c r="SFM309" s="35"/>
      <c r="SFN309" s="203"/>
      <c r="SFO309" s="203"/>
      <c r="SFP309" s="36"/>
      <c r="SFQ309" s="36"/>
      <c r="SFR309" s="203"/>
      <c r="SFS309" s="33"/>
      <c r="SFT309" s="33"/>
      <c r="SFU309" s="33"/>
      <c r="SFV309" s="33"/>
      <c r="SFW309" s="33"/>
      <c r="SFX309" s="33"/>
      <c r="SFY309" s="37"/>
      <c r="SFZ309" s="208"/>
      <c r="SGA309" s="207"/>
      <c r="SGB309" s="204"/>
      <c r="SGC309" s="35"/>
      <c r="SGD309" s="203"/>
      <c r="SGE309" s="203"/>
      <c r="SGF309" s="36"/>
      <c r="SGG309" s="36"/>
      <c r="SGH309" s="203"/>
      <c r="SGI309" s="33"/>
      <c r="SGJ309" s="33"/>
      <c r="SGK309" s="33"/>
      <c r="SGL309" s="33"/>
      <c r="SGM309" s="33"/>
      <c r="SGN309" s="33"/>
      <c r="SGO309" s="37"/>
      <c r="SGP309" s="208"/>
      <c r="SGQ309" s="207"/>
      <c r="SGR309" s="204"/>
      <c r="SGS309" s="35"/>
      <c r="SGT309" s="203"/>
      <c r="SGU309" s="203"/>
      <c r="SGV309" s="36"/>
      <c r="SGW309" s="36"/>
      <c r="SGX309" s="203"/>
      <c r="SGY309" s="33"/>
      <c r="SGZ309" s="33"/>
      <c r="SHA309" s="33"/>
      <c r="SHB309" s="33"/>
      <c r="SHC309" s="33"/>
      <c r="SHD309" s="33"/>
      <c r="SHE309" s="37"/>
      <c r="SHF309" s="208"/>
      <c r="SHG309" s="207"/>
      <c r="SHH309" s="204"/>
      <c r="SHI309" s="35"/>
      <c r="SHJ309" s="203"/>
      <c r="SHK309" s="203"/>
      <c r="SHL309" s="36"/>
      <c r="SHM309" s="36"/>
      <c r="SHN309" s="203"/>
      <c r="SHO309" s="33"/>
      <c r="SHP309" s="33"/>
      <c r="SHQ309" s="33"/>
      <c r="SHR309" s="33"/>
      <c r="SHS309" s="33"/>
      <c r="SHT309" s="33"/>
      <c r="SHU309" s="37"/>
      <c r="SHV309" s="208"/>
      <c r="SHW309" s="207"/>
      <c r="SHX309" s="204"/>
      <c r="SHY309" s="35"/>
      <c r="SHZ309" s="203"/>
      <c r="SIA309" s="203"/>
      <c r="SIB309" s="36"/>
      <c r="SIC309" s="36"/>
      <c r="SID309" s="203"/>
      <c r="SIE309" s="33"/>
      <c r="SIF309" s="33"/>
      <c r="SIG309" s="33"/>
      <c r="SIH309" s="33"/>
      <c r="SII309" s="33"/>
      <c r="SIJ309" s="33"/>
      <c r="SIK309" s="37"/>
      <c r="SIL309" s="208"/>
      <c r="SIM309" s="207"/>
      <c r="SIN309" s="204"/>
      <c r="SIO309" s="35"/>
      <c r="SIP309" s="203"/>
      <c r="SIQ309" s="203"/>
      <c r="SIR309" s="36"/>
      <c r="SIS309" s="36"/>
      <c r="SIT309" s="203"/>
      <c r="SIU309" s="33"/>
      <c r="SIV309" s="33"/>
      <c r="SIW309" s="33"/>
      <c r="SIX309" s="33"/>
      <c r="SIY309" s="33"/>
      <c r="SIZ309" s="33"/>
      <c r="SJA309" s="37"/>
      <c r="SJB309" s="208"/>
      <c r="SJC309" s="207"/>
      <c r="SJD309" s="204"/>
      <c r="SJE309" s="35"/>
      <c r="SJF309" s="203"/>
      <c r="SJG309" s="203"/>
      <c r="SJH309" s="36"/>
      <c r="SJI309" s="36"/>
      <c r="SJJ309" s="203"/>
      <c r="SJK309" s="33"/>
      <c r="SJL309" s="33"/>
      <c r="SJM309" s="33"/>
      <c r="SJN309" s="33"/>
      <c r="SJO309" s="33"/>
      <c r="SJP309" s="33"/>
      <c r="SJQ309" s="37"/>
      <c r="SJR309" s="208"/>
      <c r="SJS309" s="207"/>
      <c r="SJT309" s="204"/>
      <c r="SJU309" s="35"/>
      <c r="SJV309" s="203"/>
      <c r="SJW309" s="203"/>
      <c r="SJX309" s="36"/>
      <c r="SJY309" s="36"/>
      <c r="SJZ309" s="203"/>
      <c r="SKA309" s="33"/>
      <c r="SKB309" s="33"/>
      <c r="SKC309" s="33"/>
      <c r="SKD309" s="33"/>
      <c r="SKE309" s="33"/>
      <c r="SKF309" s="33"/>
      <c r="SKG309" s="37"/>
      <c r="SKH309" s="208"/>
      <c r="SKI309" s="207"/>
      <c r="SKJ309" s="204"/>
      <c r="SKK309" s="35"/>
      <c r="SKL309" s="203"/>
      <c r="SKM309" s="203"/>
      <c r="SKN309" s="36"/>
      <c r="SKO309" s="36"/>
      <c r="SKP309" s="203"/>
      <c r="SKQ309" s="33"/>
      <c r="SKR309" s="33"/>
      <c r="SKS309" s="33"/>
      <c r="SKT309" s="33"/>
      <c r="SKU309" s="33"/>
      <c r="SKV309" s="33"/>
      <c r="SKW309" s="37"/>
      <c r="SKX309" s="208"/>
      <c r="SKY309" s="207"/>
      <c r="SKZ309" s="204"/>
      <c r="SLA309" s="35"/>
      <c r="SLB309" s="203"/>
      <c r="SLC309" s="203"/>
      <c r="SLD309" s="36"/>
      <c r="SLE309" s="36"/>
      <c r="SLF309" s="203"/>
      <c r="SLG309" s="33"/>
      <c r="SLH309" s="33"/>
      <c r="SLI309" s="33"/>
      <c r="SLJ309" s="33"/>
      <c r="SLK309" s="33"/>
      <c r="SLL309" s="33"/>
      <c r="SLM309" s="37"/>
      <c r="SLN309" s="208"/>
      <c r="SLO309" s="207"/>
      <c r="SLP309" s="204"/>
      <c r="SLQ309" s="35"/>
      <c r="SLR309" s="203"/>
      <c r="SLS309" s="203"/>
      <c r="SLT309" s="36"/>
      <c r="SLU309" s="36"/>
      <c r="SLV309" s="203"/>
      <c r="SLW309" s="33"/>
      <c r="SLX309" s="33"/>
      <c r="SLY309" s="33"/>
      <c r="SLZ309" s="33"/>
      <c r="SMA309" s="33"/>
      <c r="SMB309" s="33"/>
      <c r="SMC309" s="37"/>
      <c r="SMD309" s="208"/>
      <c r="SME309" s="207"/>
      <c r="SMF309" s="204"/>
      <c r="SMG309" s="35"/>
      <c r="SMH309" s="203"/>
      <c r="SMI309" s="203"/>
      <c r="SMJ309" s="36"/>
      <c r="SMK309" s="36"/>
      <c r="SML309" s="203"/>
      <c r="SMM309" s="33"/>
      <c r="SMN309" s="33"/>
      <c r="SMO309" s="33"/>
      <c r="SMP309" s="33"/>
      <c r="SMQ309" s="33"/>
      <c r="SMR309" s="33"/>
      <c r="SMS309" s="37"/>
      <c r="SMT309" s="208"/>
      <c r="SMU309" s="207"/>
      <c r="SMV309" s="204"/>
      <c r="SMW309" s="35"/>
      <c r="SMX309" s="203"/>
      <c r="SMY309" s="203"/>
      <c r="SMZ309" s="36"/>
      <c r="SNA309" s="36"/>
      <c r="SNB309" s="203"/>
      <c r="SNC309" s="33"/>
      <c r="SND309" s="33"/>
      <c r="SNE309" s="33"/>
      <c r="SNF309" s="33"/>
      <c r="SNG309" s="33"/>
      <c r="SNH309" s="33"/>
      <c r="SNI309" s="37"/>
      <c r="SNJ309" s="208"/>
      <c r="SNK309" s="207"/>
      <c r="SNL309" s="204"/>
      <c r="SNM309" s="35"/>
      <c r="SNN309" s="203"/>
      <c r="SNO309" s="203"/>
      <c r="SNP309" s="36"/>
      <c r="SNQ309" s="36"/>
      <c r="SNR309" s="203"/>
      <c r="SNS309" s="33"/>
      <c r="SNT309" s="33"/>
      <c r="SNU309" s="33"/>
      <c r="SNV309" s="33"/>
      <c r="SNW309" s="33"/>
      <c r="SNX309" s="33"/>
      <c r="SNY309" s="37"/>
      <c r="SNZ309" s="208"/>
      <c r="SOA309" s="207"/>
      <c r="SOB309" s="204"/>
      <c r="SOC309" s="35"/>
      <c r="SOD309" s="203"/>
      <c r="SOE309" s="203"/>
      <c r="SOF309" s="36"/>
      <c r="SOG309" s="36"/>
      <c r="SOH309" s="203"/>
      <c r="SOI309" s="33"/>
      <c r="SOJ309" s="33"/>
      <c r="SOK309" s="33"/>
      <c r="SOL309" s="33"/>
      <c r="SOM309" s="33"/>
      <c r="SON309" s="33"/>
      <c r="SOO309" s="37"/>
      <c r="SOP309" s="208"/>
      <c r="SOQ309" s="207"/>
      <c r="SOR309" s="204"/>
      <c r="SOS309" s="35"/>
      <c r="SOT309" s="203"/>
      <c r="SOU309" s="203"/>
      <c r="SOV309" s="36"/>
      <c r="SOW309" s="36"/>
      <c r="SOX309" s="203"/>
      <c r="SOY309" s="33"/>
      <c r="SOZ309" s="33"/>
      <c r="SPA309" s="33"/>
      <c r="SPB309" s="33"/>
      <c r="SPC309" s="33"/>
      <c r="SPD309" s="33"/>
      <c r="SPE309" s="37"/>
      <c r="SPF309" s="208"/>
      <c r="SPG309" s="207"/>
      <c r="SPH309" s="204"/>
      <c r="SPI309" s="35"/>
      <c r="SPJ309" s="203"/>
      <c r="SPK309" s="203"/>
      <c r="SPL309" s="36"/>
      <c r="SPM309" s="36"/>
      <c r="SPN309" s="203"/>
      <c r="SPO309" s="33"/>
      <c r="SPP309" s="33"/>
      <c r="SPQ309" s="33"/>
      <c r="SPR309" s="33"/>
      <c r="SPS309" s="33"/>
      <c r="SPT309" s="33"/>
      <c r="SPU309" s="37"/>
      <c r="SPV309" s="208"/>
      <c r="SPW309" s="207"/>
      <c r="SPX309" s="204"/>
      <c r="SPY309" s="35"/>
      <c r="SPZ309" s="203"/>
      <c r="SQA309" s="203"/>
      <c r="SQB309" s="36"/>
      <c r="SQC309" s="36"/>
      <c r="SQD309" s="203"/>
      <c r="SQE309" s="33"/>
      <c r="SQF309" s="33"/>
      <c r="SQG309" s="33"/>
      <c r="SQH309" s="33"/>
      <c r="SQI309" s="33"/>
      <c r="SQJ309" s="33"/>
      <c r="SQK309" s="37"/>
      <c r="SQL309" s="208"/>
      <c r="SQM309" s="207"/>
      <c r="SQN309" s="204"/>
      <c r="SQO309" s="35"/>
      <c r="SQP309" s="203"/>
      <c r="SQQ309" s="203"/>
      <c r="SQR309" s="36"/>
      <c r="SQS309" s="36"/>
      <c r="SQT309" s="203"/>
      <c r="SQU309" s="33"/>
      <c r="SQV309" s="33"/>
      <c r="SQW309" s="33"/>
      <c r="SQX309" s="33"/>
      <c r="SQY309" s="33"/>
      <c r="SQZ309" s="33"/>
      <c r="SRA309" s="37"/>
      <c r="SRB309" s="208"/>
      <c r="SRC309" s="207"/>
      <c r="SRD309" s="204"/>
      <c r="SRE309" s="35"/>
      <c r="SRF309" s="203"/>
      <c r="SRG309" s="203"/>
      <c r="SRH309" s="36"/>
      <c r="SRI309" s="36"/>
      <c r="SRJ309" s="203"/>
      <c r="SRK309" s="33"/>
      <c r="SRL309" s="33"/>
      <c r="SRM309" s="33"/>
      <c r="SRN309" s="33"/>
      <c r="SRO309" s="33"/>
      <c r="SRP309" s="33"/>
      <c r="SRQ309" s="37"/>
      <c r="SRR309" s="208"/>
      <c r="SRS309" s="207"/>
      <c r="SRT309" s="204"/>
      <c r="SRU309" s="35"/>
      <c r="SRV309" s="203"/>
      <c r="SRW309" s="203"/>
      <c r="SRX309" s="36"/>
      <c r="SRY309" s="36"/>
      <c r="SRZ309" s="203"/>
      <c r="SSA309" s="33"/>
      <c r="SSB309" s="33"/>
      <c r="SSC309" s="33"/>
      <c r="SSD309" s="33"/>
      <c r="SSE309" s="33"/>
      <c r="SSF309" s="33"/>
      <c r="SSG309" s="37"/>
      <c r="SSH309" s="208"/>
      <c r="SSI309" s="207"/>
      <c r="SSJ309" s="204"/>
      <c r="SSK309" s="35"/>
      <c r="SSL309" s="203"/>
      <c r="SSM309" s="203"/>
      <c r="SSN309" s="36"/>
      <c r="SSO309" s="36"/>
      <c r="SSP309" s="203"/>
      <c r="SSQ309" s="33"/>
      <c r="SSR309" s="33"/>
      <c r="SSS309" s="33"/>
      <c r="SST309" s="33"/>
      <c r="SSU309" s="33"/>
      <c r="SSV309" s="33"/>
      <c r="SSW309" s="37"/>
      <c r="SSX309" s="208"/>
      <c r="SSY309" s="207"/>
      <c r="SSZ309" s="204"/>
      <c r="STA309" s="35"/>
      <c r="STB309" s="203"/>
      <c r="STC309" s="203"/>
      <c r="STD309" s="36"/>
      <c r="STE309" s="36"/>
      <c r="STF309" s="203"/>
      <c r="STG309" s="33"/>
      <c r="STH309" s="33"/>
      <c r="STI309" s="33"/>
      <c r="STJ309" s="33"/>
      <c r="STK309" s="33"/>
      <c r="STL309" s="33"/>
      <c r="STM309" s="37"/>
      <c r="STN309" s="208"/>
      <c r="STO309" s="207"/>
      <c r="STP309" s="204"/>
      <c r="STQ309" s="35"/>
      <c r="STR309" s="203"/>
      <c r="STS309" s="203"/>
      <c r="STT309" s="36"/>
      <c r="STU309" s="36"/>
      <c r="STV309" s="203"/>
      <c r="STW309" s="33"/>
      <c r="STX309" s="33"/>
      <c r="STY309" s="33"/>
      <c r="STZ309" s="33"/>
      <c r="SUA309" s="33"/>
      <c r="SUB309" s="33"/>
      <c r="SUC309" s="37"/>
      <c r="SUD309" s="208"/>
      <c r="SUE309" s="207"/>
      <c r="SUF309" s="204"/>
      <c r="SUG309" s="35"/>
      <c r="SUH309" s="203"/>
      <c r="SUI309" s="203"/>
      <c r="SUJ309" s="36"/>
      <c r="SUK309" s="36"/>
      <c r="SUL309" s="203"/>
      <c r="SUM309" s="33"/>
      <c r="SUN309" s="33"/>
      <c r="SUO309" s="33"/>
      <c r="SUP309" s="33"/>
      <c r="SUQ309" s="33"/>
      <c r="SUR309" s="33"/>
      <c r="SUS309" s="37"/>
      <c r="SUT309" s="208"/>
      <c r="SUU309" s="207"/>
      <c r="SUV309" s="204"/>
      <c r="SUW309" s="35"/>
      <c r="SUX309" s="203"/>
      <c r="SUY309" s="203"/>
      <c r="SUZ309" s="36"/>
      <c r="SVA309" s="36"/>
      <c r="SVB309" s="203"/>
      <c r="SVC309" s="33"/>
      <c r="SVD309" s="33"/>
      <c r="SVE309" s="33"/>
      <c r="SVF309" s="33"/>
      <c r="SVG309" s="33"/>
      <c r="SVH309" s="33"/>
      <c r="SVI309" s="37"/>
      <c r="SVJ309" s="208"/>
      <c r="SVK309" s="207"/>
      <c r="SVL309" s="204"/>
      <c r="SVM309" s="35"/>
      <c r="SVN309" s="203"/>
      <c r="SVO309" s="203"/>
      <c r="SVP309" s="36"/>
      <c r="SVQ309" s="36"/>
      <c r="SVR309" s="203"/>
      <c r="SVS309" s="33"/>
      <c r="SVT309" s="33"/>
      <c r="SVU309" s="33"/>
      <c r="SVV309" s="33"/>
      <c r="SVW309" s="33"/>
      <c r="SVX309" s="33"/>
      <c r="SVY309" s="37"/>
      <c r="SVZ309" s="208"/>
      <c r="SWA309" s="207"/>
      <c r="SWB309" s="204"/>
      <c r="SWC309" s="35"/>
      <c r="SWD309" s="203"/>
      <c r="SWE309" s="203"/>
      <c r="SWF309" s="36"/>
      <c r="SWG309" s="36"/>
      <c r="SWH309" s="203"/>
      <c r="SWI309" s="33"/>
      <c r="SWJ309" s="33"/>
      <c r="SWK309" s="33"/>
      <c r="SWL309" s="33"/>
      <c r="SWM309" s="33"/>
      <c r="SWN309" s="33"/>
      <c r="SWO309" s="37"/>
      <c r="SWP309" s="208"/>
      <c r="SWQ309" s="207"/>
      <c r="SWR309" s="204"/>
      <c r="SWS309" s="35"/>
      <c r="SWT309" s="203"/>
      <c r="SWU309" s="203"/>
      <c r="SWV309" s="36"/>
      <c r="SWW309" s="36"/>
      <c r="SWX309" s="203"/>
      <c r="SWY309" s="33"/>
      <c r="SWZ309" s="33"/>
      <c r="SXA309" s="33"/>
      <c r="SXB309" s="33"/>
      <c r="SXC309" s="33"/>
      <c r="SXD309" s="33"/>
      <c r="SXE309" s="37"/>
      <c r="SXF309" s="208"/>
      <c r="SXG309" s="207"/>
      <c r="SXH309" s="204"/>
      <c r="SXI309" s="35"/>
      <c r="SXJ309" s="203"/>
      <c r="SXK309" s="203"/>
      <c r="SXL309" s="36"/>
      <c r="SXM309" s="36"/>
      <c r="SXN309" s="203"/>
      <c r="SXO309" s="33"/>
      <c r="SXP309" s="33"/>
      <c r="SXQ309" s="33"/>
      <c r="SXR309" s="33"/>
      <c r="SXS309" s="33"/>
      <c r="SXT309" s="33"/>
      <c r="SXU309" s="37"/>
      <c r="SXV309" s="208"/>
      <c r="SXW309" s="207"/>
      <c r="SXX309" s="204"/>
      <c r="SXY309" s="35"/>
      <c r="SXZ309" s="203"/>
      <c r="SYA309" s="203"/>
      <c r="SYB309" s="36"/>
      <c r="SYC309" s="36"/>
      <c r="SYD309" s="203"/>
      <c r="SYE309" s="33"/>
      <c r="SYF309" s="33"/>
      <c r="SYG309" s="33"/>
      <c r="SYH309" s="33"/>
      <c r="SYI309" s="33"/>
      <c r="SYJ309" s="33"/>
      <c r="SYK309" s="37"/>
      <c r="SYL309" s="208"/>
      <c r="SYM309" s="207"/>
      <c r="SYN309" s="204"/>
      <c r="SYO309" s="35"/>
      <c r="SYP309" s="203"/>
      <c r="SYQ309" s="203"/>
      <c r="SYR309" s="36"/>
      <c r="SYS309" s="36"/>
      <c r="SYT309" s="203"/>
      <c r="SYU309" s="33"/>
      <c r="SYV309" s="33"/>
      <c r="SYW309" s="33"/>
      <c r="SYX309" s="33"/>
      <c r="SYY309" s="33"/>
      <c r="SYZ309" s="33"/>
      <c r="SZA309" s="37"/>
      <c r="SZB309" s="208"/>
      <c r="SZC309" s="207"/>
      <c r="SZD309" s="204"/>
      <c r="SZE309" s="35"/>
      <c r="SZF309" s="203"/>
      <c r="SZG309" s="203"/>
      <c r="SZH309" s="36"/>
      <c r="SZI309" s="36"/>
      <c r="SZJ309" s="203"/>
      <c r="SZK309" s="33"/>
      <c r="SZL309" s="33"/>
      <c r="SZM309" s="33"/>
      <c r="SZN309" s="33"/>
      <c r="SZO309" s="33"/>
      <c r="SZP309" s="33"/>
      <c r="SZQ309" s="37"/>
      <c r="SZR309" s="208"/>
      <c r="SZS309" s="207"/>
      <c r="SZT309" s="204"/>
      <c r="SZU309" s="35"/>
      <c r="SZV309" s="203"/>
      <c r="SZW309" s="203"/>
      <c r="SZX309" s="36"/>
      <c r="SZY309" s="36"/>
      <c r="SZZ309" s="203"/>
      <c r="TAA309" s="33"/>
      <c r="TAB309" s="33"/>
      <c r="TAC309" s="33"/>
      <c r="TAD309" s="33"/>
      <c r="TAE309" s="33"/>
      <c r="TAF309" s="33"/>
      <c r="TAG309" s="37"/>
      <c r="TAH309" s="208"/>
      <c r="TAI309" s="207"/>
      <c r="TAJ309" s="204"/>
      <c r="TAK309" s="35"/>
      <c r="TAL309" s="203"/>
      <c r="TAM309" s="203"/>
      <c r="TAN309" s="36"/>
      <c r="TAO309" s="36"/>
      <c r="TAP309" s="203"/>
      <c r="TAQ309" s="33"/>
      <c r="TAR309" s="33"/>
      <c r="TAS309" s="33"/>
      <c r="TAT309" s="33"/>
      <c r="TAU309" s="33"/>
      <c r="TAV309" s="33"/>
      <c r="TAW309" s="37"/>
      <c r="TAX309" s="208"/>
      <c r="TAY309" s="207"/>
      <c r="TAZ309" s="204"/>
      <c r="TBA309" s="35"/>
      <c r="TBB309" s="203"/>
      <c r="TBC309" s="203"/>
      <c r="TBD309" s="36"/>
      <c r="TBE309" s="36"/>
      <c r="TBF309" s="203"/>
      <c r="TBG309" s="33"/>
      <c r="TBH309" s="33"/>
      <c r="TBI309" s="33"/>
      <c r="TBJ309" s="33"/>
      <c r="TBK309" s="33"/>
      <c r="TBL309" s="33"/>
      <c r="TBM309" s="37"/>
      <c r="TBN309" s="208"/>
      <c r="TBO309" s="207"/>
      <c r="TBP309" s="204"/>
      <c r="TBQ309" s="35"/>
      <c r="TBR309" s="203"/>
      <c r="TBS309" s="203"/>
      <c r="TBT309" s="36"/>
      <c r="TBU309" s="36"/>
      <c r="TBV309" s="203"/>
      <c r="TBW309" s="33"/>
      <c r="TBX309" s="33"/>
      <c r="TBY309" s="33"/>
      <c r="TBZ309" s="33"/>
      <c r="TCA309" s="33"/>
      <c r="TCB309" s="33"/>
      <c r="TCC309" s="37"/>
      <c r="TCD309" s="208"/>
      <c r="TCE309" s="207"/>
      <c r="TCF309" s="204"/>
      <c r="TCG309" s="35"/>
      <c r="TCH309" s="203"/>
      <c r="TCI309" s="203"/>
      <c r="TCJ309" s="36"/>
      <c r="TCK309" s="36"/>
      <c r="TCL309" s="203"/>
      <c r="TCM309" s="33"/>
      <c r="TCN309" s="33"/>
      <c r="TCO309" s="33"/>
      <c r="TCP309" s="33"/>
      <c r="TCQ309" s="33"/>
      <c r="TCR309" s="33"/>
      <c r="TCS309" s="37"/>
      <c r="TCT309" s="208"/>
      <c r="TCU309" s="207"/>
      <c r="TCV309" s="204"/>
      <c r="TCW309" s="35"/>
      <c r="TCX309" s="203"/>
      <c r="TCY309" s="203"/>
      <c r="TCZ309" s="36"/>
      <c r="TDA309" s="36"/>
      <c r="TDB309" s="203"/>
      <c r="TDC309" s="33"/>
      <c r="TDD309" s="33"/>
      <c r="TDE309" s="33"/>
      <c r="TDF309" s="33"/>
      <c r="TDG309" s="33"/>
      <c r="TDH309" s="33"/>
      <c r="TDI309" s="37"/>
      <c r="TDJ309" s="208"/>
      <c r="TDK309" s="207"/>
      <c r="TDL309" s="204"/>
      <c r="TDM309" s="35"/>
      <c r="TDN309" s="203"/>
      <c r="TDO309" s="203"/>
      <c r="TDP309" s="36"/>
      <c r="TDQ309" s="36"/>
      <c r="TDR309" s="203"/>
      <c r="TDS309" s="33"/>
      <c r="TDT309" s="33"/>
      <c r="TDU309" s="33"/>
      <c r="TDV309" s="33"/>
      <c r="TDW309" s="33"/>
      <c r="TDX309" s="33"/>
      <c r="TDY309" s="37"/>
      <c r="TDZ309" s="208"/>
      <c r="TEA309" s="207"/>
      <c r="TEB309" s="204"/>
      <c r="TEC309" s="35"/>
      <c r="TED309" s="203"/>
      <c r="TEE309" s="203"/>
      <c r="TEF309" s="36"/>
      <c r="TEG309" s="36"/>
      <c r="TEH309" s="203"/>
      <c r="TEI309" s="33"/>
      <c r="TEJ309" s="33"/>
      <c r="TEK309" s="33"/>
      <c r="TEL309" s="33"/>
      <c r="TEM309" s="33"/>
      <c r="TEN309" s="33"/>
      <c r="TEO309" s="37"/>
      <c r="TEP309" s="208"/>
      <c r="TEQ309" s="207"/>
      <c r="TER309" s="204"/>
      <c r="TES309" s="35"/>
      <c r="TET309" s="203"/>
      <c r="TEU309" s="203"/>
      <c r="TEV309" s="36"/>
      <c r="TEW309" s="36"/>
      <c r="TEX309" s="203"/>
      <c r="TEY309" s="33"/>
      <c r="TEZ309" s="33"/>
      <c r="TFA309" s="33"/>
      <c r="TFB309" s="33"/>
      <c r="TFC309" s="33"/>
      <c r="TFD309" s="33"/>
      <c r="TFE309" s="37"/>
      <c r="TFF309" s="208"/>
      <c r="TFG309" s="207"/>
      <c r="TFH309" s="204"/>
      <c r="TFI309" s="35"/>
      <c r="TFJ309" s="203"/>
      <c r="TFK309" s="203"/>
      <c r="TFL309" s="36"/>
      <c r="TFM309" s="36"/>
      <c r="TFN309" s="203"/>
      <c r="TFO309" s="33"/>
      <c r="TFP309" s="33"/>
      <c r="TFQ309" s="33"/>
      <c r="TFR309" s="33"/>
      <c r="TFS309" s="33"/>
      <c r="TFT309" s="33"/>
      <c r="TFU309" s="37"/>
      <c r="TFV309" s="208"/>
      <c r="TFW309" s="207"/>
      <c r="TFX309" s="204"/>
      <c r="TFY309" s="35"/>
      <c r="TFZ309" s="203"/>
      <c r="TGA309" s="203"/>
      <c r="TGB309" s="36"/>
      <c r="TGC309" s="36"/>
      <c r="TGD309" s="203"/>
      <c r="TGE309" s="33"/>
      <c r="TGF309" s="33"/>
      <c r="TGG309" s="33"/>
      <c r="TGH309" s="33"/>
      <c r="TGI309" s="33"/>
      <c r="TGJ309" s="33"/>
      <c r="TGK309" s="37"/>
      <c r="TGL309" s="208"/>
      <c r="TGM309" s="207"/>
      <c r="TGN309" s="204"/>
      <c r="TGO309" s="35"/>
      <c r="TGP309" s="203"/>
      <c r="TGQ309" s="203"/>
      <c r="TGR309" s="36"/>
      <c r="TGS309" s="36"/>
      <c r="TGT309" s="203"/>
      <c r="TGU309" s="33"/>
      <c r="TGV309" s="33"/>
      <c r="TGW309" s="33"/>
      <c r="TGX309" s="33"/>
      <c r="TGY309" s="33"/>
      <c r="TGZ309" s="33"/>
      <c r="THA309" s="37"/>
      <c r="THB309" s="208"/>
      <c r="THC309" s="207"/>
      <c r="THD309" s="204"/>
      <c r="THE309" s="35"/>
      <c r="THF309" s="203"/>
      <c r="THG309" s="203"/>
      <c r="THH309" s="36"/>
      <c r="THI309" s="36"/>
      <c r="THJ309" s="203"/>
      <c r="THK309" s="33"/>
      <c r="THL309" s="33"/>
      <c r="THM309" s="33"/>
      <c r="THN309" s="33"/>
      <c r="THO309" s="33"/>
      <c r="THP309" s="33"/>
      <c r="THQ309" s="37"/>
      <c r="THR309" s="208"/>
      <c r="THS309" s="207"/>
      <c r="THT309" s="204"/>
      <c r="THU309" s="35"/>
      <c r="THV309" s="203"/>
      <c r="THW309" s="203"/>
      <c r="THX309" s="36"/>
      <c r="THY309" s="36"/>
      <c r="THZ309" s="203"/>
      <c r="TIA309" s="33"/>
      <c r="TIB309" s="33"/>
      <c r="TIC309" s="33"/>
      <c r="TID309" s="33"/>
      <c r="TIE309" s="33"/>
      <c r="TIF309" s="33"/>
      <c r="TIG309" s="37"/>
      <c r="TIH309" s="208"/>
      <c r="TII309" s="207"/>
      <c r="TIJ309" s="204"/>
      <c r="TIK309" s="35"/>
      <c r="TIL309" s="203"/>
      <c r="TIM309" s="203"/>
      <c r="TIN309" s="36"/>
      <c r="TIO309" s="36"/>
      <c r="TIP309" s="203"/>
      <c r="TIQ309" s="33"/>
      <c r="TIR309" s="33"/>
      <c r="TIS309" s="33"/>
      <c r="TIT309" s="33"/>
      <c r="TIU309" s="33"/>
      <c r="TIV309" s="33"/>
      <c r="TIW309" s="37"/>
      <c r="TIX309" s="208"/>
      <c r="TIY309" s="207"/>
      <c r="TIZ309" s="204"/>
      <c r="TJA309" s="35"/>
      <c r="TJB309" s="203"/>
      <c r="TJC309" s="203"/>
      <c r="TJD309" s="36"/>
      <c r="TJE309" s="36"/>
      <c r="TJF309" s="203"/>
      <c r="TJG309" s="33"/>
      <c r="TJH309" s="33"/>
      <c r="TJI309" s="33"/>
      <c r="TJJ309" s="33"/>
      <c r="TJK309" s="33"/>
      <c r="TJL309" s="33"/>
      <c r="TJM309" s="37"/>
      <c r="TJN309" s="208"/>
      <c r="TJO309" s="207"/>
      <c r="TJP309" s="204"/>
      <c r="TJQ309" s="35"/>
      <c r="TJR309" s="203"/>
      <c r="TJS309" s="203"/>
      <c r="TJT309" s="36"/>
      <c r="TJU309" s="36"/>
      <c r="TJV309" s="203"/>
      <c r="TJW309" s="33"/>
      <c r="TJX309" s="33"/>
      <c r="TJY309" s="33"/>
      <c r="TJZ309" s="33"/>
      <c r="TKA309" s="33"/>
      <c r="TKB309" s="33"/>
      <c r="TKC309" s="37"/>
      <c r="TKD309" s="208"/>
      <c r="TKE309" s="207"/>
      <c r="TKF309" s="204"/>
      <c r="TKG309" s="35"/>
      <c r="TKH309" s="203"/>
      <c r="TKI309" s="203"/>
      <c r="TKJ309" s="36"/>
      <c r="TKK309" s="36"/>
      <c r="TKL309" s="203"/>
      <c r="TKM309" s="33"/>
      <c r="TKN309" s="33"/>
      <c r="TKO309" s="33"/>
      <c r="TKP309" s="33"/>
      <c r="TKQ309" s="33"/>
      <c r="TKR309" s="33"/>
      <c r="TKS309" s="37"/>
      <c r="TKT309" s="208"/>
      <c r="TKU309" s="207"/>
      <c r="TKV309" s="204"/>
      <c r="TKW309" s="35"/>
      <c r="TKX309" s="203"/>
      <c r="TKY309" s="203"/>
      <c r="TKZ309" s="36"/>
      <c r="TLA309" s="36"/>
      <c r="TLB309" s="203"/>
      <c r="TLC309" s="33"/>
      <c r="TLD309" s="33"/>
      <c r="TLE309" s="33"/>
      <c r="TLF309" s="33"/>
      <c r="TLG309" s="33"/>
      <c r="TLH309" s="33"/>
      <c r="TLI309" s="37"/>
      <c r="TLJ309" s="208"/>
      <c r="TLK309" s="207"/>
      <c r="TLL309" s="204"/>
      <c r="TLM309" s="35"/>
      <c r="TLN309" s="203"/>
      <c r="TLO309" s="203"/>
      <c r="TLP309" s="36"/>
      <c r="TLQ309" s="36"/>
      <c r="TLR309" s="203"/>
      <c r="TLS309" s="33"/>
      <c r="TLT309" s="33"/>
      <c r="TLU309" s="33"/>
      <c r="TLV309" s="33"/>
      <c r="TLW309" s="33"/>
      <c r="TLX309" s="33"/>
      <c r="TLY309" s="37"/>
      <c r="TLZ309" s="208"/>
      <c r="TMA309" s="207"/>
      <c r="TMB309" s="204"/>
      <c r="TMC309" s="35"/>
      <c r="TMD309" s="203"/>
      <c r="TME309" s="203"/>
      <c r="TMF309" s="36"/>
      <c r="TMG309" s="36"/>
      <c r="TMH309" s="203"/>
      <c r="TMI309" s="33"/>
      <c r="TMJ309" s="33"/>
      <c r="TMK309" s="33"/>
      <c r="TML309" s="33"/>
      <c r="TMM309" s="33"/>
      <c r="TMN309" s="33"/>
      <c r="TMO309" s="37"/>
      <c r="TMP309" s="208"/>
      <c r="TMQ309" s="207"/>
      <c r="TMR309" s="204"/>
      <c r="TMS309" s="35"/>
      <c r="TMT309" s="203"/>
      <c r="TMU309" s="203"/>
      <c r="TMV309" s="36"/>
      <c r="TMW309" s="36"/>
      <c r="TMX309" s="203"/>
      <c r="TMY309" s="33"/>
      <c r="TMZ309" s="33"/>
      <c r="TNA309" s="33"/>
      <c r="TNB309" s="33"/>
      <c r="TNC309" s="33"/>
      <c r="TND309" s="33"/>
      <c r="TNE309" s="37"/>
      <c r="TNF309" s="208"/>
      <c r="TNG309" s="207"/>
      <c r="TNH309" s="204"/>
      <c r="TNI309" s="35"/>
      <c r="TNJ309" s="203"/>
      <c r="TNK309" s="203"/>
      <c r="TNL309" s="36"/>
      <c r="TNM309" s="36"/>
      <c r="TNN309" s="203"/>
      <c r="TNO309" s="33"/>
      <c r="TNP309" s="33"/>
      <c r="TNQ309" s="33"/>
      <c r="TNR309" s="33"/>
      <c r="TNS309" s="33"/>
      <c r="TNT309" s="33"/>
      <c r="TNU309" s="37"/>
      <c r="TNV309" s="208"/>
      <c r="TNW309" s="207"/>
      <c r="TNX309" s="204"/>
      <c r="TNY309" s="35"/>
      <c r="TNZ309" s="203"/>
      <c r="TOA309" s="203"/>
      <c r="TOB309" s="36"/>
      <c r="TOC309" s="36"/>
      <c r="TOD309" s="203"/>
      <c r="TOE309" s="33"/>
      <c r="TOF309" s="33"/>
      <c r="TOG309" s="33"/>
      <c r="TOH309" s="33"/>
      <c r="TOI309" s="33"/>
      <c r="TOJ309" s="33"/>
      <c r="TOK309" s="37"/>
      <c r="TOL309" s="208"/>
      <c r="TOM309" s="207"/>
      <c r="TON309" s="204"/>
      <c r="TOO309" s="35"/>
      <c r="TOP309" s="203"/>
      <c r="TOQ309" s="203"/>
      <c r="TOR309" s="36"/>
      <c r="TOS309" s="36"/>
      <c r="TOT309" s="203"/>
      <c r="TOU309" s="33"/>
      <c r="TOV309" s="33"/>
      <c r="TOW309" s="33"/>
      <c r="TOX309" s="33"/>
      <c r="TOY309" s="33"/>
      <c r="TOZ309" s="33"/>
      <c r="TPA309" s="37"/>
      <c r="TPB309" s="208"/>
      <c r="TPC309" s="207"/>
      <c r="TPD309" s="204"/>
      <c r="TPE309" s="35"/>
      <c r="TPF309" s="203"/>
      <c r="TPG309" s="203"/>
      <c r="TPH309" s="36"/>
      <c r="TPI309" s="36"/>
      <c r="TPJ309" s="203"/>
      <c r="TPK309" s="33"/>
      <c r="TPL309" s="33"/>
      <c r="TPM309" s="33"/>
      <c r="TPN309" s="33"/>
      <c r="TPO309" s="33"/>
      <c r="TPP309" s="33"/>
      <c r="TPQ309" s="37"/>
      <c r="TPR309" s="208"/>
      <c r="TPS309" s="207"/>
      <c r="TPT309" s="204"/>
      <c r="TPU309" s="35"/>
      <c r="TPV309" s="203"/>
      <c r="TPW309" s="203"/>
      <c r="TPX309" s="36"/>
      <c r="TPY309" s="36"/>
      <c r="TPZ309" s="203"/>
      <c r="TQA309" s="33"/>
      <c r="TQB309" s="33"/>
      <c r="TQC309" s="33"/>
      <c r="TQD309" s="33"/>
      <c r="TQE309" s="33"/>
      <c r="TQF309" s="33"/>
      <c r="TQG309" s="37"/>
      <c r="TQH309" s="208"/>
      <c r="TQI309" s="207"/>
      <c r="TQJ309" s="204"/>
      <c r="TQK309" s="35"/>
      <c r="TQL309" s="203"/>
      <c r="TQM309" s="203"/>
      <c r="TQN309" s="36"/>
      <c r="TQO309" s="36"/>
      <c r="TQP309" s="203"/>
      <c r="TQQ309" s="33"/>
      <c r="TQR309" s="33"/>
      <c r="TQS309" s="33"/>
      <c r="TQT309" s="33"/>
      <c r="TQU309" s="33"/>
      <c r="TQV309" s="33"/>
      <c r="TQW309" s="37"/>
      <c r="TQX309" s="208"/>
      <c r="TQY309" s="207"/>
      <c r="TQZ309" s="204"/>
      <c r="TRA309" s="35"/>
      <c r="TRB309" s="203"/>
      <c r="TRC309" s="203"/>
      <c r="TRD309" s="36"/>
      <c r="TRE309" s="36"/>
      <c r="TRF309" s="203"/>
      <c r="TRG309" s="33"/>
      <c r="TRH309" s="33"/>
      <c r="TRI309" s="33"/>
      <c r="TRJ309" s="33"/>
      <c r="TRK309" s="33"/>
      <c r="TRL309" s="33"/>
      <c r="TRM309" s="37"/>
      <c r="TRN309" s="208"/>
      <c r="TRO309" s="207"/>
      <c r="TRP309" s="204"/>
      <c r="TRQ309" s="35"/>
      <c r="TRR309" s="203"/>
      <c r="TRS309" s="203"/>
      <c r="TRT309" s="36"/>
      <c r="TRU309" s="36"/>
      <c r="TRV309" s="203"/>
      <c r="TRW309" s="33"/>
      <c r="TRX309" s="33"/>
      <c r="TRY309" s="33"/>
      <c r="TRZ309" s="33"/>
      <c r="TSA309" s="33"/>
      <c r="TSB309" s="33"/>
      <c r="TSC309" s="37"/>
      <c r="TSD309" s="208"/>
      <c r="TSE309" s="207"/>
      <c r="TSF309" s="204"/>
      <c r="TSG309" s="35"/>
      <c r="TSH309" s="203"/>
      <c r="TSI309" s="203"/>
      <c r="TSJ309" s="36"/>
      <c r="TSK309" s="36"/>
      <c r="TSL309" s="203"/>
      <c r="TSM309" s="33"/>
      <c r="TSN309" s="33"/>
      <c r="TSO309" s="33"/>
      <c r="TSP309" s="33"/>
      <c r="TSQ309" s="33"/>
      <c r="TSR309" s="33"/>
      <c r="TSS309" s="37"/>
      <c r="TST309" s="208"/>
      <c r="TSU309" s="207"/>
      <c r="TSV309" s="204"/>
      <c r="TSW309" s="35"/>
      <c r="TSX309" s="203"/>
      <c r="TSY309" s="203"/>
      <c r="TSZ309" s="36"/>
      <c r="TTA309" s="36"/>
      <c r="TTB309" s="203"/>
      <c r="TTC309" s="33"/>
      <c r="TTD309" s="33"/>
      <c r="TTE309" s="33"/>
      <c r="TTF309" s="33"/>
      <c r="TTG309" s="33"/>
      <c r="TTH309" s="33"/>
      <c r="TTI309" s="37"/>
      <c r="TTJ309" s="208"/>
      <c r="TTK309" s="207"/>
      <c r="TTL309" s="204"/>
      <c r="TTM309" s="35"/>
      <c r="TTN309" s="203"/>
      <c r="TTO309" s="203"/>
      <c r="TTP309" s="36"/>
      <c r="TTQ309" s="36"/>
      <c r="TTR309" s="203"/>
      <c r="TTS309" s="33"/>
      <c r="TTT309" s="33"/>
      <c r="TTU309" s="33"/>
      <c r="TTV309" s="33"/>
      <c r="TTW309" s="33"/>
      <c r="TTX309" s="33"/>
      <c r="TTY309" s="37"/>
      <c r="TTZ309" s="208"/>
      <c r="TUA309" s="207"/>
      <c r="TUB309" s="204"/>
      <c r="TUC309" s="35"/>
      <c r="TUD309" s="203"/>
      <c r="TUE309" s="203"/>
      <c r="TUF309" s="36"/>
      <c r="TUG309" s="36"/>
      <c r="TUH309" s="203"/>
      <c r="TUI309" s="33"/>
      <c r="TUJ309" s="33"/>
      <c r="TUK309" s="33"/>
      <c r="TUL309" s="33"/>
      <c r="TUM309" s="33"/>
      <c r="TUN309" s="33"/>
      <c r="TUO309" s="37"/>
      <c r="TUP309" s="208"/>
      <c r="TUQ309" s="207"/>
      <c r="TUR309" s="204"/>
      <c r="TUS309" s="35"/>
      <c r="TUT309" s="203"/>
      <c r="TUU309" s="203"/>
      <c r="TUV309" s="36"/>
      <c r="TUW309" s="36"/>
      <c r="TUX309" s="203"/>
      <c r="TUY309" s="33"/>
      <c r="TUZ309" s="33"/>
      <c r="TVA309" s="33"/>
      <c r="TVB309" s="33"/>
      <c r="TVC309" s="33"/>
      <c r="TVD309" s="33"/>
      <c r="TVE309" s="37"/>
      <c r="TVF309" s="208"/>
      <c r="TVG309" s="207"/>
      <c r="TVH309" s="204"/>
      <c r="TVI309" s="35"/>
      <c r="TVJ309" s="203"/>
      <c r="TVK309" s="203"/>
      <c r="TVL309" s="36"/>
      <c r="TVM309" s="36"/>
      <c r="TVN309" s="203"/>
      <c r="TVO309" s="33"/>
      <c r="TVP309" s="33"/>
      <c r="TVQ309" s="33"/>
      <c r="TVR309" s="33"/>
      <c r="TVS309" s="33"/>
      <c r="TVT309" s="33"/>
      <c r="TVU309" s="37"/>
      <c r="TVV309" s="208"/>
      <c r="TVW309" s="207"/>
      <c r="TVX309" s="204"/>
      <c r="TVY309" s="35"/>
      <c r="TVZ309" s="203"/>
      <c r="TWA309" s="203"/>
      <c r="TWB309" s="36"/>
      <c r="TWC309" s="36"/>
      <c r="TWD309" s="203"/>
      <c r="TWE309" s="33"/>
      <c r="TWF309" s="33"/>
      <c r="TWG309" s="33"/>
      <c r="TWH309" s="33"/>
      <c r="TWI309" s="33"/>
      <c r="TWJ309" s="33"/>
      <c r="TWK309" s="37"/>
      <c r="TWL309" s="208"/>
      <c r="TWM309" s="207"/>
      <c r="TWN309" s="204"/>
      <c r="TWO309" s="35"/>
      <c r="TWP309" s="203"/>
      <c r="TWQ309" s="203"/>
      <c r="TWR309" s="36"/>
      <c r="TWS309" s="36"/>
      <c r="TWT309" s="203"/>
      <c r="TWU309" s="33"/>
      <c r="TWV309" s="33"/>
      <c r="TWW309" s="33"/>
      <c r="TWX309" s="33"/>
      <c r="TWY309" s="33"/>
      <c r="TWZ309" s="33"/>
      <c r="TXA309" s="37"/>
      <c r="TXB309" s="208"/>
      <c r="TXC309" s="207"/>
      <c r="TXD309" s="204"/>
      <c r="TXE309" s="35"/>
      <c r="TXF309" s="203"/>
      <c r="TXG309" s="203"/>
      <c r="TXH309" s="36"/>
      <c r="TXI309" s="36"/>
      <c r="TXJ309" s="203"/>
      <c r="TXK309" s="33"/>
      <c r="TXL309" s="33"/>
      <c r="TXM309" s="33"/>
      <c r="TXN309" s="33"/>
      <c r="TXO309" s="33"/>
      <c r="TXP309" s="33"/>
      <c r="TXQ309" s="37"/>
      <c r="TXR309" s="208"/>
      <c r="TXS309" s="207"/>
      <c r="TXT309" s="204"/>
      <c r="TXU309" s="35"/>
      <c r="TXV309" s="203"/>
      <c r="TXW309" s="203"/>
      <c r="TXX309" s="36"/>
      <c r="TXY309" s="36"/>
      <c r="TXZ309" s="203"/>
      <c r="TYA309" s="33"/>
      <c r="TYB309" s="33"/>
      <c r="TYC309" s="33"/>
      <c r="TYD309" s="33"/>
      <c r="TYE309" s="33"/>
      <c r="TYF309" s="33"/>
      <c r="TYG309" s="37"/>
      <c r="TYH309" s="208"/>
      <c r="TYI309" s="207"/>
      <c r="TYJ309" s="204"/>
      <c r="TYK309" s="35"/>
      <c r="TYL309" s="203"/>
      <c r="TYM309" s="203"/>
      <c r="TYN309" s="36"/>
      <c r="TYO309" s="36"/>
      <c r="TYP309" s="203"/>
      <c r="TYQ309" s="33"/>
      <c r="TYR309" s="33"/>
      <c r="TYS309" s="33"/>
      <c r="TYT309" s="33"/>
      <c r="TYU309" s="33"/>
      <c r="TYV309" s="33"/>
      <c r="TYW309" s="37"/>
      <c r="TYX309" s="208"/>
      <c r="TYY309" s="207"/>
      <c r="TYZ309" s="204"/>
      <c r="TZA309" s="35"/>
      <c r="TZB309" s="203"/>
      <c r="TZC309" s="203"/>
      <c r="TZD309" s="36"/>
      <c r="TZE309" s="36"/>
      <c r="TZF309" s="203"/>
      <c r="TZG309" s="33"/>
      <c r="TZH309" s="33"/>
      <c r="TZI309" s="33"/>
      <c r="TZJ309" s="33"/>
      <c r="TZK309" s="33"/>
      <c r="TZL309" s="33"/>
      <c r="TZM309" s="37"/>
      <c r="TZN309" s="208"/>
      <c r="TZO309" s="207"/>
      <c r="TZP309" s="204"/>
      <c r="TZQ309" s="35"/>
      <c r="TZR309" s="203"/>
      <c r="TZS309" s="203"/>
      <c r="TZT309" s="36"/>
      <c r="TZU309" s="36"/>
      <c r="TZV309" s="203"/>
      <c r="TZW309" s="33"/>
      <c r="TZX309" s="33"/>
      <c r="TZY309" s="33"/>
      <c r="TZZ309" s="33"/>
      <c r="UAA309" s="33"/>
      <c r="UAB309" s="33"/>
      <c r="UAC309" s="37"/>
      <c r="UAD309" s="208"/>
      <c r="UAE309" s="207"/>
      <c r="UAF309" s="204"/>
      <c r="UAG309" s="35"/>
      <c r="UAH309" s="203"/>
      <c r="UAI309" s="203"/>
      <c r="UAJ309" s="36"/>
      <c r="UAK309" s="36"/>
      <c r="UAL309" s="203"/>
      <c r="UAM309" s="33"/>
      <c r="UAN309" s="33"/>
      <c r="UAO309" s="33"/>
      <c r="UAP309" s="33"/>
      <c r="UAQ309" s="33"/>
      <c r="UAR309" s="33"/>
      <c r="UAS309" s="37"/>
      <c r="UAT309" s="208"/>
      <c r="UAU309" s="207"/>
      <c r="UAV309" s="204"/>
      <c r="UAW309" s="35"/>
      <c r="UAX309" s="203"/>
      <c r="UAY309" s="203"/>
      <c r="UAZ309" s="36"/>
      <c r="UBA309" s="36"/>
      <c r="UBB309" s="203"/>
      <c r="UBC309" s="33"/>
      <c r="UBD309" s="33"/>
      <c r="UBE309" s="33"/>
      <c r="UBF309" s="33"/>
      <c r="UBG309" s="33"/>
      <c r="UBH309" s="33"/>
      <c r="UBI309" s="37"/>
      <c r="UBJ309" s="208"/>
      <c r="UBK309" s="207"/>
      <c r="UBL309" s="204"/>
      <c r="UBM309" s="35"/>
      <c r="UBN309" s="203"/>
      <c r="UBO309" s="203"/>
      <c r="UBP309" s="36"/>
      <c r="UBQ309" s="36"/>
      <c r="UBR309" s="203"/>
      <c r="UBS309" s="33"/>
      <c r="UBT309" s="33"/>
      <c r="UBU309" s="33"/>
      <c r="UBV309" s="33"/>
      <c r="UBW309" s="33"/>
      <c r="UBX309" s="33"/>
      <c r="UBY309" s="37"/>
      <c r="UBZ309" s="208"/>
      <c r="UCA309" s="207"/>
      <c r="UCB309" s="204"/>
      <c r="UCC309" s="35"/>
      <c r="UCD309" s="203"/>
      <c r="UCE309" s="203"/>
      <c r="UCF309" s="36"/>
      <c r="UCG309" s="36"/>
      <c r="UCH309" s="203"/>
      <c r="UCI309" s="33"/>
      <c r="UCJ309" s="33"/>
      <c r="UCK309" s="33"/>
      <c r="UCL309" s="33"/>
      <c r="UCM309" s="33"/>
      <c r="UCN309" s="33"/>
      <c r="UCO309" s="37"/>
      <c r="UCP309" s="208"/>
      <c r="UCQ309" s="207"/>
      <c r="UCR309" s="204"/>
      <c r="UCS309" s="35"/>
      <c r="UCT309" s="203"/>
      <c r="UCU309" s="203"/>
      <c r="UCV309" s="36"/>
      <c r="UCW309" s="36"/>
      <c r="UCX309" s="203"/>
      <c r="UCY309" s="33"/>
      <c r="UCZ309" s="33"/>
      <c r="UDA309" s="33"/>
      <c r="UDB309" s="33"/>
      <c r="UDC309" s="33"/>
      <c r="UDD309" s="33"/>
      <c r="UDE309" s="37"/>
      <c r="UDF309" s="208"/>
      <c r="UDG309" s="207"/>
      <c r="UDH309" s="204"/>
      <c r="UDI309" s="35"/>
      <c r="UDJ309" s="203"/>
      <c r="UDK309" s="203"/>
      <c r="UDL309" s="36"/>
      <c r="UDM309" s="36"/>
      <c r="UDN309" s="203"/>
      <c r="UDO309" s="33"/>
      <c r="UDP309" s="33"/>
      <c r="UDQ309" s="33"/>
      <c r="UDR309" s="33"/>
      <c r="UDS309" s="33"/>
      <c r="UDT309" s="33"/>
      <c r="UDU309" s="37"/>
      <c r="UDV309" s="208"/>
      <c r="UDW309" s="207"/>
      <c r="UDX309" s="204"/>
      <c r="UDY309" s="35"/>
      <c r="UDZ309" s="203"/>
      <c r="UEA309" s="203"/>
      <c r="UEB309" s="36"/>
      <c r="UEC309" s="36"/>
      <c r="UED309" s="203"/>
      <c r="UEE309" s="33"/>
      <c r="UEF309" s="33"/>
      <c r="UEG309" s="33"/>
      <c r="UEH309" s="33"/>
      <c r="UEI309" s="33"/>
      <c r="UEJ309" s="33"/>
      <c r="UEK309" s="37"/>
      <c r="UEL309" s="208"/>
      <c r="UEM309" s="207"/>
      <c r="UEN309" s="204"/>
      <c r="UEO309" s="35"/>
      <c r="UEP309" s="203"/>
      <c r="UEQ309" s="203"/>
      <c r="UER309" s="36"/>
      <c r="UES309" s="36"/>
      <c r="UET309" s="203"/>
      <c r="UEU309" s="33"/>
      <c r="UEV309" s="33"/>
      <c r="UEW309" s="33"/>
      <c r="UEX309" s="33"/>
      <c r="UEY309" s="33"/>
      <c r="UEZ309" s="33"/>
      <c r="UFA309" s="37"/>
      <c r="UFB309" s="208"/>
      <c r="UFC309" s="207"/>
      <c r="UFD309" s="204"/>
      <c r="UFE309" s="35"/>
      <c r="UFF309" s="203"/>
      <c r="UFG309" s="203"/>
      <c r="UFH309" s="36"/>
      <c r="UFI309" s="36"/>
      <c r="UFJ309" s="203"/>
      <c r="UFK309" s="33"/>
      <c r="UFL309" s="33"/>
      <c r="UFM309" s="33"/>
      <c r="UFN309" s="33"/>
      <c r="UFO309" s="33"/>
      <c r="UFP309" s="33"/>
      <c r="UFQ309" s="37"/>
      <c r="UFR309" s="208"/>
      <c r="UFS309" s="207"/>
      <c r="UFT309" s="204"/>
      <c r="UFU309" s="35"/>
      <c r="UFV309" s="203"/>
      <c r="UFW309" s="203"/>
      <c r="UFX309" s="36"/>
      <c r="UFY309" s="36"/>
      <c r="UFZ309" s="203"/>
      <c r="UGA309" s="33"/>
      <c r="UGB309" s="33"/>
      <c r="UGC309" s="33"/>
      <c r="UGD309" s="33"/>
      <c r="UGE309" s="33"/>
      <c r="UGF309" s="33"/>
      <c r="UGG309" s="37"/>
      <c r="UGH309" s="208"/>
      <c r="UGI309" s="207"/>
      <c r="UGJ309" s="204"/>
      <c r="UGK309" s="35"/>
      <c r="UGL309" s="203"/>
      <c r="UGM309" s="203"/>
      <c r="UGN309" s="36"/>
      <c r="UGO309" s="36"/>
      <c r="UGP309" s="203"/>
      <c r="UGQ309" s="33"/>
      <c r="UGR309" s="33"/>
      <c r="UGS309" s="33"/>
      <c r="UGT309" s="33"/>
      <c r="UGU309" s="33"/>
      <c r="UGV309" s="33"/>
      <c r="UGW309" s="37"/>
      <c r="UGX309" s="208"/>
      <c r="UGY309" s="207"/>
      <c r="UGZ309" s="204"/>
      <c r="UHA309" s="35"/>
      <c r="UHB309" s="203"/>
      <c r="UHC309" s="203"/>
      <c r="UHD309" s="36"/>
      <c r="UHE309" s="36"/>
      <c r="UHF309" s="203"/>
      <c r="UHG309" s="33"/>
      <c r="UHH309" s="33"/>
      <c r="UHI309" s="33"/>
      <c r="UHJ309" s="33"/>
      <c r="UHK309" s="33"/>
      <c r="UHL309" s="33"/>
      <c r="UHM309" s="37"/>
      <c r="UHN309" s="208"/>
      <c r="UHO309" s="207"/>
      <c r="UHP309" s="204"/>
      <c r="UHQ309" s="35"/>
      <c r="UHR309" s="203"/>
      <c r="UHS309" s="203"/>
      <c r="UHT309" s="36"/>
      <c r="UHU309" s="36"/>
      <c r="UHV309" s="203"/>
      <c r="UHW309" s="33"/>
      <c r="UHX309" s="33"/>
      <c r="UHY309" s="33"/>
      <c r="UHZ309" s="33"/>
      <c r="UIA309" s="33"/>
      <c r="UIB309" s="33"/>
      <c r="UIC309" s="37"/>
      <c r="UID309" s="208"/>
      <c r="UIE309" s="207"/>
      <c r="UIF309" s="204"/>
      <c r="UIG309" s="35"/>
      <c r="UIH309" s="203"/>
      <c r="UII309" s="203"/>
      <c r="UIJ309" s="36"/>
      <c r="UIK309" s="36"/>
      <c r="UIL309" s="203"/>
      <c r="UIM309" s="33"/>
      <c r="UIN309" s="33"/>
      <c r="UIO309" s="33"/>
      <c r="UIP309" s="33"/>
      <c r="UIQ309" s="33"/>
      <c r="UIR309" s="33"/>
      <c r="UIS309" s="37"/>
      <c r="UIT309" s="208"/>
      <c r="UIU309" s="207"/>
      <c r="UIV309" s="204"/>
      <c r="UIW309" s="35"/>
      <c r="UIX309" s="203"/>
      <c r="UIY309" s="203"/>
      <c r="UIZ309" s="36"/>
      <c r="UJA309" s="36"/>
      <c r="UJB309" s="203"/>
      <c r="UJC309" s="33"/>
      <c r="UJD309" s="33"/>
      <c r="UJE309" s="33"/>
      <c r="UJF309" s="33"/>
      <c r="UJG309" s="33"/>
      <c r="UJH309" s="33"/>
      <c r="UJI309" s="37"/>
      <c r="UJJ309" s="208"/>
      <c r="UJK309" s="207"/>
      <c r="UJL309" s="204"/>
      <c r="UJM309" s="35"/>
      <c r="UJN309" s="203"/>
      <c r="UJO309" s="203"/>
      <c r="UJP309" s="36"/>
      <c r="UJQ309" s="36"/>
      <c r="UJR309" s="203"/>
      <c r="UJS309" s="33"/>
      <c r="UJT309" s="33"/>
      <c r="UJU309" s="33"/>
      <c r="UJV309" s="33"/>
      <c r="UJW309" s="33"/>
      <c r="UJX309" s="33"/>
      <c r="UJY309" s="37"/>
      <c r="UJZ309" s="208"/>
      <c r="UKA309" s="207"/>
      <c r="UKB309" s="204"/>
      <c r="UKC309" s="35"/>
      <c r="UKD309" s="203"/>
      <c r="UKE309" s="203"/>
      <c r="UKF309" s="36"/>
      <c r="UKG309" s="36"/>
      <c r="UKH309" s="203"/>
      <c r="UKI309" s="33"/>
      <c r="UKJ309" s="33"/>
      <c r="UKK309" s="33"/>
      <c r="UKL309" s="33"/>
      <c r="UKM309" s="33"/>
      <c r="UKN309" s="33"/>
      <c r="UKO309" s="37"/>
      <c r="UKP309" s="208"/>
      <c r="UKQ309" s="207"/>
      <c r="UKR309" s="204"/>
      <c r="UKS309" s="35"/>
      <c r="UKT309" s="203"/>
      <c r="UKU309" s="203"/>
      <c r="UKV309" s="36"/>
      <c r="UKW309" s="36"/>
      <c r="UKX309" s="203"/>
      <c r="UKY309" s="33"/>
      <c r="UKZ309" s="33"/>
      <c r="ULA309" s="33"/>
      <c r="ULB309" s="33"/>
      <c r="ULC309" s="33"/>
      <c r="ULD309" s="33"/>
      <c r="ULE309" s="37"/>
      <c r="ULF309" s="208"/>
      <c r="ULG309" s="207"/>
      <c r="ULH309" s="204"/>
      <c r="ULI309" s="35"/>
      <c r="ULJ309" s="203"/>
      <c r="ULK309" s="203"/>
      <c r="ULL309" s="36"/>
      <c r="ULM309" s="36"/>
      <c r="ULN309" s="203"/>
      <c r="ULO309" s="33"/>
      <c r="ULP309" s="33"/>
      <c r="ULQ309" s="33"/>
      <c r="ULR309" s="33"/>
      <c r="ULS309" s="33"/>
      <c r="ULT309" s="33"/>
      <c r="ULU309" s="37"/>
      <c r="ULV309" s="208"/>
      <c r="ULW309" s="207"/>
      <c r="ULX309" s="204"/>
      <c r="ULY309" s="35"/>
      <c r="ULZ309" s="203"/>
      <c r="UMA309" s="203"/>
      <c r="UMB309" s="36"/>
      <c r="UMC309" s="36"/>
      <c r="UMD309" s="203"/>
      <c r="UME309" s="33"/>
      <c r="UMF309" s="33"/>
      <c r="UMG309" s="33"/>
      <c r="UMH309" s="33"/>
      <c r="UMI309" s="33"/>
      <c r="UMJ309" s="33"/>
      <c r="UMK309" s="37"/>
      <c r="UML309" s="208"/>
      <c r="UMM309" s="207"/>
      <c r="UMN309" s="204"/>
      <c r="UMO309" s="35"/>
      <c r="UMP309" s="203"/>
      <c r="UMQ309" s="203"/>
      <c r="UMR309" s="36"/>
      <c r="UMS309" s="36"/>
      <c r="UMT309" s="203"/>
      <c r="UMU309" s="33"/>
      <c r="UMV309" s="33"/>
      <c r="UMW309" s="33"/>
      <c r="UMX309" s="33"/>
      <c r="UMY309" s="33"/>
      <c r="UMZ309" s="33"/>
      <c r="UNA309" s="37"/>
      <c r="UNB309" s="208"/>
      <c r="UNC309" s="207"/>
      <c r="UND309" s="204"/>
      <c r="UNE309" s="35"/>
      <c r="UNF309" s="203"/>
      <c r="UNG309" s="203"/>
      <c r="UNH309" s="36"/>
      <c r="UNI309" s="36"/>
      <c r="UNJ309" s="203"/>
      <c r="UNK309" s="33"/>
      <c r="UNL309" s="33"/>
      <c r="UNM309" s="33"/>
      <c r="UNN309" s="33"/>
      <c r="UNO309" s="33"/>
      <c r="UNP309" s="33"/>
      <c r="UNQ309" s="37"/>
      <c r="UNR309" s="208"/>
      <c r="UNS309" s="207"/>
      <c r="UNT309" s="204"/>
      <c r="UNU309" s="35"/>
      <c r="UNV309" s="203"/>
      <c r="UNW309" s="203"/>
      <c r="UNX309" s="36"/>
      <c r="UNY309" s="36"/>
      <c r="UNZ309" s="203"/>
      <c r="UOA309" s="33"/>
      <c r="UOB309" s="33"/>
      <c r="UOC309" s="33"/>
      <c r="UOD309" s="33"/>
      <c r="UOE309" s="33"/>
      <c r="UOF309" s="33"/>
      <c r="UOG309" s="37"/>
      <c r="UOH309" s="208"/>
      <c r="UOI309" s="207"/>
      <c r="UOJ309" s="204"/>
      <c r="UOK309" s="35"/>
      <c r="UOL309" s="203"/>
      <c r="UOM309" s="203"/>
      <c r="UON309" s="36"/>
      <c r="UOO309" s="36"/>
      <c r="UOP309" s="203"/>
      <c r="UOQ309" s="33"/>
      <c r="UOR309" s="33"/>
      <c r="UOS309" s="33"/>
      <c r="UOT309" s="33"/>
      <c r="UOU309" s="33"/>
      <c r="UOV309" s="33"/>
      <c r="UOW309" s="37"/>
      <c r="UOX309" s="208"/>
      <c r="UOY309" s="207"/>
      <c r="UOZ309" s="204"/>
      <c r="UPA309" s="35"/>
      <c r="UPB309" s="203"/>
      <c r="UPC309" s="203"/>
      <c r="UPD309" s="36"/>
      <c r="UPE309" s="36"/>
      <c r="UPF309" s="203"/>
      <c r="UPG309" s="33"/>
      <c r="UPH309" s="33"/>
      <c r="UPI309" s="33"/>
      <c r="UPJ309" s="33"/>
      <c r="UPK309" s="33"/>
      <c r="UPL309" s="33"/>
      <c r="UPM309" s="37"/>
      <c r="UPN309" s="208"/>
      <c r="UPO309" s="207"/>
      <c r="UPP309" s="204"/>
      <c r="UPQ309" s="35"/>
      <c r="UPR309" s="203"/>
      <c r="UPS309" s="203"/>
      <c r="UPT309" s="36"/>
      <c r="UPU309" s="36"/>
      <c r="UPV309" s="203"/>
      <c r="UPW309" s="33"/>
      <c r="UPX309" s="33"/>
      <c r="UPY309" s="33"/>
      <c r="UPZ309" s="33"/>
      <c r="UQA309" s="33"/>
      <c r="UQB309" s="33"/>
      <c r="UQC309" s="37"/>
      <c r="UQD309" s="208"/>
      <c r="UQE309" s="207"/>
      <c r="UQF309" s="204"/>
      <c r="UQG309" s="35"/>
      <c r="UQH309" s="203"/>
      <c r="UQI309" s="203"/>
      <c r="UQJ309" s="36"/>
      <c r="UQK309" s="36"/>
      <c r="UQL309" s="203"/>
      <c r="UQM309" s="33"/>
      <c r="UQN309" s="33"/>
      <c r="UQO309" s="33"/>
      <c r="UQP309" s="33"/>
      <c r="UQQ309" s="33"/>
      <c r="UQR309" s="33"/>
      <c r="UQS309" s="37"/>
      <c r="UQT309" s="208"/>
      <c r="UQU309" s="207"/>
      <c r="UQV309" s="204"/>
      <c r="UQW309" s="35"/>
      <c r="UQX309" s="203"/>
      <c r="UQY309" s="203"/>
      <c r="UQZ309" s="36"/>
      <c r="URA309" s="36"/>
      <c r="URB309" s="203"/>
      <c r="URC309" s="33"/>
      <c r="URD309" s="33"/>
      <c r="URE309" s="33"/>
      <c r="URF309" s="33"/>
      <c r="URG309" s="33"/>
      <c r="URH309" s="33"/>
      <c r="URI309" s="37"/>
      <c r="URJ309" s="208"/>
      <c r="URK309" s="207"/>
      <c r="URL309" s="204"/>
      <c r="URM309" s="35"/>
      <c r="URN309" s="203"/>
      <c r="URO309" s="203"/>
      <c r="URP309" s="36"/>
      <c r="URQ309" s="36"/>
      <c r="URR309" s="203"/>
      <c r="URS309" s="33"/>
      <c r="URT309" s="33"/>
      <c r="URU309" s="33"/>
      <c r="URV309" s="33"/>
      <c r="URW309" s="33"/>
      <c r="URX309" s="33"/>
      <c r="URY309" s="37"/>
      <c r="URZ309" s="208"/>
      <c r="USA309" s="207"/>
      <c r="USB309" s="204"/>
      <c r="USC309" s="35"/>
      <c r="USD309" s="203"/>
      <c r="USE309" s="203"/>
      <c r="USF309" s="36"/>
      <c r="USG309" s="36"/>
      <c r="USH309" s="203"/>
      <c r="USI309" s="33"/>
      <c r="USJ309" s="33"/>
      <c r="USK309" s="33"/>
      <c r="USL309" s="33"/>
      <c r="USM309" s="33"/>
      <c r="USN309" s="33"/>
      <c r="USO309" s="37"/>
      <c r="USP309" s="208"/>
      <c r="USQ309" s="207"/>
      <c r="USR309" s="204"/>
      <c r="USS309" s="35"/>
      <c r="UST309" s="203"/>
      <c r="USU309" s="203"/>
      <c r="USV309" s="36"/>
      <c r="USW309" s="36"/>
      <c r="USX309" s="203"/>
      <c r="USY309" s="33"/>
      <c r="USZ309" s="33"/>
      <c r="UTA309" s="33"/>
      <c r="UTB309" s="33"/>
      <c r="UTC309" s="33"/>
      <c r="UTD309" s="33"/>
      <c r="UTE309" s="37"/>
      <c r="UTF309" s="208"/>
      <c r="UTG309" s="207"/>
      <c r="UTH309" s="204"/>
      <c r="UTI309" s="35"/>
      <c r="UTJ309" s="203"/>
      <c r="UTK309" s="203"/>
      <c r="UTL309" s="36"/>
      <c r="UTM309" s="36"/>
      <c r="UTN309" s="203"/>
      <c r="UTO309" s="33"/>
      <c r="UTP309" s="33"/>
      <c r="UTQ309" s="33"/>
      <c r="UTR309" s="33"/>
      <c r="UTS309" s="33"/>
      <c r="UTT309" s="33"/>
      <c r="UTU309" s="37"/>
      <c r="UTV309" s="208"/>
      <c r="UTW309" s="207"/>
      <c r="UTX309" s="204"/>
      <c r="UTY309" s="35"/>
      <c r="UTZ309" s="203"/>
      <c r="UUA309" s="203"/>
      <c r="UUB309" s="36"/>
      <c r="UUC309" s="36"/>
      <c r="UUD309" s="203"/>
      <c r="UUE309" s="33"/>
      <c r="UUF309" s="33"/>
      <c r="UUG309" s="33"/>
      <c r="UUH309" s="33"/>
      <c r="UUI309" s="33"/>
      <c r="UUJ309" s="33"/>
      <c r="UUK309" s="37"/>
      <c r="UUL309" s="208"/>
      <c r="UUM309" s="207"/>
      <c r="UUN309" s="204"/>
      <c r="UUO309" s="35"/>
      <c r="UUP309" s="203"/>
      <c r="UUQ309" s="203"/>
      <c r="UUR309" s="36"/>
      <c r="UUS309" s="36"/>
      <c r="UUT309" s="203"/>
      <c r="UUU309" s="33"/>
      <c r="UUV309" s="33"/>
      <c r="UUW309" s="33"/>
      <c r="UUX309" s="33"/>
      <c r="UUY309" s="33"/>
      <c r="UUZ309" s="33"/>
      <c r="UVA309" s="37"/>
      <c r="UVB309" s="208"/>
      <c r="UVC309" s="207"/>
      <c r="UVD309" s="204"/>
      <c r="UVE309" s="35"/>
      <c r="UVF309" s="203"/>
      <c r="UVG309" s="203"/>
      <c r="UVH309" s="36"/>
      <c r="UVI309" s="36"/>
      <c r="UVJ309" s="203"/>
      <c r="UVK309" s="33"/>
      <c r="UVL309" s="33"/>
      <c r="UVM309" s="33"/>
      <c r="UVN309" s="33"/>
      <c r="UVO309" s="33"/>
      <c r="UVP309" s="33"/>
      <c r="UVQ309" s="37"/>
      <c r="UVR309" s="208"/>
      <c r="UVS309" s="207"/>
      <c r="UVT309" s="204"/>
      <c r="UVU309" s="35"/>
      <c r="UVV309" s="203"/>
      <c r="UVW309" s="203"/>
      <c r="UVX309" s="36"/>
      <c r="UVY309" s="36"/>
      <c r="UVZ309" s="203"/>
      <c r="UWA309" s="33"/>
      <c r="UWB309" s="33"/>
      <c r="UWC309" s="33"/>
      <c r="UWD309" s="33"/>
      <c r="UWE309" s="33"/>
      <c r="UWF309" s="33"/>
      <c r="UWG309" s="37"/>
      <c r="UWH309" s="208"/>
      <c r="UWI309" s="207"/>
      <c r="UWJ309" s="204"/>
      <c r="UWK309" s="35"/>
      <c r="UWL309" s="203"/>
      <c r="UWM309" s="203"/>
      <c r="UWN309" s="36"/>
      <c r="UWO309" s="36"/>
      <c r="UWP309" s="203"/>
      <c r="UWQ309" s="33"/>
      <c r="UWR309" s="33"/>
      <c r="UWS309" s="33"/>
      <c r="UWT309" s="33"/>
      <c r="UWU309" s="33"/>
      <c r="UWV309" s="33"/>
      <c r="UWW309" s="37"/>
      <c r="UWX309" s="208"/>
      <c r="UWY309" s="207"/>
      <c r="UWZ309" s="204"/>
      <c r="UXA309" s="35"/>
      <c r="UXB309" s="203"/>
      <c r="UXC309" s="203"/>
      <c r="UXD309" s="36"/>
      <c r="UXE309" s="36"/>
      <c r="UXF309" s="203"/>
      <c r="UXG309" s="33"/>
      <c r="UXH309" s="33"/>
      <c r="UXI309" s="33"/>
      <c r="UXJ309" s="33"/>
      <c r="UXK309" s="33"/>
      <c r="UXL309" s="33"/>
      <c r="UXM309" s="37"/>
      <c r="UXN309" s="208"/>
      <c r="UXO309" s="207"/>
      <c r="UXP309" s="204"/>
      <c r="UXQ309" s="35"/>
      <c r="UXR309" s="203"/>
      <c r="UXS309" s="203"/>
      <c r="UXT309" s="36"/>
      <c r="UXU309" s="36"/>
      <c r="UXV309" s="203"/>
      <c r="UXW309" s="33"/>
      <c r="UXX309" s="33"/>
      <c r="UXY309" s="33"/>
      <c r="UXZ309" s="33"/>
      <c r="UYA309" s="33"/>
      <c r="UYB309" s="33"/>
      <c r="UYC309" s="37"/>
      <c r="UYD309" s="208"/>
      <c r="UYE309" s="207"/>
      <c r="UYF309" s="204"/>
      <c r="UYG309" s="35"/>
      <c r="UYH309" s="203"/>
      <c r="UYI309" s="203"/>
      <c r="UYJ309" s="36"/>
      <c r="UYK309" s="36"/>
      <c r="UYL309" s="203"/>
      <c r="UYM309" s="33"/>
      <c r="UYN309" s="33"/>
      <c r="UYO309" s="33"/>
      <c r="UYP309" s="33"/>
      <c r="UYQ309" s="33"/>
      <c r="UYR309" s="33"/>
      <c r="UYS309" s="37"/>
      <c r="UYT309" s="208"/>
      <c r="UYU309" s="207"/>
      <c r="UYV309" s="204"/>
      <c r="UYW309" s="35"/>
      <c r="UYX309" s="203"/>
      <c r="UYY309" s="203"/>
      <c r="UYZ309" s="36"/>
      <c r="UZA309" s="36"/>
      <c r="UZB309" s="203"/>
      <c r="UZC309" s="33"/>
      <c r="UZD309" s="33"/>
      <c r="UZE309" s="33"/>
      <c r="UZF309" s="33"/>
      <c r="UZG309" s="33"/>
      <c r="UZH309" s="33"/>
      <c r="UZI309" s="37"/>
      <c r="UZJ309" s="208"/>
      <c r="UZK309" s="207"/>
      <c r="UZL309" s="204"/>
      <c r="UZM309" s="35"/>
      <c r="UZN309" s="203"/>
      <c r="UZO309" s="203"/>
      <c r="UZP309" s="36"/>
      <c r="UZQ309" s="36"/>
      <c r="UZR309" s="203"/>
      <c r="UZS309" s="33"/>
      <c r="UZT309" s="33"/>
      <c r="UZU309" s="33"/>
      <c r="UZV309" s="33"/>
      <c r="UZW309" s="33"/>
      <c r="UZX309" s="33"/>
      <c r="UZY309" s="37"/>
      <c r="UZZ309" s="208"/>
      <c r="VAA309" s="207"/>
      <c r="VAB309" s="204"/>
      <c r="VAC309" s="35"/>
      <c r="VAD309" s="203"/>
      <c r="VAE309" s="203"/>
      <c r="VAF309" s="36"/>
      <c r="VAG309" s="36"/>
      <c r="VAH309" s="203"/>
      <c r="VAI309" s="33"/>
      <c r="VAJ309" s="33"/>
      <c r="VAK309" s="33"/>
      <c r="VAL309" s="33"/>
      <c r="VAM309" s="33"/>
      <c r="VAN309" s="33"/>
      <c r="VAO309" s="37"/>
      <c r="VAP309" s="208"/>
      <c r="VAQ309" s="207"/>
      <c r="VAR309" s="204"/>
      <c r="VAS309" s="35"/>
      <c r="VAT309" s="203"/>
      <c r="VAU309" s="203"/>
      <c r="VAV309" s="36"/>
      <c r="VAW309" s="36"/>
      <c r="VAX309" s="203"/>
      <c r="VAY309" s="33"/>
      <c r="VAZ309" s="33"/>
      <c r="VBA309" s="33"/>
      <c r="VBB309" s="33"/>
      <c r="VBC309" s="33"/>
      <c r="VBD309" s="33"/>
      <c r="VBE309" s="37"/>
      <c r="VBF309" s="208"/>
      <c r="VBG309" s="207"/>
      <c r="VBH309" s="204"/>
      <c r="VBI309" s="35"/>
      <c r="VBJ309" s="203"/>
      <c r="VBK309" s="203"/>
      <c r="VBL309" s="36"/>
      <c r="VBM309" s="36"/>
      <c r="VBN309" s="203"/>
      <c r="VBO309" s="33"/>
      <c r="VBP309" s="33"/>
      <c r="VBQ309" s="33"/>
      <c r="VBR309" s="33"/>
      <c r="VBS309" s="33"/>
      <c r="VBT309" s="33"/>
      <c r="VBU309" s="37"/>
      <c r="VBV309" s="208"/>
      <c r="VBW309" s="207"/>
      <c r="VBX309" s="204"/>
      <c r="VBY309" s="35"/>
      <c r="VBZ309" s="203"/>
      <c r="VCA309" s="203"/>
      <c r="VCB309" s="36"/>
      <c r="VCC309" s="36"/>
      <c r="VCD309" s="203"/>
      <c r="VCE309" s="33"/>
      <c r="VCF309" s="33"/>
      <c r="VCG309" s="33"/>
      <c r="VCH309" s="33"/>
      <c r="VCI309" s="33"/>
      <c r="VCJ309" s="33"/>
      <c r="VCK309" s="37"/>
      <c r="VCL309" s="208"/>
      <c r="VCM309" s="207"/>
      <c r="VCN309" s="204"/>
      <c r="VCO309" s="35"/>
      <c r="VCP309" s="203"/>
      <c r="VCQ309" s="203"/>
      <c r="VCR309" s="36"/>
      <c r="VCS309" s="36"/>
      <c r="VCT309" s="203"/>
      <c r="VCU309" s="33"/>
      <c r="VCV309" s="33"/>
      <c r="VCW309" s="33"/>
      <c r="VCX309" s="33"/>
      <c r="VCY309" s="33"/>
      <c r="VCZ309" s="33"/>
      <c r="VDA309" s="37"/>
      <c r="VDB309" s="208"/>
      <c r="VDC309" s="207"/>
      <c r="VDD309" s="204"/>
      <c r="VDE309" s="35"/>
      <c r="VDF309" s="203"/>
      <c r="VDG309" s="203"/>
      <c r="VDH309" s="36"/>
      <c r="VDI309" s="36"/>
      <c r="VDJ309" s="203"/>
      <c r="VDK309" s="33"/>
      <c r="VDL309" s="33"/>
      <c r="VDM309" s="33"/>
      <c r="VDN309" s="33"/>
      <c r="VDO309" s="33"/>
      <c r="VDP309" s="33"/>
      <c r="VDQ309" s="37"/>
      <c r="VDR309" s="208"/>
      <c r="VDS309" s="207"/>
      <c r="VDT309" s="204"/>
      <c r="VDU309" s="35"/>
      <c r="VDV309" s="203"/>
      <c r="VDW309" s="203"/>
      <c r="VDX309" s="36"/>
      <c r="VDY309" s="36"/>
      <c r="VDZ309" s="203"/>
      <c r="VEA309" s="33"/>
      <c r="VEB309" s="33"/>
      <c r="VEC309" s="33"/>
      <c r="VED309" s="33"/>
      <c r="VEE309" s="33"/>
      <c r="VEF309" s="33"/>
      <c r="VEG309" s="37"/>
      <c r="VEH309" s="208"/>
      <c r="VEI309" s="207"/>
      <c r="VEJ309" s="204"/>
      <c r="VEK309" s="35"/>
      <c r="VEL309" s="203"/>
      <c r="VEM309" s="203"/>
      <c r="VEN309" s="36"/>
      <c r="VEO309" s="36"/>
      <c r="VEP309" s="203"/>
      <c r="VEQ309" s="33"/>
      <c r="VER309" s="33"/>
      <c r="VES309" s="33"/>
      <c r="VET309" s="33"/>
      <c r="VEU309" s="33"/>
      <c r="VEV309" s="33"/>
      <c r="VEW309" s="37"/>
      <c r="VEX309" s="208"/>
      <c r="VEY309" s="207"/>
      <c r="VEZ309" s="204"/>
      <c r="VFA309" s="35"/>
      <c r="VFB309" s="203"/>
      <c r="VFC309" s="203"/>
      <c r="VFD309" s="36"/>
      <c r="VFE309" s="36"/>
      <c r="VFF309" s="203"/>
      <c r="VFG309" s="33"/>
      <c r="VFH309" s="33"/>
      <c r="VFI309" s="33"/>
      <c r="VFJ309" s="33"/>
      <c r="VFK309" s="33"/>
      <c r="VFL309" s="33"/>
      <c r="VFM309" s="37"/>
      <c r="VFN309" s="208"/>
      <c r="VFO309" s="207"/>
      <c r="VFP309" s="204"/>
      <c r="VFQ309" s="35"/>
      <c r="VFR309" s="203"/>
      <c r="VFS309" s="203"/>
      <c r="VFT309" s="36"/>
      <c r="VFU309" s="36"/>
      <c r="VFV309" s="203"/>
      <c r="VFW309" s="33"/>
      <c r="VFX309" s="33"/>
      <c r="VFY309" s="33"/>
      <c r="VFZ309" s="33"/>
      <c r="VGA309" s="33"/>
      <c r="VGB309" s="33"/>
      <c r="VGC309" s="37"/>
      <c r="VGD309" s="208"/>
      <c r="VGE309" s="207"/>
      <c r="VGF309" s="204"/>
      <c r="VGG309" s="35"/>
      <c r="VGH309" s="203"/>
      <c r="VGI309" s="203"/>
      <c r="VGJ309" s="36"/>
      <c r="VGK309" s="36"/>
      <c r="VGL309" s="203"/>
      <c r="VGM309" s="33"/>
      <c r="VGN309" s="33"/>
      <c r="VGO309" s="33"/>
      <c r="VGP309" s="33"/>
      <c r="VGQ309" s="33"/>
      <c r="VGR309" s="33"/>
      <c r="VGS309" s="37"/>
      <c r="VGT309" s="208"/>
      <c r="VGU309" s="207"/>
      <c r="VGV309" s="204"/>
      <c r="VGW309" s="35"/>
      <c r="VGX309" s="203"/>
      <c r="VGY309" s="203"/>
      <c r="VGZ309" s="36"/>
      <c r="VHA309" s="36"/>
      <c r="VHB309" s="203"/>
      <c r="VHC309" s="33"/>
      <c r="VHD309" s="33"/>
      <c r="VHE309" s="33"/>
      <c r="VHF309" s="33"/>
      <c r="VHG309" s="33"/>
      <c r="VHH309" s="33"/>
      <c r="VHI309" s="37"/>
      <c r="VHJ309" s="208"/>
      <c r="VHK309" s="207"/>
      <c r="VHL309" s="204"/>
      <c r="VHM309" s="35"/>
      <c r="VHN309" s="203"/>
      <c r="VHO309" s="203"/>
      <c r="VHP309" s="36"/>
      <c r="VHQ309" s="36"/>
      <c r="VHR309" s="203"/>
      <c r="VHS309" s="33"/>
      <c r="VHT309" s="33"/>
      <c r="VHU309" s="33"/>
      <c r="VHV309" s="33"/>
      <c r="VHW309" s="33"/>
      <c r="VHX309" s="33"/>
      <c r="VHY309" s="37"/>
      <c r="VHZ309" s="208"/>
      <c r="VIA309" s="207"/>
      <c r="VIB309" s="204"/>
      <c r="VIC309" s="35"/>
      <c r="VID309" s="203"/>
      <c r="VIE309" s="203"/>
      <c r="VIF309" s="36"/>
      <c r="VIG309" s="36"/>
      <c r="VIH309" s="203"/>
      <c r="VII309" s="33"/>
      <c r="VIJ309" s="33"/>
      <c r="VIK309" s="33"/>
      <c r="VIL309" s="33"/>
      <c r="VIM309" s="33"/>
      <c r="VIN309" s="33"/>
      <c r="VIO309" s="37"/>
      <c r="VIP309" s="208"/>
      <c r="VIQ309" s="207"/>
      <c r="VIR309" s="204"/>
      <c r="VIS309" s="35"/>
      <c r="VIT309" s="203"/>
      <c r="VIU309" s="203"/>
      <c r="VIV309" s="36"/>
      <c r="VIW309" s="36"/>
      <c r="VIX309" s="203"/>
      <c r="VIY309" s="33"/>
      <c r="VIZ309" s="33"/>
      <c r="VJA309" s="33"/>
      <c r="VJB309" s="33"/>
      <c r="VJC309" s="33"/>
      <c r="VJD309" s="33"/>
      <c r="VJE309" s="37"/>
      <c r="VJF309" s="208"/>
      <c r="VJG309" s="207"/>
      <c r="VJH309" s="204"/>
      <c r="VJI309" s="35"/>
      <c r="VJJ309" s="203"/>
      <c r="VJK309" s="203"/>
      <c r="VJL309" s="36"/>
      <c r="VJM309" s="36"/>
      <c r="VJN309" s="203"/>
      <c r="VJO309" s="33"/>
      <c r="VJP309" s="33"/>
      <c r="VJQ309" s="33"/>
      <c r="VJR309" s="33"/>
      <c r="VJS309" s="33"/>
      <c r="VJT309" s="33"/>
      <c r="VJU309" s="37"/>
      <c r="VJV309" s="208"/>
      <c r="VJW309" s="207"/>
      <c r="VJX309" s="204"/>
      <c r="VJY309" s="35"/>
      <c r="VJZ309" s="203"/>
      <c r="VKA309" s="203"/>
      <c r="VKB309" s="36"/>
      <c r="VKC309" s="36"/>
      <c r="VKD309" s="203"/>
      <c r="VKE309" s="33"/>
      <c r="VKF309" s="33"/>
      <c r="VKG309" s="33"/>
      <c r="VKH309" s="33"/>
      <c r="VKI309" s="33"/>
      <c r="VKJ309" s="33"/>
      <c r="VKK309" s="37"/>
      <c r="VKL309" s="208"/>
      <c r="VKM309" s="207"/>
      <c r="VKN309" s="204"/>
      <c r="VKO309" s="35"/>
      <c r="VKP309" s="203"/>
      <c r="VKQ309" s="203"/>
      <c r="VKR309" s="36"/>
      <c r="VKS309" s="36"/>
      <c r="VKT309" s="203"/>
      <c r="VKU309" s="33"/>
      <c r="VKV309" s="33"/>
      <c r="VKW309" s="33"/>
      <c r="VKX309" s="33"/>
      <c r="VKY309" s="33"/>
      <c r="VKZ309" s="33"/>
      <c r="VLA309" s="37"/>
      <c r="VLB309" s="208"/>
      <c r="VLC309" s="207"/>
      <c r="VLD309" s="204"/>
      <c r="VLE309" s="35"/>
      <c r="VLF309" s="203"/>
      <c r="VLG309" s="203"/>
      <c r="VLH309" s="36"/>
      <c r="VLI309" s="36"/>
      <c r="VLJ309" s="203"/>
      <c r="VLK309" s="33"/>
      <c r="VLL309" s="33"/>
      <c r="VLM309" s="33"/>
      <c r="VLN309" s="33"/>
      <c r="VLO309" s="33"/>
      <c r="VLP309" s="33"/>
      <c r="VLQ309" s="37"/>
      <c r="VLR309" s="208"/>
      <c r="VLS309" s="207"/>
      <c r="VLT309" s="204"/>
      <c r="VLU309" s="35"/>
      <c r="VLV309" s="203"/>
      <c r="VLW309" s="203"/>
      <c r="VLX309" s="36"/>
      <c r="VLY309" s="36"/>
      <c r="VLZ309" s="203"/>
      <c r="VMA309" s="33"/>
      <c r="VMB309" s="33"/>
      <c r="VMC309" s="33"/>
      <c r="VMD309" s="33"/>
      <c r="VME309" s="33"/>
      <c r="VMF309" s="33"/>
      <c r="VMG309" s="37"/>
      <c r="VMH309" s="208"/>
      <c r="VMI309" s="207"/>
      <c r="VMJ309" s="204"/>
      <c r="VMK309" s="35"/>
      <c r="VML309" s="203"/>
      <c r="VMM309" s="203"/>
      <c r="VMN309" s="36"/>
      <c r="VMO309" s="36"/>
      <c r="VMP309" s="203"/>
      <c r="VMQ309" s="33"/>
      <c r="VMR309" s="33"/>
      <c r="VMS309" s="33"/>
      <c r="VMT309" s="33"/>
      <c r="VMU309" s="33"/>
      <c r="VMV309" s="33"/>
      <c r="VMW309" s="37"/>
      <c r="VMX309" s="208"/>
      <c r="VMY309" s="207"/>
      <c r="VMZ309" s="204"/>
      <c r="VNA309" s="35"/>
      <c r="VNB309" s="203"/>
      <c r="VNC309" s="203"/>
      <c r="VND309" s="36"/>
      <c r="VNE309" s="36"/>
      <c r="VNF309" s="203"/>
      <c r="VNG309" s="33"/>
      <c r="VNH309" s="33"/>
      <c r="VNI309" s="33"/>
      <c r="VNJ309" s="33"/>
      <c r="VNK309" s="33"/>
      <c r="VNL309" s="33"/>
      <c r="VNM309" s="37"/>
      <c r="VNN309" s="208"/>
      <c r="VNO309" s="207"/>
      <c r="VNP309" s="204"/>
      <c r="VNQ309" s="35"/>
      <c r="VNR309" s="203"/>
      <c r="VNS309" s="203"/>
      <c r="VNT309" s="36"/>
      <c r="VNU309" s="36"/>
      <c r="VNV309" s="203"/>
      <c r="VNW309" s="33"/>
      <c r="VNX309" s="33"/>
      <c r="VNY309" s="33"/>
      <c r="VNZ309" s="33"/>
      <c r="VOA309" s="33"/>
      <c r="VOB309" s="33"/>
      <c r="VOC309" s="37"/>
      <c r="VOD309" s="208"/>
      <c r="VOE309" s="207"/>
      <c r="VOF309" s="204"/>
      <c r="VOG309" s="35"/>
      <c r="VOH309" s="203"/>
      <c r="VOI309" s="203"/>
      <c r="VOJ309" s="36"/>
      <c r="VOK309" s="36"/>
      <c r="VOL309" s="203"/>
      <c r="VOM309" s="33"/>
      <c r="VON309" s="33"/>
      <c r="VOO309" s="33"/>
      <c r="VOP309" s="33"/>
      <c r="VOQ309" s="33"/>
      <c r="VOR309" s="33"/>
      <c r="VOS309" s="37"/>
      <c r="VOT309" s="208"/>
      <c r="VOU309" s="207"/>
      <c r="VOV309" s="204"/>
      <c r="VOW309" s="35"/>
      <c r="VOX309" s="203"/>
      <c r="VOY309" s="203"/>
      <c r="VOZ309" s="36"/>
      <c r="VPA309" s="36"/>
      <c r="VPB309" s="203"/>
      <c r="VPC309" s="33"/>
      <c r="VPD309" s="33"/>
      <c r="VPE309" s="33"/>
      <c r="VPF309" s="33"/>
      <c r="VPG309" s="33"/>
      <c r="VPH309" s="33"/>
      <c r="VPI309" s="37"/>
      <c r="VPJ309" s="208"/>
      <c r="VPK309" s="207"/>
      <c r="VPL309" s="204"/>
      <c r="VPM309" s="35"/>
      <c r="VPN309" s="203"/>
      <c r="VPO309" s="203"/>
      <c r="VPP309" s="36"/>
      <c r="VPQ309" s="36"/>
      <c r="VPR309" s="203"/>
      <c r="VPS309" s="33"/>
      <c r="VPT309" s="33"/>
      <c r="VPU309" s="33"/>
      <c r="VPV309" s="33"/>
      <c r="VPW309" s="33"/>
      <c r="VPX309" s="33"/>
      <c r="VPY309" s="37"/>
      <c r="VPZ309" s="208"/>
      <c r="VQA309" s="207"/>
      <c r="VQB309" s="204"/>
      <c r="VQC309" s="35"/>
      <c r="VQD309" s="203"/>
      <c r="VQE309" s="203"/>
      <c r="VQF309" s="36"/>
      <c r="VQG309" s="36"/>
      <c r="VQH309" s="203"/>
      <c r="VQI309" s="33"/>
      <c r="VQJ309" s="33"/>
      <c r="VQK309" s="33"/>
      <c r="VQL309" s="33"/>
      <c r="VQM309" s="33"/>
      <c r="VQN309" s="33"/>
      <c r="VQO309" s="37"/>
      <c r="VQP309" s="208"/>
      <c r="VQQ309" s="207"/>
      <c r="VQR309" s="204"/>
      <c r="VQS309" s="35"/>
      <c r="VQT309" s="203"/>
      <c r="VQU309" s="203"/>
      <c r="VQV309" s="36"/>
      <c r="VQW309" s="36"/>
      <c r="VQX309" s="203"/>
      <c r="VQY309" s="33"/>
      <c r="VQZ309" s="33"/>
      <c r="VRA309" s="33"/>
      <c r="VRB309" s="33"/>
      <c r="VRC309" s="33"/>
      <c r="VRD309" s="33"/>
      <c r="VRE309" s="37"/>
      <c r="VRF309" s="208"/>
      <c r="VRG309" s="207"/>
      <c r="VRH309" s="204"/>
      <c r="VRI309" s="35"/>
      <c r="VRJ309" s="203"/>
      <c r="VRK309" s="203"/>
      <c r="VRL309" s="36"/>
      <c r="VRM309" s="36"/>
      <c r="VRN309" s="203"/>
      <c r="VRO309" s="33"/>
      <c r="VRP309" s="33"/>
      <c r="VRQ309" s="33"/>
      <c r="VRR309" s="33"/>
      <c r="VRS309" s="33"/>
      <c r="VRT309" s="33"/>
      <c r="VRU309" s="37"/>
      <c r="VRV309" s="208"/>
      <c r="VRW309" s="207"/>
      <c r="VRX309" s="204"/>
      <c r="VRY309" s="35"/>
      <c r="VRZ309" s="203"/>
      <c r="VSA309" s="203"/>
      <c r="VSB309" s="36"/>
      <c r="VSC309" s="36"/>
      <c r="VSD309" s="203"/>
      <c r="VSE309" s="33"/>
      <c r="VSF309" s="33"/>
      <c r="VSG309" s="33"/>
      <c r="VSH309" s="33"/>
      <c r="VSI309" s="33"/>
      <c r="VSJ309" s="33"/>
      <c r="VSK309" s="37"/>
      <c r="VSL309" s="208"/>
      <c r="VSM309" s="207"/>
      <c r="VSN309" s="204"/>
      <c r="VSO309" s="35"/>
      <c r="VSP309" s="203"/>
      <c r="VSQ309" s="203"/>
      <c r="VSR309" s="36"/>
      <c r="VSS309" s="36"/>
      <c r="VST309" s="203"/>
      <c r="VSU309" s="33"/>
      <c r="VSV309" s="33"/>
      <c r="VSW309" s="33"/>
      <c r="VSX309" s="33"/>
      <c r="VSY309" s="33"/>
      <c r="VSZ309" s="33"/>
      <c r="VTA309" s="37"/>
      <c r="VTB309" s="208"/>
      <c r="VTC309" s="207"/>
      <c r="VTD309" s="204"/>
      <c r="VTE309" s="35"/>
      <c r="VTF309" s="203"/>
      <c r="VTG309" s="203"/>
      <c r="VTH309" s="36"/>
      <c r="VTI309" s="36"/>
      <c r="VTJ309" s="203"/>
      <c r="VTK309" s="33"/>
      <c r="VTL309" s="33"/>
      <c r="VTM309" s="33"/>
      <c r="VTN309" s="33"/>
      <c r="VTO309" s="33"/>
      <c r="VTP309" s="33"/>
      <c r="VTQ309" s="37"/>
      <c r="VTR309" s="208"/>
      <c r="VTS309" s="207"/>
      <c r="VTT309" s="204"/>
      <c r="VTU309" s="35"/>
      <c r="VTV309" s="203"/>
      <c r="VTW309" s="203"/>
      <c r="VTX309" s="36"/>
      <c r="VTY309" s="36"/>
      <c r="VTZ309" s="203"/>
      <c r="VUA309" s="33"/>
      <c r="VUB309" s="33"/>
      <c r="VUC309" s="33"/>
      <c r="VUD309" s="33"/>
      <c r="VUE309" s="33"/>
      <c r="VUF309" s="33"/>
      <c r="VUG309" s="37"/>
      <c r="VUH309" s="208"/>
      <c r="VUI309" s="207"/>
      <c r="VUJ309" s="204"/>
      <c r="VUK309" s="35"/>
      <c r="VUL309" s="203"/>
      <c r="VUM309" s="203"/>
      <c r="VUN309" s="36"/>
      <c r="VUO309" s="36"/>
      <c r="VUP309" s="203"/>
      <c r="VUQ309" s="33"/>
      <c r="VUR309" s="33"/>
      <c r="VUS309" s="33"/>
      <c r="VUT309" s="33"/>
      <c r="VUU309" s="33"/>
      <c r="VUV309" s="33"/>
      <c r="VUW309" s="37"/>
      <c r="VUX309" s="208"/>
      <c r="VUY309" s="207"/>
      <c r="VUZ309" s="204"/>
      <c r="VVA309" s="35"/>
      <c r="VVB309" s="203"/>
      <c r="VVC309" s="203"/>
      <c r="VVD309" s="36"/>
      <c r="VVE309" s="36"/>
      <c r="VVF309" s="203"/>
      <c r="VVG309" s="33"/>
      <c r="VVH309" s="33"/>
      <c r="VVI309" s="33"/>
      <c r="VVJ309" s="33"/>
      <c r="VVK309" s="33"/>
      <c r="VVL309" s="33"/>
      <c r="VVM309" s="37"/>
      <c r="VVN309" s="208"/>
      <c r="VVO309" s="207"/>
      <c r="VVP309" s="204"/>
      <c r="VVQ309" s="35"/>
      <c r="VVR309" s="203"/>
      <c r="VVS309" s="203"/>
      <c r="VVT309" s="36"/>
      <c r="VVU309" s="36"/>
      <c r="VVV309" s="203"/>
      <c r="VVW309" s="33"/>
      <c r="VVX309" s="33"/>
      <c r="VVY309" s="33"/>
      <c r="VVZ309" s="33"/>
      <c r="VWA309" s="33"/>
      <c r="VWB309" s="33"/>
      <c r="VWC309" s="37"/>
      <c r="VWD309" s="208"/>
      <c r="VWE309" s="207"/>
      <c r="VWF309" s="204"/>
      <c r="VWG309" s="35"/>
      <c r="VWH309" s="203"/>
      <c r="VWI309" s="203"/>
      <c r="VWJ309" s="36"/>
      <c r="VWK309" s="36"/>
      <c r="VWL309" s="203"/>
      <c r="VWM309" s="33"/>
      <c r="VWN309" s="33"/>
      <c r="VWO309" s="33"/>
      <c r="VWP309" s="33"/>
      <c r="VWQ309" s="33"/>
      <c r="VWR309" s="33"/>
      <c r="VWS309" s="37"/>
      <c r="VWT309" s="208"/>
      <c r="VWU309" s="207"/>
      <c r="VWV309" s="204"/>
      <c r="VWW309" s="35"/>
      <c r="VWX309" s="203"/>
      <c r="VWY309" s="203"/>
      <c r="VWZ309" s="36"/>
      <c r="VXA309" s="36"/>
      <c r="VXB309" s="203"/>
      <c r="VXC309" s="33"/>
      <c r="VXD309" s="33"/>
      <c r="VXE309" s="33"/>
      <c r="VXF309" s="33"/>
      <c r="VXG309" s="33"/>
      <c r="VXH309" s="33"/>
      <c r="VXI309" s="37"/>
      <c r="VXJ309" s="208"/>
      <c r="VXK309" s="207"/>
      <c r="VXL309" s="204"/>
      <c r="VXM309" s="35"/>
      <c r="VXN309" s="203"/>
      <c r="VXO309" s="203"/>
      <c r="VXP309" s="36"/>
      <c r="VXQ309" s="36"/>
      <c r="VXR309" s="203"/>
      <c r="VXS309" s="33"/>
      <c r="VXT309" s="33"/>
      <c r="VXU309" s="33"/>
      <c r="VXV309" s="33"/>
      <c r="VXW309" s="33"/>
      <c r="VXX309" s="33"/>
      <c r="VXY309" s="37"/>
      <c r="VXZ309" s="208"/>
      <c r="VYA309" s="207"/>
      <c r="VYB309" s="204"/>
      <c r="VYC309" s="35"/>
      <c r="VYD309" s="203"/>
      <c r="VYE309" s="203"/>
      <c r="VYF309" s="36"/>
      <c r="VYG309" s="36"/>
      <c r="VYH309" s="203"/>
      <c r="VYI309" s="33"/>
      <c r="VYJ309" s="33"/>
      <c r="VYK309" s="33"/>
      <c r="VYL309" s="33"/>
      <c r="VYM309" s="33"/>
      <c r="VYN309" s="33"/>
      <c r="VYO309" s="37"/>
      <c r="VYP309" s="208"/>
      <c r="VYQ309" s="207"/>
      <c r="VYR309" s="204"/>
      <c r="VYS309" s="35"/>
      <c r="VYT309" s="203"/>
      <c r="VYU309" s="203"/>
      <c r="VYV309" s="36"/>
      <c r="VYW309" s="36"/>
      <c r="VYX309" s="203"/>
      <c r="VYY309" s="33"/>
      <c r="VYZ309" s="33"/>
      <c r="VZA309" s="33"/>
      <c r="VZB309" s="33"/>
      <c r="VZC309" s="33"/>
      <c r="VZD309" s="33"/>
      <c r="VZE309" s="37"/>
      <c r="VZF309" s="208"/>
      <c r="VZG309" s="207"/>
      <c r="VZH309" s="204"/>
      <c r="VZI309" s="35"/>
      <c r="VZJ309" s="203"/>
      <c r="VZK309" s="203"/>
      <c r="VZL309" s="36"/>
      <c r="VZM309" s="36"/>
      <c r="VZN309" s="203"/>
      <c r="VZO309" s="33"/>
      <c r="VZP309" s="33"/>
      <c r="VZQ309" s="33"/>
      <c r="VZR309" s="33"/>
      <c r="VZS309" s="33"/>
      <c r="VZT309" s="33"/>
      <c r="VZU309" s="37"/>
      <c r="VZV309" s="208"/>
      <c r="VZW309" s="207"/>
      <c r="VZX309" s="204"/>
      <c r="VZY309" s="35"/>
      <c r="VZZ309" s="203"/>
      <c r="WAA309" s="203"/>
      <c r="WAB309" s="36"/>
      <c r="WAC309" s="36"/>
      <c r="WAD309" s="203"/>
      <c r="WAE309" s="33"/>
      <c r="WAF309" s="33"/>
      <c r="WAG309" s="33"/>
      <c r="WAH309" s="33"/>
      <c r="WAI309" s="33"/>
      <c r="WAJ309" s="33"/>
      <c r="WAK309" s="37"/>
      <c r="WAL309" s="208"/>
      <c r="WAM309" s="207"/>
      <c r="WAN309" s="204"/>
      <c r="WAO309" s="35"/>
      <c r="WAP309" s="203"/>
      <c r="WAQ309" s="203"/>
      <c r="WAR309" s="36"/>
      <c r="WAS309" s="36"/>
      <c r="WAT309" s="203"/>
      <c r="WAU309" s="33"/>
      <c r="WAV309" s="33"/>
      <c r="WAW309" s="33"/>
      <c r="WAX309" s="33"/>
      <c r="WAY309" s="33"/>
      <c r="WAZ309" s="33"/>
      <c r="WBA309" s="37"/>
      <c r="WBB309" s="208"/>
      <c r="WBC309" s="207"/>
      <c r="WBD309" s="204"/>
      <c r="WBE309" s="35"/>
      <c r="WBF309" s="203"/>
      <c r="WBG309" s="203"/>
      <c r="WBH309" s="36"/>
      <c r="WBI309" s="36"/>
      <c r="WBJ309" s="203"/>
      <c r="WBK309" s="33"/>
      <c r="WBL309" s="33"/>
      <c r="WBM309" s="33"/>
      <c r="WBN309" s="33"/>
      <c r="WBO309" s="33"/>
      <c r="WBP309" s="33"/>
      <c r="WBQ309" s="37"/>
      <c r="WBR309" s="208"/>
      <c r="WBS309" s="207"/>
      <c r="WBT309" s="204"/>
      <c r="WBU309" s="35"/>
      <c r="WBV309" s="203"/>
      <c r="WBW309" s="203"/>
      <c r="WBX309" s="36"/>
      <c r="WBY309" s="36"/>
      <c r="WBZ309" s="203"/>
      <c r="WCA309" s="33"/>
      <c r="WCB309" s="33"/>
      <c r="WCC309" s="33"/>
      <c r="WCD309" s="33"/>
      <c r="WCE309" s="33"/>
      <c r="WCF309" s="33"/>
      <c r="WCG309" s="37"/>
      <c r="WCH309" s="208"/>
      <c r="WCI309" s="207"/>
      <c r="WCJ309" s="204"/>
      <c r="WCK309" s="35"/>
      <c r="WCL309" s="203"/>
      <c r="WCM309" s="203"/>
      <c r="WCN309" s="36"/>
      <c r="WCO309" s="36"/>
      <c r="WCP309" s="203"/>
      <c r="WCQ309" s="33"/>
      <c r="WCR309" s="33"/>
      <c r="WCS309" s="33"/>
      <c r="WCT309" s="33"/>
      <c r="WCU309" s="33"/>
      <c r="WCV309" s="33"/>
      <c r="WCW309" s="37"/>
      <c r="WCX309" s="208"/>
      <c r="WCY309" s="207"/>
      <c r="WCZ309" s="204"/>
      <c r="WDA309" s="35"/>
      <c r="WDB309" s="203"/>
      <c r="WDC309" s="203"/>
      <c r="WDD309" s="36"/>
      <c r="WDE309" s="36"/>
      <c r="WDF309" s="203"/>
      <c r="WDG309" s="33"/>
      <c r="WDH309" s="33"/>
      <c r="WDI309" s="33"/>
      <c r="WDJ309" s="33"/>
      <c r="WDK309" s="33"/>
      <c r="WDL309" s="33"/>
      <c r="WDM309" s="37"/>
      <c r="WDN309" s="208"/>
      <c r="WDO309" s="207"/>
      <c r="WDP309" s="204"/>
      <c r="WDQ309" s="35"/>
      <c r="WDR309" s="203"/>
      <c r="WDS309" s="203"/>
      <c r="WDT309" s="36"/>
      <c r="WDU309" s="36"/>
      <c r="WDV309" s="203"/>
      <c r="WDW309" s="33"/>
      <c r="WDX309" s="33"/>
      <c r="WDY309" s="33"/>
      <c r="WDZ309" s="33"/>
      <c r="WEA309" s="33"/>
      <c r="WEB309" s="33"/>
      <c r="WEC309" s="37"/>
      <c r="WED309" s="208"/>
      <c r="WEE309" s="207"/>
      <c r="WEF309" s="204"/>
      <c r="WEG309" s="35"/>
      <c r="WEH309" s="203"/>
      <c r="WEI309" s="203"/>
      <c r="WEJ309" s="36"/>
      <c r="WEK309" s="36"/>
      <c r="WEL309" s="203"/>
      <c r="WEM309" s="33"/>
      <c r="WEN309" s="33"/>
      <c r="WEO309" s="33"/>
      <c r="WEP309" s="33"/>
      <c r="WEQ309" s="33"/>
      <c r="WER309" s="33"/>
      <c r="WES309" s="37"/>
      <c r="WET309" s="208"/>
      <c r="WEU309" s="207"/>
      <c r="WEV309" s="204"/>
      <c r="WEW309" s="35"/>
      <c r="WEX309" s="203"/>
      <c r="WEY309" s="203"/>
      <c r="WEZ309" s="36"/>
      <c r="WFA309" s="36"/>
      <c r="WFB309" s="203"/>
      <c r="WFC309" s="33"/>
      <c r="WFD309" s="33"/>
      <c r="WFE309" s="33"/>
      <c r="WFF309" s="33"/>
      <c r="WFG309" s="33"/>
      <c r="WFH309" s="33"/>
      <c r="WFI309" s="37"/>
      <c r="WFJ309" s="208"/>
      <c r="WFK309" s="207"/>
      <c r="WFL309" s="204"/>
      <c r="WFM309" s="35"/>
      <c r="WFN309" s="203"/>
      <c r="WFO309" s="203"/>
      <c r="WFP309" s="36"/>
      <c r="WFQ309" s="36"/>
      <c r="WFR309" s="203"/>
      <c r="WFS309" s="33"/>
      <c r="WFT309" s="33"/>
      <c r="WFU309" s="33"/>
      <c r="WFV309" s="33"/>
      <c r="WFW309" s="33"/>
      <c r="WFX309" s="33"/>
      <c r="WFY309" s="37"/>
      <c r="WFZ309" s="208"/>
      <c r="WGA309" s="207"/>
      <c r="WGB309" s="204"/>
      <c r="WGC309" s="35"/>
      <c r="WGD309" s="203"/>
      <c r="WGE309" s="203"/>
      <c r="WGF309" s="36"/>
      <c r="WGG309" s="36"/>
      <c r="WGH309" s="203"/>
      <c r="WGI309" s="33"/>
      <c r="WGJ309" s="33"/>
      <c r="WGK309" s="33"/>
      <c r="WGL309" s="33"/>
      <c r="WGM309" s="33"/>
      <c r="WGN309" s="33"/>
      <c r="WGO309" s="37"/>
      <c r="WGP309" s="208"/>
      <c r="WGQ309" s="207"/>
      <c r="WGR309" s="204"/>
      <c r="WGS309" s="35"/>
      <c r="WGT309" s="203"/>
      <c r="WGU309" s="203"/>
      <c r="WGV309" s="36"/>
      <c r="WGW309" s="36"/>
      <c r="WGX309" s="203"/>
      <c r="WGY309" s="33"/>
      <c r="WGZ309" s="33"/>
      <c r="WHA309" s="33"/>
      <c r="WHB309" s="33"/>
      <c r="WHC309" s="33"/>
      <c r="WHD309" s="33"/>
      <c r="WHE309" s="37"/>
      <c r="WHF309" s="208"/>
      <c r="WHG309" s="207"/>
      <c r="WHH309" s="204"/>
      <c r="WHI309" s="35"/>
      <c r="WHJ309" s="203"/>
      <c r="WHK309" s="203"/>
      <c r="WHL309" s="36"/>
      <c r="WHM309" s="36"/>
      <c r="WHN309" s="203"/>
      <c r="WHO309" s="33"/>
      <c r="WHP309" s="33"/>
      <c r="WHQ309" s="33"/>
      <c r="WHR309" s="33"/>
      <c r="WHS309" s="33"/>
      <c r="WHT309" s="33"/>
      <c r="WHU309" s="37"/>
      <c r="WHV309" s="208"/>
      <c r="WHW309" s="207"/>
      <c r="WHX309" s="204"/>
      <c r="WHY309" s="35"/>
      <c r="WHZ309" s="203"/>
      <c r="WIA309" s="203"/>
      <c r="WIB309" s="36"/>
      <c r="WIC309" s="36"/>
      <c r="WID309" s="203"/>
      <c r="WIE309" s="33"/>
      <c r="WIF309" s="33"/>
      <c r="WIG309" s="33"/>
      <c r="WIH309" s="33"/>
      <c r="WII309" s="33"/>
      <c r="WIJ309" s="33"/>
      <c r="WIK309" s="37"/>
      <c r="WIL309" s="208"/>
      <c r="WIM309" s="207"/>
      <c r="WIN309" s="204"/>
      <c r="WIO309" s="35"/>
      <c r="WIP309" s="203"/>
      <c r="WIQ309" s="203"/>
      <c r="WIR309" s="36"/>
      <c r="WIS309" s="36"/>
      <c r="WIT309" s="203"/>
      <c r="WIU309" s="33"/>
      <c r="WIV309" s="33"/>
      <c r="WIW309" s="33"/>
      <c r="WIX309" s="33"/>
      <c r="WIY309" s="33"/>
      <c r="WIZ309" s="33"/>
      <c r="WJA309" s="37"/>
      <c r="WJB309" s="208"/>
      <c r="WJC309" s="207"/>
      <c r="WJD309" s="204"/>
      <c r="WJE309" s="35"/>
      <c r="WJF309" s="203"/>
      <c r="WJG309" s="203"/>
      <c r="WJH309" s="36"/>
      <c r="WJI309" s="36"/>
      <c r="WJJ309" s="203"/>
      <c r="WJK309" s="33"/>
      <c r="WJL309" s="33"/>
      <c r="WJM309" s="33"/>
      <c r="WJN309" s="33"/>
      <c r="WJO309" s="33"/>
      <c r="WJP309" s="33"/>
      <c r="WJQ309" s="37"/>
      <c r="WJR309" s="208"/>
      <c r="WJS309" s="207"/>
      <c r="WJT309" s="204"/>
      <c r="WJU309" s="35"/>
      <c r="WJV309" s="203"/>
      <c r="WJW309" s="203"/>
      <c r="WJX309" s="36"/>
      <c r="WJY309" s="36"/>
      <c r="WJZ309" s="203"/>
      <c r="WKA309" s="33"/>
      <c r="WKB309" s="33"/>
      <c r="WKC309" s="33"/>
      <c r="WKD309" s="33"/>
      <c r="WKE309" s="33"/>
      <c r="WKF309" s="33"/>
      <c r="WKG309" s="37"/>
      <c r="WKH309" s="208"/>
      <c r="WKI309" s="207"/>
      <c r="WKJ309" s="204"/>
      <c r="WKK309" s="35"/>
      <c r="WKL309" s="203"/>
      <c r="WKM309" s="203"/>
      <c r="WKN309" s="36"/>
      <c r="WKO309" s="36"/>
      <c r="WKP309" s="203"/>
      <c r="WKQ309" s="33"/>
      <c r="WKR309" s="33"/>
      <c r="WKS309" s="33"/>
      <c r="WKT309" s="33"/>
      <c r="WKU309" s="33"/>
      <c r="WKV309" s="33"/>
      <c r="WKW309" s="37"/>
      <c r="WKX309" s="208"/>
      <c r="WKY309" s="207"/>
      <c r="WKZ309" s="204"/>
      <c r="WLA309" s="35"/>
      <c r="WLB309" s="203"/>
      <c r="WLC309" s="203"/>
      <c r="WLD309" s="36"/>
      <c r="WLE309" s="36"/>
      <c r="WLF309" s="203"/>
      <c r="WLG309" s="33"/>
      <c r="WLH309" s="33"/>
      <c r="WLI309" s="33"/>
      <c r="WLJ309" s="33"/>
      <c r="WLK309" s="33"/>
      <c r="WLL309" s="33"/>
      <c r="WLM309" s="37"/>
      <c r="WLN309" s="208"/>
      <c r="WLO309" s="207"/>
      <c r="WLP309" s="204"/>
      <c r="WLQ309" s="35"/>
      <c r="WLR309" s="203"/>
      <c r="WLS309" s="203"/>
      <c r="WLT309" s="36"/>
      <c r="WLU309" s="36"/>
      <c r="WLV309" s="203"/>
      <c r="WLW309" s="33"/>
      <c r="WLX309" s="33"/>
      <c r="WLY309" s="33"/>
      <c r="WLZ309" s="33"/>
      <c r="WMA309" s="33"/>
      <c r="WMB309" s="33"/>
      <c r="WMC309" s="37"/>
      <c r="WMD309" s="208"/>
      <c r="WME309" s="207"/>
      <c r="WMF309" s="204"/>
      <c r="WMG309" s="35"/>
      <c r="WMH309" s="203"/>
      <c r="WMI309" s="203"/>
      <c r="WMJ309" s="36"/>
      <c r="WMK309" s="36"/>
      <c r="WML309" s="203"/>
      <c r="WMM309" s="33"/>
      <c r="WMN309" s="33"/>
      <c r="WMO309" s="33"/>
      <c r="WMP309" s="33"/>
      <c r="WMQ309" s="33"/>
      <c r="WMR309" s="33"/>
      <c r="WMS309" s="37"/>
      <c r="WMT309" s="208"/>
      <c r="WMU309" s="207"/>
      <c r="WMV309" s="204"/>
      <c r="WMW309" s="35"/>
      <c r="WMX309" s="203"/>
      <c r="WMY309" s="203"/>
      <c r="WMZ309" s="36"/>
      <c r="WNA309" s="36"/>
      <c r="WNB309" s="203"/>
      <c r="WNC309" s="33"/>
      <c r="WND309" s="33"/>
      <c r="WNE309" s="33"/>
      <c r="WNF309" s="33"/>
      <c r="WNG309" s="33"/>
      <c r="WNH309" s="33"/>
      <c r="WNI309" s="37"/>
      <c r="WNJ309" s="208"/>
      <c r="WNK309" s="207"/>
      <c r="WNL309" s="204"/>
      <c r="WNM309" s="35"/>
      <c r="WNN309" s="203"/>
      <c r="WNO309" s="203"/>
      <c r="WNP309" s="36"/>
      <c r="WNQ309" s="36"/>
      <c r="WNR309" s="203"/>
      <c r="WNS309" s="33"/>
      <c r="WNT309" s="33"/>
      <c r="WNU309" s="33"/>
      <c r="WNV309" s="33"/>
      <c r="WNW309" s="33"/>
      <c r="WNX309" s="33"/>
      <c r="WNY309" s="37"/>
      <c r="WNZ309" s="208"/>
      <c r="WOA309" s="207"/>
      <c r="WOB309" s="204"/>
      <c r="WOC309" s="35"/>
      <c r="WOD309" s="203"/>
      <c r="WOE309" s="203"/>
      <c r="WOF309" s="36"/>
      <c r="WOG309" s="36"/>
      <c r="WOH309" s="203"/>
      <c r="WOI309" s="33"/>
      <c r="WOJ309" s="33"/>
      <c r="WOK309" s="33"/>
      <c r="WOL309" s="33"/>
      <c r="WOM309" s="33"/>
      <c r="WON309" s="33"/>
      <c r="WOO309" s="37"/>
      <c r="WOP309" s="208"/>
      <c r="WOQ309" s="207"/>
      <c r="WOR309" s="204"/>
      <c r="WOS309" s="35"/>
      <c r="WOT309" s="203"/>
      <c r="WOU309" s="203"/>
      <c r="WOV309" s="36"/>
      <c r="WOW309" s="36"/>
      <c r="WOX309" s="203"/>
      <c r="WOY309" s="33"/>
      <c r="WOZ309" s="33"/>
      <c r="WPA309" s="33"/>
      <c r="WPB309" s="33"/>
      <c r="WPC309" s="33"/>
      <c r="WPD309" s="33"/>
      <c r="WPE309" s="37"/>
      <c r="WPF309" s="208"/>
      <c r="WPG309" s="207"/>
      <c r="WPH309" s="204"/>
      <c r="WPI309" s="35"/>
      <c r="WPJ309" s="203"/>
      <c r="WPK309" s="203"/>
      <c r="WPL309" s="36"/>
      <c r="WPM309" s="36"/>
      <c r="WPN309" s="203"/>
      <c r="WPO309" s="33"/>
      <c r="WPP309" s="33"/>
      <c r="WPQ309" s="33"/>
      <c r="WPR309" s="33"/>
      <c r="WPS309" s="33"/>
      <c r="WPT309" s="33"/>
      <c r="WPU309" s="37"/>
      <c r="WPV309" s="208"/>
      <c r="WPW309" s="207"/>
      <c r="WPX309" s="204"/>
      <c r="WPY309" s="35"/>
      <c r="WPZ309" s="203"/>
      <c r="WQA309" s="203"/>
      <c r="WQB309" s="36"/>
      <c r="WQC309" s="36"/>
      <c r="WQD309" s="203"/>
      <c r="WQE309" s="33"/>
      <c r="WQF309" s="33"/>
      <c r="WQG309" s="33"/>
      <c r="WQH309" s="33"/>
      <c r="WQI309" s="33"/>
      <c r="WQJ309" s="33"/>
      <c r="WQK309" s="37"/>
      <c r="WQL309" s="208"/>
      <c r="WQM309" s="207"/>
      <c r="WQN309" s="204"/>
      <c r="WQO309" s="35"/>
      <c r="WQP309" s="203"/>
      <c r="WQQ309" s="203"/>
      <c r="WQR309" s="36"/>
      <c r="WQS309" s="36"/>
      <c r="WQT309" s="203"/>
      <c r="WQU309" s="33"/>
      <c r="WQV309" s="33"/>
      <c r="WQW309" s="33"/>
      <c r="WQX309" s="33"/>
      <c r="WQY309" s="33"/>
      <c r="WQZ309" s="33"/>
      <c r="WRA309" s="37"/>
      <c r="WRB309" s="208"/>
      <c r="WRC309" s="207"/>
      <c r="WRD309" s="204"/>
      <c r="WRE309" s="35"/>
      <c r="WRF309" s="203"/>
      <c r="WRG309" s="203"/>
      <c r="WRH309" s="36"/>
      <c r="WRI309" s="36"/>
      <c r="WRJ309" s="203"/>
      <c r="WRK309" s="33"/>
      <c r="WRL309" s="33"/>
      <c r="WRM309" s="33"/>
      <c r="WRN309" s="33"/>
      <c r="WRO309" s="33"/>
      <c r="WRP309" s="33"/>
      <c r="WRQ309" s="37"/>
      <c r="WRR309" s="208"/>
      <c r="WRS309" s="207"/>
      <c r="WRT309" s="204"/>
      <c r="WRU309" s="35"/>
      <c r="WRV309" s="203"/>
      <c r="WRW309" s="203"/>
      <c r="WRX309" s="36"/>
      <c r="WRY309" s="36"/>
      <c r="WRZ309" s="203"/>
      <c r="WSA309" s="33"/>
      <c r="WSB309" s="33"/>
      <c r="WSC309" s="33"/>
      <c r="WSD309" s="33"/>
      <c r="WSE309" s="33"/>
      <c r="WSF309" s="33"/>
      <c r="WSG309" s="37"/>
      <c r="WSH309" s="208"/>
      <c r="WSI309" s="207"/>
      <c r="WSJ309" s="204"/>
      <c r="WSK309" s="35"/>
      <c r="WSL309" s="203"/>
      <c r="WSM309" s="203"/>
      <c r="WSN309" s="36"/>
      <c r="WSO309" s="36"/>
      <c r="WSP309" s="203"/>
      <c r="WSQ309" s="33"/>
      <c r="WSR309" s="33"/>
      <c r="WSS309" s="33"/>
      <c r="WST309" s="33"/>
      <c r="WSU309" s="33"/>
      <c r="WSV309" s="33"/>
      <c r="WSW309" s="37"/>
      <c r="WSX309" s="208"/>
      <c r="WSY309" s="207"/>
      <c r="WSZ309" s="204"/>
      <c r="WTA309" s="35"/>
      <c r="WTB309" s="203"/>
      <c r="WTC309" s="203"/>
      <c r="WTD309" s="36"/>
      <c r="WTE309" s="36"/>
      <c r="WTF309" s="203"/>
      <c r="WTG309" s="33"/>
      <c r="WTH309" s="33"/>
      <c r="WTI309" s="33"/>
      <c r="WTJ309" s="33"/>
      <c r="WTK309" s="33"/>
      <c r="WTL309" s="33"/>
      <c r="WTM309" s="37"/>
      <c r="WTN309" s="208"/>
      <c r="WTO309" s="207"/>
      <c r="WTP309" s="204"/>
      <c r="WTQ309" s="35"/>
      <c r="WTR309" s="203"/>
      <c r="WTS309" s="203"/>
      <c r="WTT309" s="36"/>
      <c r="WTU309" s="36"/>
      <c r="WTV309" s="203"/>
      <c r="WTW309" s="33"/>
      <c r="WTX309" s="33"/>
      <c r="WTY309" s="33"/>
      <c r="WTZ309" s="33"/>
      <c r="WUA309" s="33"/>
      <c r="WUB309" s="33"/>
      <c r="WUC309" s="37"/>
      <c r="WUD309" s="208"/>
      <c r="WUE309" s="207"/>
      <c r="WUF309" s="204"/>
      <c r="WUG309" s="35"/>
      <c r="WUH309" s="203"/>
      <c r="WUI309" s="203"/>
      <c r="WUJ309" s="36"/>
      <c r="WUK309" s="36"/>
      <c r="WUL309" s="203"/>
      <c r="WUM309" s="33"/>
      <c r="WUN309" s="33"/>
      <c r="WUO309" s="33"/>
      <c r="WUP309" s="33"/>
      <c r="WUQ309" s="33"/>
      <c r="WUR309" s="33"/>
      <c r="WUS309" s="37"/>
      <c r="WUT309" s="208"/>
      <c r="WUU309" s="207"/>
      <c r="WUV309" s="204"/>
      <c r="WUW309" s="35"/>
      <c r="WUX309" s="203"/>
      <c r="WUY309" s="203"/>
      <c r="WUZ309" s="36"/>
      <c r="WVA309" s="36"/>
      <c r="WVB309" s="203"/>
      <c r="WVC309" s="33"/>
      <c r="WVD309" s="33"/>
      <c r="WVE309" s="33"/>
      <c r="WVF309" s="33"/>
      <c r="WVG309" s="33"/>
      <c r="WVH309" s="33"/>
      <c r="WVI309" s="37"/>
      <c r="WVJ309" s="208"/>
      <c r="WVK309" s="207"/>
      <c r="WVL309" s="204"/>
      <c r="WVM309" s="35"/>
      <c r="WVN309" s="203"/>
      <c r="WVO309" s="203"/>
      <c r="WVP309" s="36"/>
      <c r="WVQ309" s="36"/>
      <c r="WVR309" s="203"/>
      <c r="WVS309" s="33"/>
      <c r="WVT309" s="33"/>
      <c r="WVU309" s="33"/>
      <c r="WVV309" s="33"/>
      <c r="WVW309" s="33"/>
      <c r="WVX309" s="33"/>
      <c r="WVY309" s="37"/>
      <c r="WVZ309" s="208"/>
      <c r="WWA309" s="207"/>
      <c r="WWB309" s="204"/>
      <c r="WWC309" s="35"/>
      <c r="WWD309" s="203"/>
      <c r="WWE309" s="203"/>
      <c r="WWF309" s="36"/>
      <c r="WWG309" s="36"/>
      <c r="WWH309" s="203"/>
      <c r="WWI309" s="33"/>
      <c r="WWJ309" s="33"/>
      <c r="WWK309" s="33"/>
      <c r="WWL309" s="33"/>
      <c r="WWM309" s="33"/>
      <c r="WWN309" s="33"/>
      <c r="WWO309" s="37"/>
      <c r="WWP309" s="208"/>
      <c r="WWQ309" s="207"/>
      <c r="WWR309" s="204"/>
      <c r="WWS309" s="35"/>
      <c r="WWT309" s="203"/>
      <c r="WWU309" s="203"/>
      <c r="WWV309" s="36"/>
      <c r="WWW309" s="36"/>
      <c r="WWX309" s="203"/>
      <c r="WWY309" s="33"/>
      <c r="WWZ309" s="33"/>
      <c r="WXA309" s="33"/>
      <c r="WXB309" s="33"/>
      <c r="WXC309" s="33"/>
      <c r="WXD309" s="33"/>
      <c r="WXE309" s="37"/>
      <c r="WXF309" s="208"/>
      <c r="WXG309" s="207"/>
      <c r="WXH309" s="204"/>
      <c r="WXI309" s="35"/>
      <c r="WXJ309" s="203"/>
      <c r="WXK309" s="203"/>
      <c r="WXL309" s="36"/>
      <c r="WXM309" s="36"/>
      <c r="WXN309" s="203"/>
      <c r="WXO309" s="33"/>
      <c r="WXP309" s="33"/>
      <c r="WXQ309" s="33"/>
      <c r="WXR309" s="33"/>
      <c r="WXS309" s="33"/>
      <c r="WXT309" s="33"/>
      <c r="WXU309" s="37"/>
      <c r="WXV309" s="208"/>
      <c r="WXW309" s="207"/>
      <c r="WXX309" s="204"/>
      <c r="WXY309" s="35"/>
      <c r="WXZ309" s="203"/>
      <c r="WYA309" s="203"/>
      <c r="WYB309" s="36"/>
      <c r="WYC309" s="36"/>
      <c r="WYD309" s="203"/>
      <c r="WYE309" s="33"/>
      <c r="WYF309" s="33"/>
      <c r="WYG309" s="33"/>
      <c r="WYH309" s="33"/>
      <c r="WYI309" s="33"/>
      <c r="WYJ309" s="33"/>
      <c r="WYK309" s="37"/>
      <c r="WYL309" s="208"/>
      <c r="WYM309" s="207"/>
      <c r="WYN309" s="204"/>
      <c r="WYO309" s="35"/>
      <c r="WYP309" s="203"/>
      <c r="WYQ309" s="203"/>
      <c r="WYR309" s="36"/>
      <c r="WYS309" s="36"/>
      <c r="WYT309" s="203"/>
      <c r="WYU309" s="33"/>
      <c r="WYV309" s="33"/>
      <c r="WYW309" s="33"/>
      <c r="WYX309" s="33"/>
      <c r="WYY309" s="33"/>
      <c r="WYZ309" s="33"/>
      <c r="WZA309" s="37"/>
      <c r="WZB309" s="208"/>
      <c r="WZC309" s="207"/>
      <c r="WZD309" s="204"/>
      <c r="WZE309" s="35"/>
      <c r="WZF309" s="203"/>
      <c r="WZG309" s="203"/>
      <c r="WZH309" s="36"/>
      <c r="WZI309" s="36"/>
      <c r="WZJ309" s="203"/>
      <c r="WZK309" s="33"/>
      <c r="WZL309" s="33"/>
      <c r="WZM309" s="33"/>
      <c r="WZN309" s="33"/>
      <c r="WZO309" s="33"/>
      <c r="WZP309" s="33"/>
      <c r="WZQ309" s="37"/>
      <c r="WZR309" s="208"/>
      <c r="WZS309" s="207"/>
      <c r="WZT309" s="204"/>
      <c r="WZU309" s="35"/>
      <c r="WZV309" s="203"/>
      <c r="WZW309" s="203"/>
      <c r="WZX309" s="36"/>
      <c r="WZY309" s="36"/>
      <c r="WZZ309" s="203"/>
      <c r="XAA309" s="33"/>
      <c r="XAB309" s="33"/>
      <c r="XAC309" s="33"/>
      <c r="XAD309" s="33"/>
      <c r="XAE309" s="33"/>
      <c r="XAF309" s="33"/>
      <c r="XAG309" s="37"/>
      <c r="XAH309" s="208"/>
      <c r="XAI309" s="207"/>
      <c r="XAJ309" s="204"/>
      <c r="XAK309" s="35"/>
      <c r="XAL309" s="203"/>
      <c r="XAM309" s="203"/>
      <c r="XAN309" s="36"/>
      <c r="XAO309" s="36"/>
      <c r="XAP309" s="203"/>
      <c r="XAQ309" s="33"/>
      <c r="XAR309" s="33"/>
      <c r="XAS309" s="33"/>
      <c r="XAT309" s="33"/>
      <c r="XAU309" s="33"/>
      <c r="XAV309" s="33"/>
      <c r="XAW309" s="37"/>
      <c r="XAX309" s="208"/>
      <c r="XAY309" s="207"/>
      <c r="XAZ309" s="204"/>
      <c r="XBA309" s="35"/>
      <c r="XBB309" s="203"/>
      <c r="XBC309" s="203"/>
      <c r="XBD309" s="36"/>
      <c r="XBE309" s="36"/>
      <c r="XBF309" s="203"/>
      <c r="XBG309" s="33"/>
      <c r="XBH309" s="33"/>
      <c r="XBI309" s="33"/>
      <c r="XBJ309" s="33"/>
      <c r="XBK309" s="33"/>
      <c r="XBL309" s="33"/>
      <c r="XBM309" s="37"/>
      <c r="XBN309" s="208"/>
      <c r="XBO309" s="207"/>
      <c r="XBP309" s="204"/>
      <c r="XBQ309" s="35"/>
      <c r="XBR309" s="203"/>
      <c r="XBS309" s="203"/>
      <c r="XBT309" s="36"/>
      <c r="XBU309" s="36"/>
      <c r="XBV309" s="203"/>
      <c r="XBW309" s="33"/>
      <c r="XBX309" s="33"/>
      <c r="XBY309" s="33"/>
      <c r="XBZ309" s="33"/>
      <c r="XCA309" s="33"/>
      <c r="XCB309" s="33"/>
      <c r="XCC309" s="37"/>
      <c r="XCD309" s="208"/>
      <c r="XCE309" s="207"/>
      <c r="XCF309" s="204"/>
      <c r="XCG309" s="35"/>
      <c r="XCH309" s="203"/>
      <c r="XCI309" s="203"/>
      <c r="XCJ309" s="36"/>
      <c r="XCK309" s="36"/>
      <c r="XCL309" s="203"/>
      <c r="XCM309" s="33"/>
      <c r="XCN309" s="33"/>
      <c r="XCO309" s="33"/>
      <c r="XCP309" s="33"/>
      <c r="XCQ309" s="33"/>
      <c r="XCR309" s="33"/>
      <c r="XCS309" s="37"/>
      <c r="XCT309" s="208"/>
      <c r="XCU309" s="207"/>
      <c r="XCV309" s="204"/>
      <c r="XCW309" s="35"/>
      <c r="XCX309" s="203"/>
      <c r="XCY309" s="203"/>
      <c r="XCZ309" s="36"/>
      <c r="XDA309" s="36"/>
      <c r="XDB309" s="203"/>
      <c r="XDC309" s="33"/>
      <c r="XDD309" s="33"/>
      <c r="XDE309" s="33"/>
      <c r="XDF309" s="33"/>
      <c r="XDG309" s="33"/>
      <c r="XDH309" s="33"/>
      <c r="XDI309" s="37"/>
      <c r="XDJ309" s="208"/>
      <c r="XDK309" s="207"/>
      <c r="XDL309" s="204"/>
      <c r="XDM309" s="35"/>
      <c r="XDN309" s="203"/>
      <c r="XDO309" s="203"/>
      <c r="XDP309" s="36"/>
      <c r="XDQ309" s="36"/>
      <c r="XDR309" s="203"/>
      <c r="XDS309" s="33"/>
      <c r="XDT309" s="33"/>
      <c r="XDU309" s="33"/>
      <c r="XDV309" s="33"/>
      <c r="XDW309" s="33"/>
      <c r="XDX309" s="33"/>
      <c r="XDY309" s="37"/>
      <c r="XDZ309" s="208"/>
    </row>
    <row r="310" spans="1:16354" s="39" customFormat="1" ht="18.95" customHeight="1" outlineLevel="1" x14ac:dyDescent="0.25">
      <c r="A310" s="147"/>
      <c r="B310" s="167"/>
      <c r="C310" s="147"/>
      <c r="D310" s="141"/>
      <c r="E310" s="141"/>
      <c r="F310" s="12">
        <v>43647</v>
      </c>
      <c r="G310" s="12">
        <v>43830</v>
      </c>
      <c r="H310" s="151"/>
      <c r="I310" s="91" t="s">
        <v>23</v>
      </c>
      <c r="J310" s="89" t="s">
        <v>23</v>
      </c>
      <c r="K310" s="89" t="s">
        <v>23</v>
      </c>
      <c r="L310" s="92" t="s">
        <v>23</v>
      </c>
      <c r="M310" s="92" t="s">
        <v>23</v>
      </c>
      <c r="N310" s="92" t="s">
        <v>23</v>
      </c>
      <c r="O310" s="13">
        <v>2000.79</v>
      </c>
      <c r="P310" s="140"/>
      <c r="Q310" s="17">
        <f t="shared" ref="Q310:Q375" si="5">O310/1.2</f>
        <v>1667.325</v>
      </c>
      <c r="R310" s="208"/>
      <c r="S310" s="209"/>
      <c r="T310" s="204"/>
      <c r="U310" s="35"/>
      <c r="V310" s="203"/>
      <c r="W310" s="203"/>
      <c r="X310" s="36"/>
      <c r="Y310" s="36"/>
      <c r="Z310" s="203"/>
      <c r="AA310" s="33"/>
      <c r="AB310" s="33"/>
      <c r="AC310" s="33"/>
      <c r="AD310" s="33"/>
      <c r="AE310" s="33"/>
      <c r="AF310" s="33"/>
      <c r="AG310" s="37"/>
      <c r="AH310" s="208"/>
      <c r="AI310" s="207"/>
      <c r="AJ310" s="204"/>
      <c r="AK310" s="35"/>
      <c r="AL310" s="203"/>
      <c r="AM310" s="203"/>
      <c r="AN310" s="36"/>
      <c r="AO310" s="36"/>
      <c r="AP310" s="203"/>
      <c r="AQ310" s="33"/>
      <c r="AR310" s="33"/>
      <c r="AS310" s="33"/>
      <c r="AT310" s="33"/>
      <c r="AU310" s="33"/>
      <c r="AV310" s="33"/>
      <c r="AW310" s="37"/>
      <c r="AX310" s="208"/>
      <c r="AY310" s="207"/>
      <c r="AZ310" s="204"/>
      <c r="BA310" s="35"/>
      <c r="BB310" s="203"/>
      <c r="BC310" s="203"/>
      <c r="BD310" s="36"/>
      <c r="BE310" s="36"/>
      <c r="BF310" s="203"/>
      <c r="BG310" s="33"/>
      <c r="BH310" s="33"/>
      <c r="BI310" s="33"/>
      <c r="BJ310" s="33"/>
      <c r="BK310" s="33"/>
      <c r="BL310" s="33"/>
      <c r="BM310" s="37"/>
      <c r="BN310" s="208"/>
      <c r="BO310" s="207"/>
      <c r="BP310" s="204"/>
      <c r="BQ310" s="35"/>
      <c r="BR310" s="203"/>
      <c r="BS310" s="203"/>
      <c r="BT310" s="36"/>
      <c r="BU310" s="36"/>
      <c r="BV310" s="203"/>
      <c r="BW310" s="33"/>
      <c r="BX310" s="33"/>
      <c r="BY310" s="33"/>
      <c r="BZ310" s="33"/>
      <c r="CA310" s="33"/>
      <c r="CB310" s="33"/>
      <c r="CC310" s="37"/>
      <c r="CD310" s="208"/>
      <c r="CE310" s="207"/>
      <c r="CF310" s="204"/>
      <c r="CG310" s="35"/>
      <c r="CH310" s="203"/>
      <c r="CI310" s="203"/>
      <c r="CJ310" s="36"/>
      <c r="CK310" s="36"/>
      <c r="CL310" s="203"/>
      <c r="CM310" s="33"/>
      <c r="CN310" s="33"/>
      <c r="CO310" s="33"/>
      <c r="CP310" s="33"/>
      <c r="CQ310" s="33"/>
      <c r="CR310" s="33"/>
      <c r="CS310" s="37"/>
      <c r="CT310" s="208"/>
      <c r="CU310" s="207"/>
      <c r="CV310" s="204"/>
      <c r="CW310" s="35"/>
      <c r="CX310" s="203"/>
      <c r="CY310" s="203"/>
      <c r="CZ310" s="36"/>
      <c r="DA310" s="36"/>
      <c r="DB310" s="203"/>
      <c r="DC310" s="33"/>
      <c r="DD310" s="33"/>
      <c r="DE310" s="33"/>
      <c r="DF310" s="33"/>
      <c r="DG310" s="33"/>
      <c r="DH310" s="33"/>
      <c r="DI310" s="37"/>
      <c r="DJ310" s="208"/>
      <c r="DK310" s="207"/>
      <c r="DL310" s="204"/>
      <c r="DM310" s="35"/>
      <c r="DN310" s="203"/>
      <c r="DO310" s="203"/>
      <c r="DP310" s="36"/>
      <c r="DQ310" s="36"/>
      <c r="DR310" s="203"/>
      <c r="DS310" s="33"/>
      <c r="DT310" s="33"/>
      <c r="DU310" s="33"/>
      <c r="DV310" s="33"/>
      <c r="DW310" s="33"/>
      <c r="DX310" s="33"/>
      <c r="DY310" s="37"/>
      <c r="DZ310" s="208"/>
      <c r="EA310" s="207"/>
      <c r="EB310" s="204"/>
      <c r="EC310" s="35"/>
      <c r="ED310" s="203"/>
      <c r="EE310" s="203"/>
      <c r="EF310" s="36"/>
      <c r="EG310" s="36"/>
      <c r="EH310" s="203"/>
      <c r="EI310" s="33"/>
      <c r="EJ310" s="33"/>
      <c r="EK310" s="33"/>
      <c r="EL310" s="33"/>
      <c r="EM310" s="33"/>
      <c r="EN310" s="33"/>
      <c r="EO310" s="37"/>
      <c r="EP310" s="208"/>
      <c r="EQ310" s="207"/>
      <c r="ER310" s="204"/>
      <c r="ES310" s="35"/>
      <c r="ET310" s="203"/>
      <c r="EU310" s="203"/>
      <c r="EV310" s="36"/>
      <c r="EW310" s="36"/>
      <c r="EX310" s="203"/>
      <c r="EY310" s="33"/>
      <c r="EZ310" s="33"/>
      <c r="FA310" s="33"/>
      <c r="FB310" s="33"/>
      <c r="FC310" s="33"/>
      <c r="FD310" s="33"/>
      <c r="FE310" s="37"/>
      <c r="FF310" s="208"/>
      <c r="FG310" s="207"/>
      <c r="FH310" s="204"/>
      <c r="FI310" s="35"/>
      <c r="FJ310" s="203"/>
      <c r="FK310" s="203"/>
      <c r="FL310" s="36"/>
      <c r="FM310" s="36"/>
      <c r="FN310" s="203"/>
      <c r="FO310" s="33"/>
      <c r="FP310" s="33"/>
      <c r="FQ310" s="33"/>
      <c r="FR310" s="33"/>
      <c r="FS310" s="33"/>
      <c r="FT310" s="33"/>
      <c r="FU310" s="37"/>
      <c r="FV310" s="208"/>
      <c r="FW310" s="207"/>
      <c r="FX310" s="204"/>
      <c r="FY310" s="35"/>
      <c r="FZ310" s="203"/>
      <c r="GA310" s="203"/>
      <c r="GB310" s="36"/>
      <c r="GC310" s="36"/>
      <c r="GD310" s="203"/>
      <c r="GE310" s="33"/>
      <c r="GF310" s="33"/>
      <c r="GG310" s="33"/>
      <c r="GH310" s="33"/>
      <c r="GI310" s="33"/>
      <c r="GJ310" s="33"/>
      <c r="GK310" s="37"/>
      <c r="GL310" s="208"/>
      <c r="GM310" s="207"/>
      <c r="GN310" s="204"/>
      <c r="GO310" s="35"/>
      <c r="GP310" s="203"/>
      <c r="GQ310" s="203"/>
      <c r="GR310" s="36"/>
      <c r="GS310" s="36"/>
      <c r="GT310" s="203"/>
      <c r="GU310" s="33"/>
      <c r="GV310" s="33"/>
      <c r="GW310" s="33"/>
      <c r="GX310" s="33"/>
      <c r="GY310" s="33"/>
      <c r="GZ310" s="33"/>
      <c r="HA310" s="37"/>
      <c r="HB310" s="208"/>
      <c r="HC310" s="207"/>
      <c r="HD310" s="204"/>
      <c r="HE310" s="35"/>
      <c r="HF310" s="203"/>
      <c r="HG310" s="203"/>
      <c r="HH310" s="36"/>
      <c r="HI310" s="36"/>
      <c r="HJ310" s="203"/>
      <c r="HK310" s="33"/>
      <c r="HL310" s="33"/>
      <c r="HM310" s="33"/>
      <c r="HN310" s="33"/>
      <c r="HO310" s="33"/>
      <c r="HP310" s="33"/>
      <c r="HQ310" s="37"/>
      <c r="HR310" s="208"/>
      <c r="HS310" s="207"/>
      <c r="HT310" s="204"/>
      <c r="HU310" s="35"/>
      <c r="HV310" s="203"/>
      <c r="HW310" s="203"/>
      <c r="HX310" s="36"/>
      <c r="HY310" s="36"/>
      <c r="HZ310" s="203"/>
      <c r="IA310" s="33"/>
      <c r="IB310" s="33"/>
      <c r="IC310" s="33"/>
      <c r="ID310" s="33"/>
      <c r="IE310" s="33"/>
      <c r="IF310" s="33"/>
      <c r="IG310" s="37"/>
      <c r="IH310" s="208"/>
      <c r="II310" s="207"/>
      <c r="IJ310" s="204"/>
      <c r="IK310" s="35"/>
      <c r="IL310" s="203"/>
      <c r="IM310" s="203"/>
      <c r="IN310" s="36"/>
      <c r="IO310" s="36"/>
      <c r="IP310" s="203"/>
      <c r="IQ310" s="33"/>
      <c r="IR310" s="33"/>
      <c r="IS310" s="33"/>
      <c r="IT310" s="33"/>
      <c r="IU310" s="33"/>
      <c r="IV310" s="33"/>
      <c r="IW310" s="37"/>
      <c r="IX310" s="208"/>
      <c r="IY310" s="207"/>
      <c r="IZ310" s="204"/>
      <c r="JA310" s="35"/>
      <c r="JB310" s="203"/>
      <c r="JC310" s="203"/>
      <c r="JD310" s="36"/>
      <c r="JE310" s="36"/>
      <c r="JF310" s="203"/>
      <c r="JG310" s="33"/>
      <c r="JH310" s="33"/>
      <c r="JI310" s="33"/>
      <c r="JJ310" s="33"/>
      <c r="JK310" s="33"/>
      <c r="JL310" s="33"/>
      <c r="JM310" s="37"/>
      <c r="JN310" s="208"/>
      <c r="JO310" s="207"/>
      <c r="JP310" s="204"/>
      <c r="JQ310" s="35"/>
      <c r="JR310" s="203"/>
      <c r="JS310" s="203"/>
      <c r="JT310" s="36"/>
      <c r="JU310" s="36"/>
      <c r="JV310" s="203"/>
      <c r="JW310" s="33"/>
      <c r="JX310" s="33"/>
      <c r="JY310" s="33"/>
      <c r="JZ310" s="33"/>
      <c r="KA310" s="33"/>
      <c r="KB310" s="33"/>
      <c r="KC310" s="37"/>
      <c r="KD310" s="208"/>
      <c r="KE310" s="207"/>
      <c r="KF310" s="204"/>
      <c r="KG310" s="35"/>
      <c r="KH310" s="203"/>
      <c r="KI310" s="203"/>
      <c r="KJ310" s="36"/>
      <c r="KK310" s="36"/>
      <c r="KL310" s="203"/>
      <c r="KM310" s="33"/>
      <c r="KN310" s="33"/>
      <c r="KO310" s="33"/>
      <c r="KP310" s="33"/>
      <c r="KQ310" s="33"/>
      <c r="KR310" s="33"/>
      <c r="KS310" s="37"/>
      <c r="KT310" s="208"/>
      <c r="KU310" s="207"/>
      <c r="KV310" s="204"/>
      <c r="KW310" s="35"/>
      <c r="KX310" s="203"/>
      <c r="KY310" s="203"/>
      <c r="KZ310" s="36"/>
      <c r="LA310" s="36"/>
      <c r="LB310" s="203"/>
      <c r="LC310" s="33"/>
      <c r="LD310" s="33"/>
      <c r="LE310" s="33"/>
      <c r="LF310" s="33"/>
      <c r="LG310" s="33"/>
      <c r="LH310" s="33"/>
      <c r="LI310" s="37"/>
      <c r="LJ310" s="208"/>
      <c r="LK310" s="207"/>
      <c r="LL310" s="204"/>
      <c r="LM310" s="35"/>
      <c r="LN310" s="203"/>
      <c r="LO310" s="203"/>
      <c r="LP310" s="36"/>
      <c r="LQ310" s="36"/>
      <c r="LR310" s="203"/>
      <c r="LS310" s="33"/>
      <c r="LT310" s="33"/>
      <c r="LU310" s="33"/>
      <c r="LV310" s="33"/>
      <c r="LW310" s="33"/>
      <c r="LX310" s="33"/>
      <c r="LY310" s="37"/>
      <c r="LZ310" s="208"/>
      <c r="MA310" s="207"/>
      <c r="MB310" s="204"/>
      <c r="MC310" s="35"/>
      <c r="MD310" s="203"/>
      <c r="ME310" s="203"/>
      <c r="MF310" s="36"/>
      <c r="MG310" s="36"/>
      <c r="MH310" s="203"/>
      <c r="MI310" s="33"/>
      <c r="MJ310" s="33"/>
      <c r="MK310" s="33"/>
      <c r="ML310" s="33"/>
      <c r="MM310" s="33"/>
      <c r="MN310" s="33"/>
      <c r="MO310" s="37"/>
      <c r="MP310" s="208"/>
      <c r="MQ310" s="207"/>
      <c r="MR310" s="204"/>
      <c r="MS310" s="35"/>
      <c r="MT310" s="203"/>
      <c r="MU310" s="203"/>
      <c r="MV310" s="36"/>
      <c r="MW310" s="36"/>
      <c r="MX310" s="203"/>
      <c r="MY310" s="33"/>
      <c r="MZ310" s="33"/>
      <c r="NA310" s="33"/>
      <c r="NB310" s="33"/>
      <c r="NC310" s="33"/>
      <c r="ND310" s="33"/>
      <c r="NE310" s="37"/>
      <c r="NF310" s="208"/>
      <c r="NG310" s="207"/>
      <c r="NH310" s="204"/>
      <c r="NI310" s="35"/>
      <c r="NJ310" s="203"/>
      <c r="NK310" s="203"/>
      <c r="NL310" s="36"/>
      <c r="NM310" s="36"/>
      <c r="NN310" s="203"/>
      <c r="NO310" s="33"/>
      <c r="NP310" s="33"/>
      <c r="NQ310" s="33"/>
      <c r="NR310" s="33"/>
      <c r="NS310" s="33"/>
      <c r="NT310" s="33"/>
      <c r="NU310" s="37"/>
      <c r="NV310" s="208"/>
      <c r="NW310" s="207"/>
      <c r="NX310" s="204"/>
      <c r="NY310" s="35"/>
      <c r="NZ310" s="203"/>
      <c r="OA310" s="203"/>
      <c r="OB310" s="36"/>
      <c r="OC310" s="36"/>
      <c r="OD310" s="203"/>
      <c r="OE310" s="33"/>
      <c r="OF310" s="33"/>
      <c r="OG310" s="33"/>
      <c r="OH310" s="33"/>
      <c r="OI310" s="33"/>
      <c r="OJ310" s="33"/>
      <c r="OK310" s="37"/>
      <c r="OL310" s="208"/>
      <c r="OM310" s="207"/>
      <c r="ON310" s="204"/>
      <c r="OO310" s="35"/>
      <c r="OP310" s="203"/>
      <c r="OQ310" s="203"/>
      <c r="OR310" s="36"/>
      <c r="OS310" s="36"/>
      <c r="OT310" s="203"/>
      <c r="OU310" s="33"/>
      <c r="OV310" s="33"/>
      <c r="OW310" s="33"/>
      <c r="OX310" s="33"/>
      <c r="OY310" s="33"/>
      <c r="OZ310" s="33"/>
      <c r="PA310" s="37"/>
      <c r="PB310" s="208"/>
      <c r="PC310" s="207"/>
      <c r="PD310" s="204"/>
      <c r="PE310" s="35"/>
      <c r="PF310" s="203"/>
      <c r="PG310" s="203"/>
      <c r="PH310" s="36"/>
      <c r="PI310" s="36"/>
      <c r="PJ310" s="203"/>
      <c r="PK310" s="33"/>
      <c r="PL310" s="33"/>
      <c r="PM310" s="33"/>
      <c r="PN310" s="33"/>
      <c r="PO310" s="33"/>
      <c r="PP310" s="33"/>
      <c r="PQ310" s="37"/>
      <c r="PR310" s="208"/>
      <c r="PS310" s="207"/>
      <c r="PT310" s="204"/>
      <c r="PU310" s="35"/>
      <c r="PV310" s="203"/>
      <c r="PW310" s="203"/>
      <c r="PX310" s="36"/>
      <c r="PY310" s="36"/>
      <c r="PZ310" s="203"/>
      <c r="QA310" s="33"/>
      <c r="QB310" s="33"/>
      <c r="QC310" s="33"/>
      <c r="QD310" s="33"/>
      <c r="QE310" s="33"/>
      <c r="QF310" s="33"/>
      <c r="QG310" s="37"/>
      <c r="QH310" s="208"/>
      <c r="QI310" s="207"/>
      <c r="QJ310" s="204"/>
      <c r="QK310" s="35"/>
      <c r="QL310" s="203"/>
      <c r="QM310" s="203"/>
      <c r="QN310" s="36"/>
      <c r="QO310" s="36"/>
      <c r="QP310" s="203"/>
      <c r="QQ310" s="33"/>
      <c r="QR310" s="33"/>
      <c r="QS310" s="33"/>
      <c r="QT310" s="33"/>
      <c r="QU310" s="33"/>
      <c r="QV310" s="33"/>
      <c r="QW310" s="37"/>
      <c r="QX310" s="208"/>
      <c r="QY310" s="207"/>
      <c r="QZ310" s="204"/>
      <c r="RA310" s="35"/>
      <c r="RB310" s="203"/>
      <c r="RC310" s="203"/>
      <c r="RD310" s="36"/>
      <c r="RE310" s="36"/>
      <c r="RF310" s="203"/>
      <c r="RG310" s="33"/>
      <c r="RH310" s="33"/>
      <c r="RI310" s="33"/>
      <c r="RJ310" s="33"/>
      <c r="RK310" s="33"/>
      <c r="RL310" s="33"/>
      <c r="RM310" s="37"/>
      <c r="RN310" s="208"/>
      <c r="RO310" s="207"/>
      <c r="RP310" s="204"/>
      <c r="RQ310" s="35"/>
      <c r="RR310" s="203"/>
      <c r="RS310" s="203"/>
      <c r="RT310" s="36"/>
      <c r="RU310" s="36"/>
      <c r="RV310" s="203"/>
      <c r="RW310" s="33"/>
      <c r="RX310" s="33"/>
      <c r="RY310" s="33"/>
      <c r="RZ310" s="33"/>
      <c r="SA310" s="33"/>
      <c r="SB310" s="33"/>
      <c r="SC310" s="37"/>
      <c r="SD310" s="208"/>
      <c r="SE310" s="207"/>
      <c r="SF310" s="204"/>
      <c r="SG310" s="35"/>
      <c r="SH310" s="203"/>
      <c r="SI310" s="203"/>
      <c r="SJ310" s="36"/>
      <c r="SK310" s="36"/>
      <c r="SL310" s="203"/>
      <c r="SM310" s="33"/>
      <c r="SN310" s="33"/>
      <c r="SO310" s="33"/>
      <c r="SP310" s="33"/>
      <c r="SQ310" s="33"/>
      <c r="SR310" s="33"/>
      <c r="SS310" s="37"/>
      <c r="ST310" s="208"/>
      <c r="SU310" s="207"/>
      <c r="SV310" s="204"/>
      <c r="SW310" s="35"/>
      <c r="SX310" s="203"/>
      <c r="SY310" s="203"/>
      <c r="SZ310" s="36"/>
      <c r="TA310" s="36"/>
      <c r="TB310" s="203"/>
      <c r="TC310" s="33"/>
      <c r="TD310" s="33"/>
      <c r="TE310" s="33"/>
      <c r="TF310" s="33"/>
      <c r="TG310" s="33"/>
      <c r="TH310" s="33"/>
      <c r="TI310" s="37"/>
      <c r="TJ310" s="208"/>
      <c r="TK310" s="207"/>
      <c r="TL310" s="204"/>
      <c r="TM310" s="35"/>
      <c r="TN310" s="203"/>
      <c r="TO310" s="203"/>
      <c r="TP310" s="36"/>
      <c r="TQ310" s="36"/>
      <c r="TR310" s="203"/>
      <c r="TS310" s="33"/>
      <c r="TT310" s="33"/>
      <c r="TU310" s="33"/>
      <c r="TV310" s="33"/>
      <c r="TW310" s="33"/>
      <c r="TX310" s="33"/>
      <c r="TY310" s="37"/>
      <c r="TZ310" s="208"/>
      <c r="UA310" s="207"/>
      <c r="UB310" s="204"/>
      <c r="UC310" s="35"/>
      <c r="UD310" s="203"/>
      <c r="UE310" s="203"/>
      <c r="UF310" s="36"/>
      <c r="UG310" s="36"/>
      <c r="UH310" s="203"/>
      <c r="UI310" s="33"/>
      <c r="UJ310" s="33"/>
      <c r="UK310" s="33"/>
      <c r="UL310" s="33"/>
      <c r="UM310" s="33"/>
      <c r="UN310" s="33"/>
      <c r="UO310" s="37"/>
      <c r="UP310" s="208"/>
      <c r="UQ310" s="207"/>
      <c r="UR310" s="204"/>
      <c r="US310" s="35"/>
      <c r="UT310" s="203"/>
      <c r="UU310" s="203"/>
      <c r="UV310" s="36"/>
      <c r="UW310" s="36"/>
      <c r="UX310" s="203"/>
      <c r="UY310" s="33"/>
      <c r="UZ310" s="33"/>
      <c r="VA310" s="33"/>
      <c r="VB310" s="33"/>
      <c r="VC310" s="33"/>
      <c r="VD310" s="33"/>
      <c r="VE310" s="37"/>
      <c r="VF310" s="208"/>
      <c r="VG310" s="207"/>
      <c r="VH310" s="204"/>
      <c r="VI310" s="35"/>
      <c r="VJ310" s="203"/>
      <c r="VK310" s="203"/>
      <c r="VL310" s="36"/>
      <c r="VM310" s="36"/>
      <c r="VN310" s="203"/>
      <c r="VO310" s="33"/>
      <c r="VP310" s="33"/>
      <c r="VQ310" s="33"/>
      <c r="VR310" s="33"/>
      <c r="VS310" s="33"/>
      <c r="VT310" s="33"/>
      <c r="VU310" s="37"/>
      <c r="VV310" s="208"/>
      <c r="VW310" s="207"/>
      <c r="VX310" s="204"/>
      <c r="VY310" s="35"/>
      <c r="VZ310" s="203"/>
      <c r="WA310" s="203"/>
      <c r="WB310" s="36"/>
      <c r="WC310" s="36"/>
      <c r="WD310" s="203"/>
      <c r="WE310" s="33"/>
      <c r="WF310" s="33"/>
      <c r="WG310" s="33"/>
      <c r="WH310" s="33"/>
      <c r="WI310" s="33"/>
      <c r="WJ310" s="33"/>
      <c r="WK310" s="37"/>
      <c r="WL310" s="208"/>
      <c r="WM310" s="207"/>
      <c r="WN310" s="204"/>
      <c r="WO310" s="35"/>
      <c r="WP310" s="203"/>
      <c r="WQ310" s="203"/>
      <c r="WR310" s="36"/>
      <c r="WS310" s="36"/>
      <c r="WT310" s="203"/>
      <c r="WU310" s="33"/>
      <c r="WV310" s="33"/>
      <c r="WW310" s="33"/>
      <c r="WX310" s="33"/>
      <c r="WY310" s="33"/>
      <c r="WZ310" s="33"/>
      <c r="XA310" s="37"/>
      <c r="XB310" s="208"/>
      <c r="XC310" s="207"/>
      <c r="XD310" s="204"/>
      <c r="XE310" s="35"/>
      <c r="XF310" s="203"/>
      <c r="XG310" s="203"/>
      <c r="XH310" s="36"/>
      <c r="XI310" s="36"/>
      <c r="XJ310" s="203"/>
      <c r="XK310" s="33"/>
      <c r="XL310" s="33"/>
      <c r="XM310" s="33"/>
      <c r="XN310" s="33"/>
      <c r="XO310" s="33"/>
      <c r="XP310" s="33"/>
      <c r="XQ310" s="37"/>
      <c r="XR310" s="208"/>
      <c r="XS310" s="207"/>
      <c r="XT310" s="204"/>
      <c r="XU310" s="35"/>
      <c r="XV310" s="203"/>
      <c r="XW310" s="203"/>
      <c r="XX310" s="36"/>
      <c r="XY310" s="36"/>
      <c r="XZ310" s="203"/>
      <c r="YA310" s="33"/>
      <c r="YB310" s="33"/>
      <c r="YC310" s="33"/>
      <c r="YD310" s="33"/>
      <c r="YE310" s="33"/>
      <c r="YF310" s="33"/>
      <c r="YG310" s="37"/>
      <c r="YH310" s="208"/>
      <c r="YI310" s="207"/>
      <c r="YJ310" s="204"/>
      <c r="YK310" s="35"/>
      <c r="YL310" s="203"/>
      <c r="YM310" s="203"/>
      <c r="YN310" s="36"/>
      <c r="YO310" s="36"/>
      <c r="YP310" s="203"/>
      <c r="YQ310" s="33"/>
      <c r="YR310" s="33"/>
      <c r="YS310" s="33"/>
      <c r="YT310" s="33"/>
      <c r="YU310" s="33"/>
      <c r="YV310" s="33"/>
      <c r="YW310" s="37"/>
      <c r="YX310" s="208"/>
      <c r="YY310" s="207"/>
      <c r="YZ310" s="204"/>
      <c r="ZA310" s="35"/>
      <c r="ZB310" s="203"/>
      <c r="ZC310" s="203"/>
      <c r="ZD310" s="36"/>
      <c r="ZE310" s="36"/>
      <c r="ZF310" s="203"/>
      <c r="ZG310" s="33"/>
      <c r="ZH310" s="33"/>
      <c r="ZI310" s="33"/>
      <c r="ZJ310" s="33"/>
      <c r="ZK310" s="33"/>
      <c r="ZL310" s="33"/>
      <c r="ZM310" s="37"/>
      <c r="ZN310" s="208"/>
      <c r="ZO310" s="207"/>
      <c r="ZP310" s="204"/>
      <c r="ZQ310" s="35"/>
      <c r="ZR310" s="203"/>
      <c r="ZS310" s="203"/>
      <c r="ZT310" s="36"/>
      <c r="ZU310" s="36"/>
      <c r="ZV310" s="203"/>
      <c r="ZW310" s="33"/>
      <c r="ZX310" s="33"/>
      <c r="ZY310" s="33"/>
      <c r="ZZ310" s="33"/>
      <c r="AAA310" s="33"/>
      <c r="AAB310" s="33"/>
      <c r="AAC310" s="37"/>
      <c r="AAD310" s="208"/>
      <c r="AAE310" s="207"/>
      <c r="AAF310" s="204"/>
      <c r="AAG310" s="35"/>
      <c r="AAH310" s="203"/>
      <c r="AAI310" s="203"/>
      <c r="AAJ310" s="36"/>
      <c r="AAK310" s="36"/>
      <c r="AAL310" s="203"/>
      <c r="AAM310" s="33"/>
      <c r="AAN310" s="33"/>
      <c r="AAO310" s="33"/>
      <c r="AAP310" s="33"/>
      <c r="AAQ310" s="33"/>
      <c r="AAR310" s="33"/>
      <c r="AAS310" s="37"/>
      <c r="AAT310" s="208"/>
      <c r="AAU310" s="207"/>
      <c r="AAV310" s="204"/>
      <c r="AAW310" s="35"/>
      <c r="AAX310" s="203"/>
      <c r="AAY310" s="203"/>
      <c r="AAZ310" s="36"/>
      <c r="ABA310" s="36"/>
      <c r="ABB310" s="203"/>
      <c r="ABC310" s="33"/>
      <c r="ABD310" s="33"/>
      <c r="ABE310" s="33"/>
      <c r="ABF310" s="33"/>
      <c r="ABG310" s="33"/>
      <c r="ABH310" s="33"/>
      <c r="ABI310" s="37"/>
      <c r="ABJ310" s="208"/>
      <c r="ABK310" s="207"/>
      <c r="ABL310" s="204"/>
      <c r="ABM310" s="35"/>
      <c r="ABN310" s="203"/>
      <c r="ABO310" s="203"/>
      <c r="ABP310" s="36"/>
      <c r="ABQ310" s="36"/>
      <c r="ABR310" s="203"/>
      <c r="ABS310" s="33"/>
      <c r="ABT310" s="33"/>
      <c r="ABU310" s="33"/>
      <c r="ABV310" s="33"/>
      <c r="ABW310" s="33"/>
      <c r="ABX310" s="33"/>
      <c r="ABY310" s="37"/>
      <c r="ABZ310" s="208"/>
      <c r="ACA310" s="207"/>
      <c r="ACB310" s="204"/>
      <c r="ACC310" s="35"/>
      <c r="ACD310" s="203"/>
      <c r="ACE310" s="203"/>
      <c r="ACF310" s="36"/>
      <c r="ACG310" s="36"/>
      <c r="ACH310" s="203"/>
      <c r="ACI310" s="33"/>
      <c r="ACJ310" s="33"/>
      <c r="ACK310" s="33"/>
      <c r="ACL310" s="33"/>
      <c r="ACM310" s="33"/>
      <c r="ACN310" s="33"/>
      <c r="ACO310" s="37"/>
      <c r="ACP310" s="208"/>
      <c r="ACQ310" s="207"/>
      <c r="ACR310" s="204"/>
      <c r="ACS310" s="35"/>
      <c r="ACT310" s="203"/>
      <c r="ACU310" s="203"/>
      <c r="ACV310" s="36"/>
      <c r="ACW310" s="36"/>
      <c r="ACX310" s="203"/>
      <c r="ACY310" s="33"/>
      <c r="ACZ310" s="33"/>
      <c r="ADA310" s="33"/>
      <c r="ADB310" s="33"/>
      <c r="ADC310" s="33"/>
      <c r="ADD310" s="33"/>
      <c r="ADE310" s="37"/>
      <c r="ADF310" s="208"/>
      <c r="ADG310" s="207"/>
      <c r="ADH310" s="204"/>
      <c r="ADI310" s="35"/>
      <c r="ADJ310" s="203"/>
      <c r="ADK310" s="203"/>
      <c r="ADL310" s="36"/>
      <c r="ADM310" s="36"/>
      <c r="ADN310" s="203"/>
      <c r="ADO310" s="33"/>
      <c r="ADP310" s="33"/>
      <c r="ADQ310" s="33"/>
      <c r="ADR310" s="33"/>
      <c r="ADS310" s="33"/>
      <c r="ADT310" s="33"/>
      <c r="ADU310" s="37"/>
      <c r="ADV310" s="208"/>
      <c r="ADW310" s="207"/>
      <c r="ADX310" s="204"/>
      <c r="ADY310" s="35"/>
      <c r="ADZ310" s="203"/>
      <c r="AEA310" s="203"/>
      <c r="AEB310" s="36"/>
      <c r="AEC310" s="36"/>
      <c r="AED310" s="203"/>
      <c r="AEE310" s="33"/>
      <c r="AEF310" s="33"/>
      <c r="AEG310" s="33"/>
      <c r="AEH310" s="33"/>
      <c r="AEI310" s="33"/>
      <c r="AEJ310" s="33"/>
      <c r="AEK310" s="37"/>
      <c r="AEL310" s="208"/>
      <c r="AEM310" s="207"/>
      <c r="AEN310" s="204"/>
      <c r="AEO310" s="35"/>
      <c r="AEP310" s="203"/>
      <c r="AEQ310" s="203"/>
      <c r="AER310" s="36"/>
      <c r="AES310" s="36"/>
      <c r="AET310" s="203"/>
      <c r="AEU310" s="33"/>
      <c r="AEV310" s="33"/>
      <c r="AEW310" s="33"/>
      <c r="AEX310" s="33"/>
      <c r="AEY310" s="33"/>
      <c r="AEZ310" s="33"/>
      <c r="AFA310" s="37"/>
      <c r="AFB310" s="208"/>
      <c r="AFC310" s="207"/>
      <c r="AFD310" s="204"/>
      <c r="AFE310" s="35"/>
      <c r="AFF310" s="203"/>
      <c r="AFG310" s="203"/>
      <c r="AFH310" s="36"/>
      <c r="AFI310" s="36"/>
      <c r="AFJ310" s="203"/>
      <c r="AFK310" s="33"/>
      <c r="AFL310" s="33"/>
      <c r="AFM310" s="33"/>
      <c r="AFN310" s="33"/>
      <c r="AFO310" s="33"/>
      <c r="AFP310" s="33"/>
      <c r="AFQ310" s="37"/>
      <c r="AFR310" s="208"/>
      <c r="AFS310" s="207"/>
      <c r="AFT310" s="204"/>
      <c r="AFU310" s="35"/>
      <c r="AFV310" s="203"/>
      <c r="AFW310" s="203"/>
      <c r="AFX310" s="36"/>
      <c r="AFY310" s="36"/>
      <c r="AFZ310" s="203"/>
      <c r="AGA310" s="33"/>
      <c r="AGB310" s="33"/>
      <c r="AGC310" s="33"/>
      <c r="AGD310" s="33"/>
      <c r="AGE310" s="33"/>
      <c r="AGF310" s="33"/>
      <c r="AGG310" s="37"/>
      <c r="AGH310" s="208"/>
      <c r="AGI310" s="207"/>
      <c r="AGJ310" s="204"/>
      <c r="AGK310" s="35"/>
      <c r="AGL310" s="203"/>
      <c r="AGM310" s="203"/>
      <c r="AGN310" s="36"/>
      <c r="AGO310" s="36"/>
      <c r="AGP310" s="203"/>
      <c r="AGQ310" s="33"/>
      <c r="AGR310" s="33"/>
      <c r="AGS310" s="33"/>
      <c r="AGT310" s="33"/>
      <c r="AGU310" s="33"/>
      <c r="AGV310" s="33"/>
      <c r="AGW310" s="37"/>
      <c r="AGX310" s="208"/>
      <c r="AGY310" s="207"/>
      <c r="AGZ310" s="204"/>
      <c r="AHA310" s="35"/>
      <c r="AHB310" s="203"/>
      <c r="AHC310" s="203"/>
      <c r="AHD310" s="36"/>
      <c r="AHE310" s="36"/>
      <c r="AHF310" s="203"/>
      <c r="AHG310" s="33"/>
      <c r="AHH310" s="33"/>
      <c r="AHI310" s="33"/>
      <c r="AHJ310" s="33"/>
      <c r="AHK310" s="33"/>
      <c r="AHL310" s="33"/>
      <c r="AHM310" s="37"/>
      <c r="AHN310" s="208"/>
      <c r="AHO310" s="207"/>
      <c r="AHP310" s="204"/>
      <c r="AHQ310" s="35"/>
      <c r="AHR310" s="203"/>
      <c r="AHS310" s="203"/>
      <c r="AHT310" s="36"/>
      <c r="AHU310" s="36"/>
      <c r="AHV310" s="203"/>
      <c r="AHW310" s="33"/>
      <c r="AHX310" s="33"/>
      <c r="AHY310" s="33"/>
      <c r="AHZ310" s="33"/>
      <c r="AIA310" s="33"/>
      <c r="AIB310" s="33"/>
      <c r="AIC310" s="37"/>
      <c r="AID310" s="208"/>
      <c r="AIE310" s="207"/>
      <c r="AIF310" s="204"/>
      <c r="AIG310" s="35"/>
      <c r="AIH310" s="203"/>
      <c r="AII310" s="203"/>
      <c r="AIJ310" s="36"/>
      <c r="AIK310" s="36"/>
      <c r="AIL310" s="203"/>
      <c r="AIM310" s="33"/>
      <c r="AIN310" s="33"/>
      <c r="AIO310" s="33"/>
      <c r="AIP310" s="33"/>
      <c r="AIQ310" s="33"/>
      <c r="AIR310" s="33"/>
      <c r="AIS310" s="37"/>
      <c r="AIT310" s="208"/>
      <c r="AIU310" s="207"/>
      <c r="AIV310" s="204"/>
      <c r="AIW310" s="35"/>
      <c r="AIX310" s="203"/>
      <c r="AIY310" s="203"/>
      <c r="AIZ310" s="36"/>
      <c r="AJA310" s="36"/>
      <c r="AJB310" s="203"/>
      <c r="AJC310" s="33"/>
      <c r="AJD310" s="33"/>
      <c r="AJE310" s="33"/>
      <c r="AJF310" s="33"/>
      <c r="AJG310" s="33"/>
      <c r="AJH310" s="33"/>
      <c r="AJI310" s="37"/>
      <c r="AJJ310" s="208"/>
      <c r="AJK310" s="207"/>
      <c r="AJL310" s="204"/>
      <c r="AJM310" s="35"/>
      <c r="AJN310" s="203"/>
      <c r="AJO310" s="203"/>
      <c r="AJP310" s="36"/>
      <c r="AJQ310" s="36"/>
      <c r="AJR310" s="203"/>
      <c r="AJS310" s="33"/>
      <c r="AJT310" s="33"/>
      <c r="AJU310" s="33"/>
      <c r="AJV310" s="33"/>
      <c r="AJW310" s="33"/>
      <c r="AJX310" s="33"/>
      <c r="AJY310" s="37"/>
      <c r="AJZ310" s="208"/>
      <c r="AKA310" s="207"/>
      <c r="AKB310" s="204"/>
      <c r="AKC310" s="35"/>
      <c r="AKD310" s="203"/>
      <c r="AKE310" s="203"/>
      <c r="AKF310" s="36"/>
      <c r="AKG310" s="36"/>
      <c r="AKH310" s="203"/>
      <c r="AKI310" s="33"/>
      <c r="AKJ310" s="33"/>
      <c r="AKK310" s="33"/>
      <c r="AKL310" s="33"/>
      <c r="AKM310" s="33"/>
      <c r="AKN310" s="33"/>
      <c r="AKO310" s="37"/>
      <c r="AKP310" s="208"/>
      <c r="AKQ310" s="207"/>
      <c r="AKR310" s="204"/>
      <c r="AKS310" s="35"/>
      <c r="AKT310" s="203"/>
      <c r="AKU310" s="203"/>
      <c r="AKV310" s="36"/>
      <c r="AKW310" s="36"/>
      <c r="AKX310" s="203"/>
      <c r="AKY310" s="33"/>
      <c r="AKZ310" s="33"/>
      <c r="ALA310" s="33"/>
      <c r="ALB310" s="33"/>
      <c r="ALC310" s="33"/>
      <c r="ALD310" s="33"/>
      <c r="ALE310" s="37"/>
      <c r="ALF310" s="208"/>
      <c r="ALG310" s="207"/>
      <c r="ALH310" s="204"/>
      <c r="ALI310" s="35"/>
      <c r="ALJ310" s="203"/>
      <c r="ALK310" s="203"/>
      <c r="ALL310" s="36"/>
      <c r="ALM310" s="36"/>
      <c r="ALN310" s="203"/>
      <c r="ALO310" s="33"/>
      <c r="ALP310" s="33"/>
      <c r="ALQ310" s="33"/>
      <c r="ALR310" s="33"/>
      <c r="ALS310" s="33"/>
      <c r="ALT310" s="33"/>
      <c r="ALU310" s="37"/>
      <c r="ALV310" s="208"/>
      <c r="ALW310" s="207"/>
      <c r="ALX310" s="204"/>
      <c r="ALY310" s="35"/>
      <c r="ALZ310" s="203"/>
      <c r="AMA310" s="203"/>
      <c r="AMB310" s="36"/>
      <c r="AMC310" s="36"/>
      <c r="AMD310" s="203"/>
      <c r="AME310" s="33"/>
      <c r="AMF310" s="33"/>
      <c r="AMG310" s="33"/>
      <c r="AMH310" s="33"/>
      <c r="AMI310" s="33"/>
      <c r="AMJ310" s="33"/>
      <c r="AMK310" s="37"/>
      <c r="AML310" s="208"/>
      <c r="AMM310" s="207"/>
      <c r="AMN310" s="204"/>
      <c r="AMO310" s="35"/>
      <c r="AMP310" s="203"/>
      <c r="AMQ310" s="203"/>
      <c r="AMR310" s="36"/>
      <c r="AMS310" s="36"/>
      <c r="AMT310" s="203"/>
      <c r="AMU310" s="33"/>
      <c r="AMV310" s="33"/>
      <c r="AMW310" s="33"/>
      <c r="AMX310" s="33"/>
      <c r="AMY310" s="33"/>
      <c r="AMZ310" s="33"/>
      <c r="ANA310" s="37"/>
      <c r="ANB310" s="208"/>
      <c r="ANC310" s="207"/>
      <c r="AND310" s="204"/>
      <c r="ANE310" s="35"/>
      <c r="ANF310" s="203"/>
      <c r="ANG310" s="203"/>
      <c r="ANH310" s="36"/>
      <c r="ANI310" s="36"/>
      <c r="ANJ310" s="203"/>
      <c r="ANK310" s="33"/>
      <c r="ANL310" s="33"/>
      <c r="ANM310" s="33"/>
      <c r="ANN310" s="33"/>
      <c r="ANO310" s="33"/>
      <c r="ANP310" s="33"/>
      <c r="ANQ310" s="37"/>
      <c r="ANR310" s="208"/>
      <c r="ANS310" s="207"/>
      <c r="ANT310" s="204"/>
      <c r="ANU310" s="35"/>
      <c r="ANV310" s="203"/>
      <c r="ANW310" s="203"/>
      <c r="ANX310" s="36"/>
      <c r="ANY310" s="36"/>
      <c r="ANZ310" s="203"/>
      <c r="AOA310" s="33"/>
      <c r="AOB310" s="33"/>
      <c r="AOC310" s="33"/>
      <c r="AOD310" s="33"/>
      <c r="AOE310" s="33"/>
      <c r="AOF310" s="33"/>
      <c r="AOG310" s="37"/>
      <c r="AOH310" s="208"/>
      <c r="AOI310" s="207"/>
      <c r="AOJ310" s="204"/>
      <c r="AOK310" s="35"/>
      <c r="AOL310" s="203"/>
      <c r="AOM310" s="203"/>
      <c r="AON310" s="36"/>
      <c r="AOO310" s="36"/>
      <c r="AOP310" s="203"/>
      <c r="AOQ310" s="33"/>
      <c r="AOR310" s="33"/>
      <c r="AOS310" s="33"/>
      <c r="AOT310" s="33"/>
      <c r="AOU310" s="33"/>
      <c r="AOV310" s="33"/>
      <c r="AOW310" s="37"/>
      <c r="AOX310" s="208"/>
      <c r="AOY310" s="207"/>
      <c r="AOZ310" s="204"/>
      <c r="APA310" s="35"/>
      <c r="APB310" s="203"/>
      <c r="APC310" s="203"/>
      <c r="APD310" s="36"/>
      <c r="APE310" s="36"/>
      <c r="APF310" s="203"/>
      <c r="APG310" s="33"/>
      <c r="APH310" s="33"/>
      <c r="API310" s="33"/>
      <c r="APJ310" s="33"/>
      <c r="APK310" s="33"/>
      <c r="APL310" s="33"/>
      <c r="APM310" s="37"/>
      <c r="APN310" s="208"/>
      <c r="APO310" s="207"/>
      <c r="APP310" s="204"/>
      <c r="APQ310" s="35"/>
      <c r="APR310" s="203"/>
      <c r="APS310" s="203"/>
      <c r="APT310" s="36"/>
      <c r="APU310" s="36"/>
      <c r="APV310" s="203"/>
      <c r="APW310" s="33"/>
      <c r="APX310" s="33"/>
      <c r="APY310" s="33"/>
      <c r="APZ310" s="33"/>
      <c r="AQA310" s="33"/>
      <c r="AQB310" s="33"/>
      <c r="AQC310" s="37"/>
      <c r="AQD310" s="208"/>
      <c r="AQE310" s="207"/>
      <c r="AQF310" s="204"/>
      <c r="AQG310" s="35"/>
      <c r="AQH310" s="203"/>
      <c r="AQI310" s="203"/>
      <c r="AQJ310" s="36"/>
      <c r="AQK310" s="36"/>
      <c r="AQL310" s="203"/>
      <c r="AQM310" s="33"/>
      <c r="AQN310" s="33"/>
      <c r="AQO310" s="33"/>
      <c r="AQP310" s="33"/>
      <c r="AQQ310" s="33"/>
      <c r="AQR310" s="33"/>
      <c r="AQS310" s="37"/>
      <c r="AQT310" s="208"/>
      <c r="AQU310" s="207"/>
      <c r="AQV310" s="204"/>
      <c r="AQW310" s="35"/>
      <c r="AQX310" s="203"/>
      <c r="AQY310" s="203"/>
      <c r="AQZ310" s="36"/>
      <c r="ARA310" s="36"/>
      <c r="ARB310" s="203"/>
      <c r="ARC310" s="33"/>
      <c r="ARD310" s="33"/>
      <c r="ARE310" s="33"/>
      <c r="ARF310" s="33"/>
      <c r="ARG310" s="33"/>
      <c r="ARH310" s="33"/>
      <c r="ARI310" s="37"/>
      <c r="ARJ310" s="208"/>
      <c r="ARK310" s="207"/>
      <c r="ARL310" s="204"/>
      <c r="ARM310" s="35"/>
      <c r="ARN310" s="203"/>
      <c r="ARO310" s="203"/>
      <c r="ARP310" s="36"/>
      <c r="ARQ310" s="36"/>
      <c r="ARR310" s="203"/>
      <c r="ARS310" s="33"/>
      <c r="ART310" s="33"/>
      <c r="ARU310" s="33"/>
      <c r="ARV310" s="33"/>
      <c r="ARW310" s="33"/>
      <c r="ARX310" s="33"/>
      <c r="ARY310" s="37"/>
      <c r="ARZ310" s="208"/>
      <c r="ASA310" s="207"/>
      <c r="ASB310" s="204"/>
      <c r="ASC310" s="35"/>
      <c r="ASD310" s="203"/>
      <c r="ASE310" s="203"/>
      <c r="ASF310" s="36"/>
      <c r="ASG310" s="36"/>
      <c r="ASH310" s="203"/>
      <c r="ASI310" s="33"/>
      <c r="ASJ310" s="33"/>
      <c r="ASK310" s="33"/>
      <c r="ASL310" s="33"/>
      <c r="ASM310" s="33"/>
      <c r="ASN310" s="33"/>
      <c r="ASO310" s="37"/>
      <c r="ASP310" s="208"/>
      <c r="ASQ310" s="207"/>
      <c r="ASR310" s="204"/>
      <c r="ASS310" s="35"/>
      <c r="AST310" s="203"/>
      <c r="ASU310" s="203"/>
      <c r="ASV310" s="36"/>
      <c r="ASW310" s="36"/>
      <c r="ASX310" s="203"/>
      <c r="ASY310" s="33"/>
      <c r="ASZ310" s="33"/>
      <c r="ATA310" s="33"/>
      <c r="ATB310" s="33"/>
      <c r="ATC310" s="33"/>
      <c r="ATD310" s="33"/>
      <c r="ATE310" s="37"/>
      <c r="ATF310" s="208"/>
      <c r="ATG310" s="207"/>
      <c r="ATH310" s="204"/>
      <c r="ATI310" s="35"/>
      <c r="ATJ310" s="203"/>
      <c r="ATK310" s="203"/>
      <c r="ATL310" s="36"/>
      <c r="ATM310" s="36"/>
      <c r="ATN310" s="203"/>
      <c r="ATO310" s="33"/>
      <c r="ATP310" s="33"/>
      <c r="ATQ310" s="33"/>
      <c r="ATR310" s="33"/>
      <c r="ATS310" s="33"/>
      <c r="ATT310" s="33"/>
      <c r="ATU310" s="37"/>
      <c r="ATV310" s="208"/>
      <c r="ATW310" s="207"/>
      <c r="ATX310" s="204"/>
      <c r="ATY310" s="35"/>
      <c r="ATZ310" s="203"/>
      <c r="AUA310" s="203"/>
      <c r="AUB310" s="36"/>
      <c r="AUC310" s="36"/>
      <c r="AUD310" s="203"/>
      <c r="AUE310" s="33"/>
      <c r="AUF310" s="33"/>
      <c r="AUG310" s="33"/>
      <c r="AUH310" s="33"/>
      <c r="AUI310" s="33"/>
      <c r="AUJ310" s="33"/>
      <c r="AUK310" s="37"/>
      <c r="AUL310" s="208"/>
      <c r="AUM310" s="207"/>
      <c r="AUN310" s="204"/>
      <c r="AUO310" s="35"/>
      <c r="AUP310" s="203"/>
      <c r="AUQ310" s="203"/>
      <c r="AUR310" s="36"/>
      <c r="AUS310" s="36"/>
      <c r="AUT310" s="203"/>
      <c r="AUU310" s="33"/>
      <c r="AUV310" s="33"/>
      <c r="AUW310" s="33"/>
      <c r="AUX310" s="33"/>
      <c r="AUY310" s="33"/>
      <c r="AUZ310" s="33"/>
      <c r="AVA310" s="37"/>
      <c r="AVB310" s="208"/>
      <c r="AVC310" s="207"/>
      <c r="AVD310" s="204"/>
      <c r="AVE310" s="35"/>
      <c r="AVF310" s="203"/>
      <c r="AVG310" s="203"/>
      <c r="AVH310" s="36"/>
      <c r="AVI310" s="36"/>
      <c r="AVJ310" s="203"/>
      <c r="AVK310" s="33"/>
      <c r="AVL310" s="33"/>
      <c r="AVM310" s="33"/>
      <c r="AVN310" s="33"/>
      <c r="AVO310" s="33"/>
      <c r="AVP310" s="33"/>
      <c r="AVQ310" s="37"/>
      <c r="AVR310" s="208"/>
      <c r="AVS310" s="207"/>
      <c r="AVT310" s="204"/>
      <c r="AVU310" s="35"/>
      <c r="AVV310" s="203"/>
      <c r="AVW310" s="203"/>
      <c r="AVX310" s="36"/>
      <c r="AVY310" s="36"/>
      <c r="AVZ310" s="203"/>
      <c r="AWA310" s="33"/>
      <c r="AWB310" s="33"/>
      <c r="AWC310" s="33"/>
      <c r="AWD310" s="33"/>
      <c r="AWE310" s="33"/>
      <c r="AWF310" s="33"/>
      <c r="AWG310" s="37"/>
      <c r="AWH310" s="208"/>
      <c r="AWI310" s="207"/>
      <c r="AWJ310" s="204"/>
      <c r="AWK310" s="35"/>
      <c r="AWL310" s="203"/>
      <c r="AWM310" s="203"/>
      <c r="AWN310" s="36"/>
      <c r="AWO310" s="36"/>
      <c r="AWP310" s="203"/>
      <c r="AWQ310" s="33"/>
      <c r="AWR310" s="33"/>
      <c r="AWS310" s="33"/>
      <c r="AWT310" s="33"/>
      <c r="AWU310" s="33"/>
      <c r="AWV310" s="33"/>
      <c r="AWW310" s="37"/>
      <c r="AWX310" s="208"/>
      <c r="AWY310" s="207"/>
      <c r="AWZ310" s="204"/>
      <c r="AXA310" s="35"/>
      <c r="AXB310" s="203"/>
      <c r="AXC310" s="203"/>
      <c r="AXD310" s="36"/>
      <c r="AXE310" s="36"/>
      <c r="AXF310" s="203"/>
      <c r="AXG310" s="33"/>
      <c r="AXH310" s="33"/>
      <c r="AXI310" s="33"/>
      <c r="AXJ310" s="33"/>
      <c r="AXK310" s="33"/>
      <c r="AXL310" s="33"/>
      <c r="AXM310" s="37"/>
      <c r="AXN310" s="208"/>
      <c r="AXO310" s="207"/>
      <c r="AXP310" s="204"/>
      <c r="AXQ310" s="35"/>
      <c r="AXR310" s="203"/>
      <c r="AXS310" s="203"/>
      <c r="AXT310" s="36"/>
      <c r="AXU310" s="36"/>
      <c r="AXV310" s="203"/>
      <c r="AXW310" s="33"/>
      <c r="AXX310" s="33"/>
      <c r="AXY310" s="33"/>
      <c r="AXZ310" s="33"/>
      <c r="AYA310" s="33"/>
      <c r="AYB310" s="33"/>
      <c r="AYC310" s="37"/>
      <c r="AYD310" s="208"/>
      <c r="AYE310" s="207"/>
      <c r="AYF310" s="204"/>
      <c r="AYG310" s="35"/>
      <c r="AYH310" s="203"/>
      <c r="AYI310" s="203"/>
      <c r="AYJ310" s="36"/>
      <c r="AYK310" s="36"/>
      <c r="AYL310" s="203"/>
      <c r="AYM310" s="33"/>
      <c r="AYN310" s="33"/>
      <c r="AYO310" s="33"/>
      <c r="AYP310" s="33"/>
      <c r="AYQ310" s="33"/>
      <c r="AYR310" s="33"/>
      <c r="AYS310" s="37"/>
      <c r="AYT310" s="208"/>
      <c r="AYU310" s="207"/>
      <c r="AYV310" s="204"/>
      <c r="AYW310" s="35"/>
      <c r="AYX310" s="203"/>
      <c r="AYY310" s="203"/>
      <c r="AYZ310" s="36"/>
      <c r="AZA310" s="36"/>
      <c r="AZB310" s="203"/>
      <c r="AZC310" s="33"/>
      <c r="AZD310" s="33"/>
      <c r="AZE310" s="33"/>
      <c r="AZF310" s="33"/>
      <c r="AZG310" s="33"/>
      <c r="AZH310" s="33"/>
      <c r="AZI310" s="37"/>
      <c r="AZJ310" s="208"/>
      <c r="AZK310" s="207"/>
      <c r="AZL310" s="204"/>
      <c r="AZM310" s="35"/>
      <c r="AZN310" s="203"/>
      <c r="AZO310" s="203"/>
      <c r="AZP310" s="36"/>
      <c r="AZQ310" s="36"/>
      <c r="AZR310" s="203"/>
      <c r="AZS310" s="33"/>
      <c r="AZT310" s="33"/>
      <c r="AZU310" s="33"/>
      <c r="AZV310" s="33"/>
      <c r="AZW310" s="33"/>
      <c r="AZX310" s="33"/>
      <c r="AZY310" s="37"/>
      <c r="AZZ310" s="208"/>
      <c r="BAA310" s="207"/>
      <c r="BAB310" s="204"/>
      <c r="BAC310" s="35"/>
      <c r="BAD310" s="203"/>
      <c r="BAE310" s="203"/>
      <c r="BAF310" s="36"/>
      <c r="BAG310" s="36"/>
      <c r="BAH310" s="203"/>
      <c r="BAI310" s="33"/>
      <c r="BAJ310" s="33"/>
      <c r="BAK310" s="33"/>
      <c r="BAL310" s="33"/>
      <c r="BAM310" s="33"/>
      <c r="BAN310" s="33"/>
      <c r="BAO310" s="37"/>
      <c r="BAP310" s="208"/>
      <c r="BAQ310" s="207"/>
      <c r="BAR310" s="204"/>
      <c r="BAS310" s="35"/>
      <c r="BAT310" s="203"/>
      <c r="BAU310" s="203"/>
      <c r="BAV310" s="36"/>
      <c r="BAW310" s="36"/>
      <c r="BAX310" s="203"/>
      <c r="BAY310" s="33"/>
      <c r="BAZ310" s="33"/>
      <c r="BBA310" s="33"/>
      <c r="BBB310" s="33"/>
      <c r="BBC310" s="33"/>
      <c r="BBD310" s="33"/>
      <c r="BBE310" s="37"/>
      <c r="BBF310" s="208"/>
      <c r="BBG310" s="207"/>
      <c r="BBH310" s="204"/>
      <c r="BBI310" s="35"/>
      <c r="BBJ310" s="203"/>
      <c r="BBK310" s="203"/>
      <c r="BBL310" s="36"/>
      <c r="BBM310" s="36"/>
      <c r="BBN310" s="203"/>
      <c r="BBO310" s="33"/>
      <c r="BBP310" s="33"/>
      <c r="BBQ310" s="33"/>
      <c r="BBR310" s="33"/>
      <c r="BBS310" s="33"/>
      <c r="BBT310" s="33"/>
      <c r="BBU310" s="37"/>
      <c r="BBV310" s="208"/>
      <c r="BBW310" s="207"/>
      <c r="BBX310" s="204"/>
      <c r="BBY310" s="35"/>
      <c r="BBZ310" s="203"/>
      <c r="BCA310" s="203"/>
      <c r="BCB310" s="36"/>
      <c r="BCC310" s="36"/>
      <c r="BCD310" s="203"/>
      <c r="BCE310" s="33"/>
      <c r="BCF310" s="33"/>
      <c r="BCG310" s="33"/>
      <c r="BCH310" s="33"/>
      <c r="BCI310" s="33"/>
      <c r="BCJ310" s="33"/>
      <c r="BCK310" s="37"/>
      <c r="BCL310" s="208"/>
      <c r="BCM310" s="207"/>
      <c r="BCN310" s="204"/>
      <c r="BCO310" s="35"/>
      <c r="BCP310" s="203"/>
      <c r="BCQ310" s="203"/>
      <c r="BCR310" s="36"/>
      <c r="BCS310" s="36"/>
      <c r="BCT310" s="203"/>
      <c r="BCU310" s="33"/>
      <c r="BCV310" s="33"/>
      <c r="BCW310" s="33"/>
      <c r="BCX310" s="33"/>
      <c r="BCY310" s="33"/>
      <c r="BCZ310" s="33"/>
      <c r="BDA310" s="37"/>
      <c r="BDB310" s="208"/>
      <c r="BDC310" s="207"/>
      <c r="BDD310" s="204"/>
      <c r="BDE310" s="35"/>
      <c r="BDF310" s="203"/>
      <c r="BDG310" s="203"/>
      <c r="BDH310" s="36"/>
      <c r="BDI310" s="36"/>
      <c r="BDJ310" s="203"/>
      <c r="BDK310" s="33"/>
      <c r="BDL310" s="33"/>
      <c r="BDM310" s="33"/>
      <c r="BDN310" s="33"/>
      <c r="BDO310" s="33"/>
      <c r="BDP310" s="33"/>
      <c r="BDQ310" s="37"/>
      <c r="BDR310" s="208"/>
      <c r="BDS310" s="207"/>
      <c r="BDT310" s="204"/>
      <c r="BDU310" s="35"/>
      <c r="BDV310" s="203"/>
      <c r="BDW310" s="203"/>
      <c r="BDX310" s="36"/>
      <c r="BDY310" s="36"/>
      <c r="BDZ310" s="203"/>
      <c r="BEA310" s="33"/>
      <c r="BEB310" s="33"/>
      <c r="BEC310" s="33"/>
      <c r="BED310" s="33"/>
      <c r="BEE310" s="33"/>
      <c r="BEF310" s="33"/>
      <c r="BEG310" s="37"/>
      <c r="BEH310" s="208"/>
      <c r="BEI310" s="207"/>
      <c r="BEJ310" s="204"/>
      <c r="BEK310" s="35"/>
      <c r="BEL310" s="203"/>
      <c r="BEM310" s="203"/>
      <c r="BEN310" s="36"/>
      <c r="BEO310" s="36"/>
      <c r="BEP310" s="203"/>
      <c r="BEQ310" s="33"/>
      <c r="BER310" s="33"/>
      <c r="BES310" s="33"/>
      <c r="BET310" s="33"/>
      <c r="BEU310" s="33"/>
      <c r="BEV310" s="33"/>
      <c r="BEW310" s="37"/>
      <c r="BEX310" s="208"/>
      <c r="BEY310" s="207"/>
      <c r="BEZ310" s="204"/>
      <c r="BFA310" s="35"/>
      <c r="BFB310" s="203"/>
      <c r="BFC310" s="203"/>
      <c r="BFD310" s="36"/>
      <c r="BFE310" s="36"/>
      <c r="BFF310" s="203"/>
      <c r="BFG310" s="33"/>
      <c r="BFH310" s="33"/>
      <c r="BFI310" s="33"/>
      <c r="BFJ310" s="33"/>
      <c r="BFK310" s="33"/>
      <c r="BFL310" s="33"/>
      <c r="BFM310" s="37"/>
      <c r="BFN310" s="208"/>
      <c r="BFO310" s="207"/>
      <c r="BFP310" s="204"/>
      <c r="BFQ310" s="35"/>
      <c r="BFR310" s="203"/>
      <c r="BFS310" s="203"/>
      <c r="BFT310" s="36"/>
      <c r="BFU310" s="36"/>
      <c r="BFV310" s="203"/>
      <c r="BFW310" s="33"/>
      <c r="BFX310" s="33"/>
      <c r="BFY310" s="33"/>
      <c r="BFZ310" s="33"/>
      <c r="BGA310" s="33"/>
      <c r="BGB310" s="33"/>
      <c r="BGC310" s="37"/>
      <c r="BGD310" s="208"/>
      <c r="BGE310" s="207"/>
      <c r="BGF310" s="204"/>
      <c r="BGG310" s="35"/>
      <c r="BGH310" s="203"/>
      <c r="BGI310" s="203"/>
      <c r="BGJ310" s="36"/>
      <c r="BGK310" s="36"/>
      <c r="BGL310" s="203"/>
      <c r="BGM310" s="33"/>
      <c r="BGN310" s="33"/>
      <c r="BGO310" s="33"/>
      <c r="BGP310" s="33"/>
      <c r="BGQ310" s="33"/>
      <c r="BGR310" s="33"/>
      <c r="BGS310" s="37"/>
      <c r="BGT310" s="208"/>
      <c r="BGU310" s="207"/>
      <c r="BGV310" s="204"/>
      <c r="BGW310" s="35"/>
      <c r="BGX310" s="203"/>
      <c r="BGY310" s="203"/>
      <c r="BGZ310" s="36"/>
      <c r="BHA310" s="36"/>
      <c r="BHB310" s="203"/>
      <c r="BHC310" s="33"/>
      <c r="BHD310" s="33"/>
      <c r="BHE310" s="33"/>
      <c r="BHF310" s="33"/>
      <c r="BHG310" s="33"/>
      <c r="BHH310" s="33"/>
      <c r="BHI310" s="37"/>
      <c r="BHJ310" s="208"/>
      <c r="BHK310" s="207"/>
      <c r="BHL310" s="204"/>
      <c r="BHM310" s="35"/>
      <c r="BHN310" s="203"/>
      <c r="BHO310" s="203"/>
      <c r="BHP310" s="36"/>
      <c r="BHQ310" s="36"/>
      <c r="BHR310" s="203"/>
      <c r="BHS310" s="33"/>
      <c r="BHT310" s="33"/>
      <c r="BHU310" s="33"/>
      <c r="BHV310" s="33"/>
      <c r="BHW310" s="33"/>
      <c r="BHX310" s="33"/>
      <c r="BHY310" s="37"/>
      <c r="BHZ310" s="208"/>
      <c r="BIA310" s="207"/>
      <c r="BIB310" s="204"/>
      <c r="BIC310" s="35"/>
      <c r="BID310" s="203"/>
      <c r="BIE310" s="203"/>
      <c r="BIF310" s="36"/>
      <c r="BIG310" s="36"/>
      <c r="BIH310" s="203"/>
      <c r="BII310" s="33"/>
      <c r="BIJ310" s="33"/>
      <c r="BIK310" s="33"/>
      <c r="BIL310" s="33"/>
      <c r="BIM310" s="33"/>
      <c r="BIN310" s="33"/>
      <c r="BIO310" s="37"/>
      <c r="BIP310" s="208"/>
      <c r="BIQ310" s="207"/>
      <c r="BIR310" s="204"/>
      <c r="BIS310" s="35"/>
      <c r="BIT310" s="203"/>
      <c r="BIU310" s="203"/>
      <c r="BIV310" s="36"/>
      <c r="BIW310" s="36"/>
      <c r="BIX310" s="203"/>
      <c r="BIY310" s="33"/>
      <c r="BIZ310" s="33"/>
      <c r="BJA310" s="33"/>
      <c r="BJB310" s="33"/>
      <c r="BJC310" s="33"/>
      <c r="BJD310" s="33"/>
      <c r="BJE310" s="37"/>
      <c r="BJF310" s="208"/>
      <c r="BJG310" s="207"/>
      <c r="BJH310" s="204"/>
      <c r="BJI310" s="35"/>
      <c r="BJJ310" s="203"/>
      <c r="BJK310" s="203"/>
      <c r="BJL310" s="36"/>
      <c r="BJM310" s="36"/>
      <c r="BJN310" s="203"/>
      <c r="BJO310" s="33"/>
      <c r="BJP310" s="33"/>
      <c r="BJQ310" s="33"/>
      <c r="BJR310" s="33"/>
      <c r="BJS310" s="33"/>
      <c r="BJT310" s="33"/>
      <c r="BJU310" s="37"/>
      <c r="BJV310" s="208"/>
      <c r="BJW310" s="207"/>
      <c r="BJX310" s="204"/>
      <c r="BJY310" s="35"/>
      <c r="BJZ310" s="203"/>
      <c r="BKA310" s="203"/>
      <c r="BKB310" s="36"/>
      <c r="BKC310" s="36"/>
      <c r="BKD310" s="203"/>
      <c r="BKE310" s="33"/>
      <c r="BKF310" s="33"/>
      <c r="BKG310" s="33"/>
      <c r="BKH310" s="33"/>
      <c r="BKI310" s="33"/>
      <c r="BKJ310" s="33"/>
      <c r="BKK310" s="37"/>
      <c r="BKL310" s="208"/>
      <c r="BKM310" s="207"/>
      <c r="BKN310" s="204"/>
      <c r="BKO310" s="35"/>
      <c r="BKP310" s="203"/>
      <c r="BKQ310" s="203"/>
      <c r="BKR310" s="36"/>
      <c r="BKS310" s="36"/>
      <c r="BKT310" s="203"/>
      <c r="BKU310" s="33"/>
      <c r="BKV310" s="33"/>
      <c r="BKW310" s="33"/>
      <c r="BKX310" s="33"/>
      <c r="BKY310" s="33"/>
      <c r="BKZ310" s="33"/>
      <c r="BLA310" s="37"/>
      <c r="BLB310" s="208"/>
      <c r="BLC310" s="207"/>
      <c r="BLD310" s="204"/>
      <c r="BLE310" s="35"/>
      <c r="BLF310" s="203"/>
      <c r="BLG310" s="203"/>
      <c r="BLH310" s="36"/>
      <c r="BLI310" s="36"/>
      <c r="BLJ310" s="203"/>
      <c r="BLK310" s="33"/>
      <c r="BLL310" s="33"/>
      <c r="BLM310" s="33"/>
      <c r="BLN310" s="33"/>
      <c r="BLO310" s="33"/>
      <c r="BLP310" s="33"/>
      <c r="BLQ310" s="37"/>
      <c r="BLR310" s="208"/>
      <c r="BLS310" s="207"/>
      <c r="BLT310" s="204"/>
      <c r="BLU310" s="35"/>
      <c r="BLV310" s="203"/>
      <c r="BLW310" s="203"/>
      <c r="BLX310" s="36"/>
      <c r="BLY310" s="36"/>
      <c r="BLZ310" s="203"/>
      <c r="BMA310" s="33"/>
      <c r="BMB310" s="33"/>
      <c r="BMC310" s="33"/>
      <c r="BMD310" s="33"/>
      <c r="BME310" s="33"/>
      <c r="BMF310" s="33"/>
      <c r="BMG310" s="37"/>
      <c r="BMH310" s="208"/>
      <c r="BMI310" s="207"/>
      <c r="BMJ310" s="204"/>
      <c r="BMK310" s="35"/>
      <c r="BML310" s="203"/>
      <c r="BMM310" s="203"/>
      <c r="BMN310" s="36"/>
      <c r="BMO310" s="36"/>
      <c r="BMP310" s="203"/>
      <c r="BMQ310" s="33"/>
      <c r="BMR310" s="33"/>
      <c r="BMS310" s="33"/>
      <c r="BMT310" s="33"/>
      <c r="BMU310" s="33"/>
      <c r="BMV310" s="33"/>
      <c r="BMW310" s="37"/>
      <c r="BMX310" s="208"/>
      <c r="BMY310" s="207"/>
      <c r="BMZ310" s="204"/>
      <c r="BNA310" s="35"/>
      <c r="BNB310" s="203"/>
      <c r="BNC310" s="203"/>
      <c r="BND310" s="36"/>
      <c r="BNE310" s="36"/>
      <c r="BNF310" s="203"/>
      <c r="BNG310" s="33"/>
      <c r="BNH310" s="33"/>
      <c r="BNI310" s="33"/>
      <c r="BNJ310" s="33"/>
      <c r="BNK310" s="33"/>
      <c r="BNL310" s="33"/>
      <c r="BNM310" s="37"/>
      <c r="BNN310" s="208"/>
      <c r="BNO310" s="207"/>
      <c r="BNP310" s="204"/>
      <c r="BNQ310" s="35"/>
      <c r="BNR310" s="203"/>
      <c r="BNS310" s="203"/>
      <c r="BNT310" s="36"/>
      <c r="BNU310" s="36"/>
      <c r="BNV310" s="203"/>
      <c r="BNW310" s="33"/>
      <c r="BNX310" s="33"/>
      <c r="BNY310" s="33"/>
      <c r="BNZ310" s="33"/>
      <c r="BOA310" s="33"/>
      <c r="BOB310" s="33"/>
      <c r="BOC310" s="37"/>
      <c r="BOD310" s="208"/>
      <c r="BOE310" s="207"/>
      <c r="BOF310" s="204"/>
      <c r="BOG310" s="35"/>
      <c r="BOH310" s="203"/>
      <c r="BOI310" s="203"/>
      <c r="BOJ310" s="36"/>
      <c r="BOK310" s="36"/>
      <c r="BOL310" s="203"/>
      <c r="BOM310" s="33"/>
      <c r="BON310" s="33"/>
      <c r="BOO310" s="33"/>
      <c r="BOP310" s="33"/>
      <c r="BOQ310" s="33"/>
      <c r="BOR310" s="33"/>
      <c r="BOS310" s="37"/>
      <c r="BOT310" s="208"/>
      <c r="BOU310" s="207"/>
      <c r="BOV310" s="204"/>
      <c r="BOW310" s="35"/>
      <c r="BOX310" s="203"/>
      <c r="BOY310" s="203"/>
      <c r="BOZ310" s="36"/>
      <c r="BPA310" s="36"/>
      <c r="BPB310" s="203"/>
      <c r="BPC310" s="33"/>
      <c r="BPD310" s="33"/>
      <c r="BPE310" s="33"/>
      <c r="BPF310" s="33"/>
      <c r="BPG310" s="33"/>
      <c r="BPH310" s="33"/>
      <c r="BPI310" s="37"/>
      <c r="BPJ310" s="208"/>
      <c r="BPK310" s="207"/>
      <c r="BPL310" s="204"/>
      <c r="BPM310" s="35"/>
      <c r="BPN310" s="203"/>
      <c r="BPO310" s="203"/>
      <c r="BPP310" s="36"/>
      <c r="BPQ310" s="36"/>
      <c r="BPR310" s="203"/>
      <c r="BPS310" s="33"/>
      <c r="BPT310" s="33"/>
      <c r="BPU310" s="33"/>
      <c r="BPV310" s="33"/>
      <c r="BPW310" s="33"/>
      <c r="BPX310" s="33"/>
      <c r="BPY310" s="37"/>
      <c r="BPZ310" s="208"/>
      <c r="BQA310" s="207"/>
      <c r="BQB310" s="204"/>
      <c r="BQC310" s="35"/>
      <c r="BQD310" s="203"/>
      <c r="BQE310" s="203"/>
      <c r="BQF310" s="36"/>
      <c r="BQG310" s="36"/>
      <c r="BQH310" s="203"/>
      <c r="BQI310" s="33"/>
      <c r="BQJ310" s="33"/>
      <c r="BQK310" s="33"/>
      <c r="BQL310" s="33"/>
      <c r="BQM310" s="33"/>
      <c r="BQN310" s="33"/>
      <c r="BQO310" s="37"/>
      <c r="BQP310" s="208"/>
      <c r="BQQ310" s="207"/>
      <c r="BQR310" s="204"/>
      <c r="BQS310" s="35"/>
      <c r="BQT310" s="203"/>
      <c r="BQU310" s="203"/>
      <c r="BQV310" s="36"/>
      <c r="BQW310" s="36"/>
      <c r="BQX310" s="203"/>
      <c r="BQY310" s="33"/>
      <c r="BQZ310" s="33"/>
      <c r="BRA310" s="33"/>
      <c r="BRB310" s="33"/>
      <c r="BRC310" s="33"/>
      <c r="BRD310" s="33"/>
      <c r="BRE310" s="37"/>
      <c r="BRF310" s="208"/>
      <c r="BRG310" s="207"/>
      <c r="BRH310" s="204"/>
      <c r="BRI310" s="35"/>
      <c r="BRJ310" s="203"/>
      <c r="BRK310" s="203"/>
      <c r="BRL310" s="36"/>
      <c r="BRM310" s="36"/>
      <c r="BRN310" s="203"/>
      <c r="BRO310" s="33"/>
      <c r="BRP310" s="33"/>
      <c r="BRQ310" s="33"/>
      <c r="BRR310" s="33"/>
      <c r="BRS310" s="33"/>
      <c r="BRT310" s="33"/>
      <c r="BRU310" s="37"/>
      <c r="BRV310" s="208"/>
      <c r="BRW310" s="207"/>
      <c r="BRX310" s="204"/>
      <c r="BRY310" s="35"/>
      <c r="BRZ310" s="203"/>
      <c r="BSA310" s="203"/>
      <c r="BSB310" s="36"/>
      <c r="BSC310" s="36"/>
      <c r="BSD310" s="203"/>
      <c r="BSE310" s="33"/>
      <c r="BSF310" s="33"/>
      <c r="BSG310" s="33"/>
      <c r="BSH310" s="33"/>
      <c r="BSI310" s="33"/>
      <c r="BSJ310" s="33"/>
      <c r="BSK310" s="37"/>
      <c r="BSL310" s="208"/>
      <c r="BSM310" s="207"/>
      <c r="BSN310" s="204"/>
      <c r="BSO310" s="35"/>
      <c r="BSP310" s="203"/>
      <c r="BSQ310" s="203"/>
      <c r="BSR310" s="36"/>
      <c r="BSS310" s="36"/>
      <c r="BST310" s="203"/>
      <c r="BSU310" s="33"/>
      <c r="BSV310" s="33"/>
      <c r="BSW310" s="33"/>
      <c r="BSX310" s="33"/>
      <c r="BSY310" s="33"/>
      <c r="BSZ310" s="33"/>
      <c r="BTA310" s="37"/>
      <c r="BTB310" s="208"/>
      <c r="BTC310" s="207"/>
      <c r="BTD310" s="204"/>
      <c r="BTE310" s="35"/>
      <c r="BTF310" s="203"/>
      <c r="BTG310" s="203"/>
      <c r="BTH310" s="36"/>
      <c r="BTI310" s="36"/>
      <c r="BTJ310" s="203"/>
      <c r="BTK310" s="33"/>
      <c r="BTL310" s="33"/>
      <c r="BTM310" s="33"/>
      <c r="BTN310" s="33"/>
      <c r="BTO310" s="33"/>
      <c r="BTP310" s="33"/>
      <c r="BTQ310" s="37"/>
      <c r="BTR310" s="208"/>
      <c r="BTS310" s="207"/>
      <c r="BTT310" s="204"/>
      <c r="BTU310" s="35"/>
      <c r="BTV310" s="203"/>
      <c r="BTW310" s="203"/>
      <c r="BTX310" s="36"/>
      <c r="BTY310" s="36"/>
      <c r="BTZ310" s="203"/>
      <c r="BUA310" s="33"/>
      <c r="BUB310" s="33"/>
      <c r="BUC310" s="33"/>
      <c r="BUD310" s="33"/>
      <c r="BUE310" s="33"/>
      <c r="BUF310" s="33"/>
      <c r="BUG310" s="37"/>
      <c r="BUH310" s="208"/>
      <c r="BUI310" s="207"/>
      <c r="BUJ310" s="204"/>
      <c r="BUK310" s="35"/>
      <c r="BUL310" s="203"/>
      <c r="BUM310" s="203"/>
      <c r="BUN310" s="36"/>
      <c r="BUO310" s="36"/>
      <c r="BUP310" s="203"/>
      <c r="BUQ310" s="33"/>
      <c r="BUR310" s="33"/>
      <c r="BUS310" s="33"/>
      <c r="BUT310" s="33"/>
      <c r="BUU310" s="33"/>
      <c r="BUV310" s="33"/>
      <c r="BUW310" s="37"/>
      <c r="BUX310" s="208"/>
      <c r="BUY310" s="207"/>
      <c r="BUZ310" s="204"/>
      <c r="BVA310" s="35"/>
      <c r="BVB310" s="203"/>
      <c r="BVC310" s="203"/>
      <c r="BVD310" s="36"/>
      <c r="BVE310" s="36"/>
      <c r="BVF310" s="203"/>
      <c r="BVG310" s="33"/>
      <c r="BVH310" s="33"/>
      <c r="BVI310" s="33"/>
      <c r="BVJ310" s="33"/>
      <c r="BVK310" s="33"/>
      <c r="BVL310" s="33"/>
      <c r="BVM310" s="37"/>
      <c r="BVN310" s="208"/>
      <c r="BVO310" s="207"/>
      <c r="BVP310" s="204"/>
      <c r="BVQ310" s="35"/>
      <c r="BVR310" s="203"/>
      <c r="BVS310" s="203"/>
      <c r="BVT310" s="36"/>
      <c r="BVU310" s="36"/>
      <c r="BVV310" s="203"/>
      <c r="BVW310" s="33"/>
      <c r="BVX310" s="33"/>
      <c r="BVY310" s="33"/>
      <c r="BVZ310" s="33"/>
      <c r="BWA310" s="33"/>
      <c r="BWB310" s="33"/>
      <c r="BWC310" s="37"/>
      <c r="BWD310" s="208"/>
      <c r="BWE310" s="207"/>
      <c r="BWF310" s="204"/>
      <c r="BWG310" s="35"/>
      <c r="BWH310" s="203"/>
      <c r="BWI310" s="203"/>
      <c r="BWJ310" s="36"/>
      <c r="BWK310" s="36"/>
      <c r="BWL310" s="203"/>
      <c r="BWM310" s="33"/>
      <c r="BWN310" s="33"/>
      <c r="BWO310" s="33"/>
      <c r="BWP310" s="33"/>
      <c r="BWQ310" s="33"/>
      <c r="BWR310" s="33"/>
      <c r="BWS310" s="37"/>
      <c r="BWT310" s="208"/>
      <c r="BWU310" s="207"/>
      <c r="BWV310" s="204"/>
      <c r="BWW310" s="35"/>
      <c r="BWX310" s="203"/>
      <c r="BWY310" s="203"/>
      <c r="BWZ310" s="36"/>
      <c r="BXA310" s="36"/>
      <c r="BXB310" s="203"/>
      <c r="BXC310" s="33"/>
      <c r="BXD310" s="33"/>
      <c r="BXE310" s="33"/>
      <c r="BXF310" s="33"/>
      <c r="BXG310" s="33"/>
      <c r="BXH310" s="33"/>
      <c r="BXI310" s="37"/>
      <c r="BXJ310" s="208"/>
      <c r="BXK310" s="207"/>
      <c r="BXL310" s="204"/>
      <c r="BXM310" s="35"/>
      <c r="BXN310" s="203"/>
      <c r="BXO310" s="203"/>
      <c r="BXP310" s="36"/>
      <c r="BXQ310" s="36"/>
      <c r="BXR310" s="203"/>
      <c r="BXS310" s="33"/>
      <c r="BXT310" s="33"/>
      <c r="BXU310" s="33"/>
      <c r="BXV310" s="33"/>
      <c r="BXW310" s="33"/>
      <c r="BXX310" s="33"/>
      <c r="BXY310" s="37"/>
      <c r="BXZ310" s="208"/>
      <c r="BYA310" s="207"/>
      <c r="BYB310" s="204"/>
      <c r="BYC310" s="35"/>
      <c r="BYD310" s="203"/>
      <c r="BYE310" s="203"/>
      <c r="BYF310" s="36"/>
      <c r="BYG310" s="36"/>
      <c r="BYH310" s="203"/>
      <c r="BYI310" s="33"/>
      <c r="BYJ310" s="33"/>
      <c r="BYK310" s="33"/>
      <c r="BYL310" s="33"/>
      <c r="BYM310" s="33"/>
      <c r="BYN310" s="33"/>
      <c r="BYO310" s="37"/>
      <c r="BYP310" s="208"/>
      <c r="BYQ310" s="207"/>
      <c r="BYR310" s="204"/>
      <c r="BYS310" s="35"/>
      <c r="BYT310" s="203"/>
      <c r="BYU310" s="203"/>
      <c r="BYV310" s="36"/>
      <c r="BYW310" s="36"/>
      <c r="BYX310" s="203"/>
      <c r="BYY310" s="33"/>
      <c r="BYZ310" s="33"/>
      <c r="BZA310" s="33"/>
      <c r="BZB310" s="33"/>
      <c r="BZC310" s="33"/>
      <c r="BZD310" s="33"/>
      <c r="BZE310" s="37"/>
      <c r="BZF310" s="208"/>
      <c r="BZG310" s="207"/>
      <c r="BZH310" s="204"/>
      <c r="BZI310" s="35"/>
      <c r="BZJ310" s="203"/>
      <c r="BZK310" s="203"/>
      <c r="BZL310" s="36"/>
      <c r="BZM310" s="36"/>
      <c r="BZN310" s="203"/>
      <c r="BZO310" s="33"/>
      <c r="BZP310" s="33"/>
      <c r="BZQ310" s="33"/>
      <c r="BZR310" s="33"/>
      <c r="BZS310" s="33"/>
      <c r="BZT310" s="33"/>
      <c r="BZU310" s="37"/>
      <c r="BZV310" s="208"/>
      <c r="BZW310" s="207"/>
      <c r="BZX310" s="204"/>
      <c r="BZY310" s="35"/>
      <c r="BZZ310" s="203"/>
      <c r="CAA310" s="203"/>
      <c r="CAB310" s="36"/>
      <c r="CAC310" s="36"/>
      <c r="CAD310" s="203"/>
      <c r="CAE310" s="33"/>
      <c r="CAF310" s="33"/>
      <c r="CAG310" s="33"/>
      <c r="CAH310" s="33"/>
      <c r="CAI310" s="33"/>
      <c r="CAJ310" s="33"/>
      <c r="CAK310" s="37"/>
      <c r="CAL310" s="208"/>
      <c r="CAM310" s="207"/>
      <c r="CAN310" s="204"/>
      <c r="CAO310" s="35"/>
      <c r="CAP310" s="203"/>
      <c r="CAQ310" s="203"/>
      <c r="CAR310" s="36"/>
      <c r="CAS310" s="36"/>
      <c r="CAT310" s="203"/>
      <c r="CAU310" s="33"/>
      <c r="CAV310" s="33"/>
      <c r="CAW310" s="33"/>
      <c r="CAX310" s="33"/>
      <c r="CAY310" s="33"/>
      <c r="CAZ310" s="33"/>
      <c r="CBA310" s="37"/>
      <c r="CBB310" s="208"/>
      <c r="CBC310" s="207"/>
      <c r="CBD310" s="204"/>
      <c r="CBE310" s="35"/>
      <c r="CBF310" s="203"/>
      <c r="CBG310" s="203"/>
      <c r="CBH310" s="36"/>
      <c r="CBI310" s="36"/>
      <c r="CBJ310" s="203"/>
      <c r="CBK310" s="33"/>
      <c r="CBL310" s="33"/>
      <c r="CBM310" s="33"/>
      <c r="CBN310" s="33"/>
      <c r="CBO310" s="33"/>
      <c r="CBP310" s="33"/>
      <c r="CBQ310" s="37"/>
      <c r="CBR310" s="208"/>
      <c r="CBS310" s="207"/>
      <c r="CBT310" s="204"/>
      <c r="CBU310" s="35"/>
      <c r="CBV310" s="203"/>
      <c r="CBW310" s="203"/>
      <c r="CBX310" s="36"/>
      <c r="CBY310" s="36"/>
      <c r="CBZ310" s="203"/>
      <c r="CCA310" s="33"/>
      <c r="CCB310" s="33"/>
      <c r="CCC310" s="33"/>
      <c r="CCD310" s="33"/>
      <c r="CCE310" s="33"/>
      <c r="CCF310" s="33"/>
      <c r="CCG310" s="37"/>
      <c r="CCH310" s="208"/>
      <c r="CCI310" s="207"/>
      <c r="CCJ310" s="204"/>
      <c r="CCK310" s="35"/>
      <c r="CCL310" s="203"/>
      <c r="CCM310" s="203"/>
      <c r="CCN310" s="36"/>
      <c r="CCO310" s="36"/>
      <c r="CCP310" s="203"/>
      <c r="CCQ310" s="33"/>
      <c r="CCR310" s="33"/>
      <c r="CCS310" s="33"/>
      <c r="CCT310" s="33"/>
      <c r="CCU310" s="33"/>
      <c r="CCV310" s="33"/>
      <c r="CCW310" s="37"/>
      <c r="CCX310" s="208"/>
      <c r="CCY310" s="207"/>
      <c r="CCZ310" s="204"/>
      <c r="CDA310" s="35"/>
      <c r="CDB310" s="203"/>
      <c r="CDC310" s="203"/>
      <c r="CDD310" s="36"/>
      <c r="CDE310" s="36"/>
      <c r="CDF310" s="203"/>
      <c r="CDG310" s="33"/>
      <c r="CDH310" s="33"/>
      <c r="CDI310" s="33"/>
      <c r="CDJ310" s="33"/>
      <c r="CDK310" s="33"/>
      <c r="CDL310" s="33"/>
      <c r="CDM310" s="37"/>
      <c r="CDN310" s="208"/>
      <c r="CDO310" s="207"/>
      <c r="CDP310" s="204"/>
      <c r="CDQ310" s="35"/>
      <c r="CDR310" s="203"/>
      <c r="CDS310" s="203"/>
      <c r="CDT310" s="36"/>
      <c r="CDU310" s="36"/>
      <c r="CDV310" s="203"/>
      <c r="CDW310" s="33"/>
      <c r="CDX310" s="33"/>
      <c r="CDY310" s="33"/>
      <c r="CDZ310" s="33"/>
      <c r="CEA310" s="33"/>
      <c r="CEB310" s="33"/>
      <c r="CEC310" s="37"/>
      <c r="CED310" s="208"/>
      <c r="CEE310" s="207"/>
      <c r="CEF310" s="204"/>
      <c r="CEG310" s="35"/>
      <c r="CEH310" s="203"/>
      <c r="CEI310" s="203"/>
      <c r="CEJ310" s="36"/>
      <c r="CEK310" s="36"/>
      <c r="CEL310" s="203"/>
      <c r="CEM310" s="33"/>
      <c r="CEN310" s="33"/>
      <c r="CEO310" s="33"/>
      <c r="CEP310" s="33"/>
      <c r="CEQ310" s="33"/>
      <c r="CER310" s="33"/>
      <c r="CES310" s="37"/>
      <c r="CET310" s="208"/>
      <c r="CEU310" s="207"/>
      <c r="CEV310" s="204"/>
      <c r="CEW310" s="35"/>
      <c r="CEX310" s="203"/>
      <c r="CEY310" s="203"/>
      <c r="CEZ310" s="36"/>
      <c r="CFA310" s="36"/>
      <c r="CFB310" s="203"/>
      <c r="CFC310" s="33"/>
      <c r="CFD310" s="33"/>
      <c r="CFE310" s="33"/>
      <c r="CFF310" s="33"/>
      <c r="CFG310" s="33"/>
      <c r="CFH310" s="33"/>
      <c r="CFI310" s="37"/>
      <c r="CFJ310" s="208"/>
      <c r="CFK310" s="207"/>
      <c r="CFL310" s="204"/>
      <c r="CFM310" s="35"/>
      <c r="CFN310" s="203"/>
      <c r="CFO310" s="203"/>
      <c r="CFP310" s="36"/>
      <c r="CFQ310" s="36"/>
      <c r="CFR310" s="203"/>
      <c r="CFS310" s="33"/>
      <c r="CFT310" s="33"/>
      <c r="CFU310" s="33"/>
      <c r="CFV310" s="33"/>
      <c r="CFW310" s="33"/>
      <c r="CFX310" s="33"/>
      <c r="CFY310" s="37"/>
      <c r="CFZ310" s="208"/>
      <c r="CGA310" s="207"/>
      <c r="CGB310" s="204"/>
      <c r="CGC310" s="35"/>
      <c r="CGD310" s="203"/>
      <c r="CGE310" s="203"/>
      <c r="CGF310" s="36"/>
      <c r="CGG310" s="36"/>
      <c r="CGH310" s="203"/>
      <c r="CGI310" s="33"/>
      <c r="CGJ310" s="33"/>
      <c r="CGK310" s="33"/>
      <c r="CGL310" s="33"/>
      <c r="CGM310" s="33"/>
      <c r="CGN310" s="33"/>
      <c r="CGO310" s="37"/>
      <c r="CGP310" s="208"/>
      <c r="CGQ310" s="207"/>
      <c r="CGR310" s="204"/>
      <c r="CGS310" s="35"/>
      <c r="CGT310" s="203"/>
      <c r="CGU310" s="203"/>
      <c r="CGV310" s="36"/>
      <c r="CGW310" s="36"/>
      <c r="CGX310" s="203"/>
      <c r="CGY310" s="33"/>
      <c r="CGZ310" s="33"/>
      <c r="CHA310" s="33"/>
      <c r="CHB310" s="33"/>
      <c r="CHC310" s="33"/>
      <c r="CHD310" s="33"/>
      <c r="CHE310" s="37"/>
      <c r="CHF310" s="208"/>
      <c r="CHG310" s="207"/>
      <c r="CHH310" s="204"/>
      <c r="CHI310" s="35"/>
      <c r="CHJ310" s="203"/>
      <c r="CHK310" s="203"/>
      <c r="CHL310" s="36"/>
      <c r="CHM310" s="36"/>
      <c r="CHN310" s="203"/>
      <c r="CHO310" s="33"/>
      <c r="CHP310" s="33"/>
      <c r="CHQ310" s="33"/>
      <c r="CHR310" s="33"/>
      <c r="CHS310" s="33"/>
      <c r="CHT310" s="33"/>
      <c r="CHU310" s="37"/>
      <c r="CHV310" s="208"/>
      <c r="CHW310" s="207"/>
      <c r="CHX310" s="204"/>
      <c r="CHY310" s="35"/>
      <c r="CHZ310" s="203"/>
      <c r="CIA310" s="203"/>
      <c r="CIB310" s="36"/>
      <c r="CIC310" s="36"/>
      <c r="CID310" s="203"/>
      <c r="CIE310" s="33"/>
      <c r="CIF310" s="33"/>
      <c r="CIG310" s="33"/>
      <c r="CIH310" s="33"/>
      <c r="CII310" s="33"/>
      <c r="CIJ310" s="33"/>
      <c r="CIK310" s="37"/>
      <c r="CIL310" s="208"/>
      <c r="CIM310" s="207"/>
      <c r="CIN310" s="204"/>
      <c r="CIO310" s="35"/>
      <c r="CIP310" s="203"/>
      <c r="CIQ310" s="203"/>
      <c r="CIR310" s="36"/>
      <c r="CIS310" s="36"/>
      <c r="CIT310" s="203"/>
      <c r="CIU310" s="33"/>
      <c r="CIV310" s="33"/>
      <c r="CIW310" s="33"/>
      <c r="CIX310" s="33"/>
      <c r="CIY310" s="33"/>
      <c r="CIZ310" s="33"/>
      <c r="CJA310" s="37"/>
      <c r="CJB310" s="208"/>
      <c r="CJC310" s="207"/>
      <c r="CJD310" s="204"/>
      <c r="CJE310" s="35"/>
      <c r="CJF310" s="203"/>
      <c r="CJG310" s="203"/>
      <c r="CJH310" s="36"/>
      <c r="CJI310" s="36"/>
      <c r="CJJ310" s="203"/>
      <c r="CJK310" s="33"/>
      <c r="CJL310" s="33"/>
      <c r="CJM310" s="33"/>
      <c r="CJN310" s="33"/>
      <c r="CJO310" s="33"/>
      <c r="CJP310" s="33"/>
      <c r="CJQ310" s="37"/>
      <c r="CJR310" s="208"/>
      <c r="CJS310" s="207"/>
      <c r="CJT310" s="204"/>
      <c r="CJU310" s="35"/>
      <c r="CJV310" s="203"/>
      <c r="CJW310" s="203"/>
      <c r="CJX310" s="36"/>
      <c r="CJY310" s="36"/>
      <c r="CJZ310" s="203"/>
      <c r="CKA310" s="33"/>
      <c r="CKB310" s="33"/>
      <c r="CKC310" s="33"/>
      <c r="CKD310" s="33"/>
      <c r="CKE310" s="33"/>
      <c r="CKF310" s="33"/>
      <c r="CKG310" s="37"/>
      <c r="CKH310" s="208"/>
      <c r="CKI310" s="207"/>
      <c r="CKJ310" s="204"/>
      <c r="CKK310" s="35"/>
      <c r="CKL310" s="203"/>
      <c r="CKM310" s="203"/>
      <c r="CKN310" s="36"/>
      <c r="CKO310" s="36"/>
      <c r="CKP310" s="203"/>
      <c r="CKQ310" s="33"/>
      <c r="CKR310" s="33"/>
      <c r="CKS310" s="33"/>
      <c r="CKT310" s="33"/>
      <c r="CKU310" s="33"/>
      <c r="CKV310" s="33"/>
      <c r="CKW310" s="37"/>
      <c r="CKX310" s="208"/>
      <c r="CKY310" s="207"/>
      <c r="CKZ310" s="204"/>
      <c r="CLA310" s="35"/>
      <c r="CLB310" s="203"/>
      <c r="CLC310" s="203"/>
      <c r="CLD310" s="36"/>
      <c r="CLE310" s="36"/>
      <c r="CLF310" s="203"/>
      <c r="CLG310" s="33"/>
      <c r="CLH310" s="33"/>
      <c r="CLI310" s="33"/>
      <c r="CLJ310" s="33"/>
      <c r="CLK310" s="33"/>
      <c r="CLL310" s="33"/>
      <c r="CLM310" s="37"/>
      <c r="CLN310" s="208"/>
      <c r="CLO310" s="207"/>
      <c r="CLP310" s="204"/>
      <c r="CLQ310" s="35"/>
      <c r="CLR310" s="203"/>
      <c r="CLS310" s="203"/>
      <c r="CLT310" s="36"/>
      <c r="CLU310" s="36"/>
      <c r="CLV310" s="203"/>
      <c r="CLW310" s="33"/>
      <c r="CLX310" s="33"/>
      <c r="CLY310" s="33"/>
      <c r="CLZ310" s="33"/>
      <c r="CMA310" s="33"/>
      <c r="CMB310" s="33"/>
      <c r="CMC310" s="37"/>
      <c r="CMD310" s="208"/>
      <c r="CME310" s="207"/>
      <c r="CMF310" s="204"/>
      <c r="CMG310" s="35"/>
      <c r="CMH310" s="203"/>
      <c r="CMI310" s="203"/>
      <c r="CMJ310" s="36"/>
      <c r="CMK310" s="36"/>
      <c r="CML310" s="203"/>
      <c r="CMM310" s="33"/>
      <c r="CMN310" s="33"/>
      <c r="CMO310" s="33"/>
      <c r="CMP310" s="33"/>
      <c r="CMQ310" s="33"/>
      <c r="CMR310" s="33"/>
      <c r="CMS310" s="37"/>
      <c r="CMT310" s="208"/>
      <c r="CMU310" s="207"/>
      <c r="CMV310" s="204"/>
      <c r="CMW310" s="35"/>
      <c r="CMX310" s="203"/>
      <c r="CMY310" s="203"/>
      <c r="CMZ310" s="36"/>
      <c r="CNA310" s="36"/>
      <c r="CNB310" s="203"/>
      <c r="CNC310" s="33"/>
      <c r="CND310" s="33"/>
      <c r="CNE310" s="33"/>
      <c r="CNF310" s="33"/>
      <c r="CNG310" s="33"/>
      <c r="CNH310" s="33"/>
      <c r="CNI310" s="37"/>
      <c r="CNJ310" s="208"/>
      <c r="CNK310" s="207"/>
      <c r="CNL310" s="204"/>
      <c r="CNM310" s="35"/>
      <c r="CNN310" s="203"/>
      <c r="CNO310" s="203"/>
      <c r="CNP310" s="36"/>
      <c r="CNQ310" s="36"/>
      <c r="CNR310" s="203"/>
      <c r="CNS310" s="33"/>
      <c r="CNT310" s="33"/>
      <c r="CNU310" s="33"/>
      <c r="CNV310" s="33"/>
      <c r="CNW310" s="33"/>
      <c r="CNX310" s="33"/>
      <c r="CNY310" s="37"/>
      <c r="CNZ310" s="208"/>
      <c r="COA310" s="207"/>
      <c r="COB310" s="204"/>
      <c r="COC310" s="35"/>
      <c r="COD310" s="203"/>
      <c r="COE310" s="203"/>
      <c r="COF310" s="36"/>
      <c r="COG310" s="36"/>
      <c r="COH310" s="203"/>
      <c r="COI310" s="33"/>
      <c r="COJ310" s="33"/>
      <c r="COK310" s="33"/>
      <c r="COL310" s="33"/>
      <c r="COM310" s="33"/>
      <c r="CON310" s="33"/>
      <c r="COO310" s="37"/>
      <c r="COP310" s="208"/>
      <c r="COQ310" s="207"/>
      <c r="COR310" s="204"/>
      <c r="COS310" s="35"/>
      <c r="COT310" s="203"/>
      <c r="COU310" s="203"/>
      <c r="COV310" s="36"/>
      <c r="COW310" s="36"/>
      <c r="COX310" s="203"/>
      <c r="COY310" s="33"/>
      <c r="COZ310" s="33"/>
      <c r="CPA310" s="33"/>
      <c r="CPB310" s="33"/>
      <c r="CPC310" s="33"/>
      <c r="CPD310" s="33"/>
      <c r="CPE310" s="37"/>
      <c r="CPF310" s="208"/>
      <c r="CPG310" s="207"/>
      <c r="CPH310" s="204"/>
      <c r="CPI310" s="35"/>
      <c r="CPJ310" s="203"/>
      <c r="CPK310" s="203"/>
      <c r="CPL310" s="36"/>
      <c r="CPM310" s="36"/>
      <c r="CPN310" s="203"/>
      <c r="CPO310" s="33"/>
      <c r="CPP310" s="33"/>
      <c r="CPQ310" s="33"/>
      <c r="CPR310" s="33"/>
      <c r="CPS310" s="33"/>
      <c r="CPT310" s="33"/>
      <c r="CPU310" s="37"/>
      <c r="CPV310" s="208"/>
      <c r="CPW310" s="207"/>
      <c r="CPX310" s="204"/>
      <c r="CPY310" s="35"/>
      <c r="CPZ310" s="203"/>
      <c r="CQA310" s="203"/>
      <c r="CQB310" s="36"/>
      <c r="CQC310" s="36"/>
      <c r="CQD310" s="203"/>
      <c r="CQE310" s="33"/>
      <c r="CQF310" s="33"/>
      <c r="CQG310" s="33"/>
      <c r="CQH310" s="33"/>
      <c r="CQI310" s="33"/>
      <c r="CQJ310" s="33"/>
      <c r="CQK310" s="37"/>
      <c r="CQL310" s="208"/>
      <c r="CQM310" s="207"/>
      <c r="CQN310" s="204"/>
      <c r="CQO310" s="35"/>
      <c r="CQP310" s="203"/>
      <c r="CQQ310" s="203"/>
      <c r="CQR310" s="36"/>
      <c r="CQS310" s="36"/>
      <c r="CQT310" s="203"/>
      <c r="CQU310" s="33"/>
      <c r="CQV310" s="33"/>
      <c r="CQW310" s="33"/>
      <c r="CQX310" s="33"/>
      <c r="CQY310" s="33"/>
      <c r="CQZ310" s="33"/>
      <c r="CRA310" s="37"/>
      <c r="CRB310" s="208"/>
      <c r="CRC310" s="207"/>
      <c r="CRD310" s="204"/>
      <c r="CRE310" s="35"/>
      <c r="CRF310" s="203"/>
      <c r="CRG310" s="203"/>
      <c r="CRH310" s="36"/>
      <c r="CRI310" s="36"/>
      <c r="CRJ310" s="203"/>
      <c r="CRK310" s="33"/>
      <c r="CRL310" s="33"/>
      <c r="CRM310" s="33"/>
      <c r="CRN310" s="33"/>
      <c r="CRO310" s="33"/>
      <c r="CRP310" s="33"/>
      <c r="CRQ310" s="37"/>
      <c r="CRR310" s="208"/>
      <c r="CRS310" s="207"/>
      <c r="CRT310" s="204"/>
      <c r="CRU310" s="35"/>
      <c r="CRV310" s="203"/>
      <c r="CRW310" s="203"/>
      <c r="CRX310" s="36"/>
      <c r="CRY310" s="36"/>
      <c r="CRZ310" s="203"/>
      <c r="CSA310" s="33"/>
      <c r="CSB310" s="33"/>
      <c r="CSC310" s="33"/>
      <c r="CSD310" s="33"/>
      <c r="CSE310" s="33"/>
      <c r="CSF310" s="33"/>
      <c r="CSG310" s="37"/>
      <c r="CSH310" s="208"/>
      <c r="CSI310" s="207"/>
      <c r="CSJ310" s="204"/>
      <c r="CSK310" s="35"/>
      <c r="CSL310" s="203"/>
      <c r="CSM310" s="203"/>
      <c r="CSN310" s="36"/>
      <c r="CSO310" s="36"/>
      <c r="CSP310" s="203"/>
      <c r="CSQ310" s="33"/>
      <c r="CSR310" s="33"/>
      <c r="CSS310" s="33"/>
      <c r="CST310" s="33"/>
      <c r="CSU310" s="33"/>
      <c r="CSV310" s="33"/>
      <c r="CSW310" s="37"/>
      <c r="CSX310" s="208"/>
      <c r="CSY310" s="207"/>
      <c r="CSZ310" s="204"/>
      <c r="CTA310" s="35"/>
      <c r="CTB310" s="203"/>
      <c r="CTC310" s="203"/>
      <c r="CTD310" s="36"/>
      <c r="CTE310" s="36"/>
      <c r="CTF310" s="203"/>
      <c r="CTG310" s="33"/>
      <c r="CTH310" s="33"/>
      <c r="CTI310" s="33"/>
      <c r="CTJ310" s="33"/>
      <c r="CTK310" s="33"/>
      <c r="CTL310" s="33"/>
      <c r="CTM310" s="37"/>
      <c r="CTN310" s="208"/>
      <c r="CTO310" s="207"/>
      <c r="CTP310" s="204"/>
      <c r="CTQ310" s="35"/>
      <c r="CTR310" s="203"/>
      <c r="CTS310" s="203"/>
      <c r="CTT310" s="36"/>
      <c r="CTU310" s="36"/>
      <c r="CTV310" s="203"/>
      <c r="CTW310" s="33"/>
      <c r="CTX310" s="33"/>
      <c r="CTY310" s="33"/>
      <c r="CTZ310" s="33"/>
      <c r="CUA310" s="33"/>
      <c r="CUB310" s="33"/>
      <c r="CUC310" s="37"/>
      <c r="CUD310" s="208"/>
      <c r="CUE310" s="207"/>
      <c r="CUF310" s="204"/>
      <c r="CUG310" s="35"/>
      <c r="CUH310" s="203"/>
      <c r="CUI310" s="203"/>
      <c r="CUJ310" s="36"/>
      <c r="CUK310" s="36"/>
      <c r="CUL310" s="203"/>
      <c r="CUM310" s="33"/>
      <c r="CUN310" s="33"/>
      <c r="CUO310" s="33"/>
      <c r="CUP310" s="33"/>
      <c r="CUQ310" s="33"/>
      <c r="CUR310" s="33"/>
      <c r="CUS310" s="37"/>
      <c r="CUT310" s="208"/>
      <c r="CUU310" s="207"/>
      <c r="CUV310" s="204"/>
      <c r="CUW310" s="35"/>
      <c r="CUX310" s="203"/>
      <c r="CUY310" s="203"/>
      <c r="CUZ310" s="36"/>
      <c r="CVA310" s="36"/>
      <c r="CVB310" s="203"/>
      <c r="CVC310" s="33"/>
      <c r="CVD310" s="33"/>
      <c r="CVE310" s="33"/>
      <c r="CVF310" s="33"/>
      <c r="CVG310" s="33"/>
      <c r="CVH310" s="33"/>
      <c r="CVI310" s="37"/>
      <c r="CVJ310" s="208"/>
      <c r="CVK310" s="207"/>
      <c r="CVL310" s="204"/>
      <c r="CVM310" s="35"/>
      <c r="CVN310" s="203"/>
      <c r="CVO310" s="203"/>
      <c r="CVP310" s="36"/>
      <c r="CVQ310" s="36"/>
      <c r="CVR310" s="203"/>
      <c r="CVS310" s="33"/>
      <c r="CVT310" s="33"/>
      <c r="CVU310" s="33"/>
      <c r="CVV310" s="33"/>
      <c r="CVW310" s="33"/>
      <c r="CVX310" s="33"/>
      <c r="CVY310" s="37"/>
      <c r="CVZ310" s="208"/>
      <c r="CWA310" s="207"/>
      <c r="CWB310" s="204"/>
      <c r="CWC310" s="35"/>
      <c r="CWD310" s="203"/>
      <c r="CWE310" s="203"/>
      <c r="CWF310" s="36"/>
      <c r="CWG310" s="36"/>
      <c r="CWH310" s="203"/>
      <c r="CWI310" s="33"/>
      <c r="CWJ310" s="33"/>
      <c r="CWK310" s="33"/>
      <c r="CWL310" s="33"/>
      <c r="CWM310" s="33"/>
      <c r="CWN310" s="33"/>
      <c r="CWO310" s="37"/>
      <c r="CWP310" s="208"/>
      <c r="CWQ310" s="207"/>
      <c r="CWR310" s="204"/>
      <c r="CWS310" s="35"/>
      <c r="CWT310" s="203"/>
      <c r="CWU310" s="203"/>
      <c r="CWV310" s="36"/>
      <c r="CWW310" s="36"/>
      <c r="CWX310" s="203"/>
      <c r="CWY310" s="33"/>
      <c r="CWZ310" s="33"/>
      <c r="CXA310" s="33"/>
      <c r="CXB310" s="33"/>
      <c r="CXC310" s="33"/>
      <c r="CXD310" s="33"/>
      <c r="CXE310" s="37"/>
      <c r="CXF310" s="208"/>
      <c r="CXG310" s="207"/>
      <c r="CXH310" s="204"/>
      <c r="CXI310" s="35"/>
      <c r="CXJ310" s="203"/>
      <c r="CXK310" s="203"/>
      <c r="CXL310" s="36"/>
      <c r="CXM310" s="36"/>
      <c r="CXN310" s="203"/>
      <c r="CXO310" s="33"/>
      <c r="CXP310" s="33"/>
      <c r="CXQ310" s="33"/>
      <c r="CXR310" s="33"/>
      <c r="CXS310" s="33"/>
      <c r="CXT310" s="33"/>
      <c r="CXU310" s="37"/>
      <c r="CXV310" s="208"/>
      <c r="CXW310" s="207"/>
      <c r="CXX310" s="204"/>
      <c r="CXY310" s="35"/>
      <c r="CXZ310" s="203"/>
      <c r="CYA310" s="203"/>
      <c r="CYB310" s="36"/>
      <c r="CYC310" s="36"/>
      <c r="CYD310" s="203"/>
      <c r="CYE310" s="33"/>
      <c r="CYF310" s="33"/>
      <c r="CYG310" s="33"/>
      <c r="CYH310" s="33"/>
      <c r="CYI310" s="33"/>
      <c r="CYJ310" s="33"/>
      <c r="CYK310" s="37"/>
      <c r="CYL310" s="208"/>
      <c r="CYM310" s="207"/>
      <c r="CYN310" s="204"/>
      <c r="CYO310" s="35"/>
      <c r="CYP310" s="203"/>
      <c r="CYQ310" s="203"/>
      <c r="CYR310" s="36"/>
      <c r="CYS310" s="36"/>
      <c r="CYT310" s="203"/>
      <c r="CYU310" s="33"/>
      <c r="CYV310" s="33"/>
      <c r="CYW310" s="33"/>
      <c r="CYX310" s="33"/>
      <c r="CYY310" s="33"/>
      <c r="CYZ310" s="33"/>
      <c r="CZA310" s="37"/>
      <c r="CZB310" s="208"/>
      <c r="CZC310" s="207"/>
      <c r="CZD310" s="204"/>
      <c r="CZE310" s="35"/>
      <c r="CZF310" s="203"/>
      <c r="CZG310" s="203"/>
      <c r="CZH310" s="36"/>
      <c r="CZI310" s="36"/>
      <c r="CZJ310" s="203"/>
      <c r="CZK310" s="33"/>
      <c r="CZL310" s="33"/>
      <c r="CZM310" s="33"/>
      <c r="CZN310" s="33"/>
      <c r="CZO310" s="33"/>
      <c r="CZP310" s="33"/>
      <c r="CZQ310" s="37"/>
      <c r="CZR310" s="208"/>
      <c r="CZS310" s="207"/>
      <c r="CZT310" s="204"/>
      <c r="CZU310" s="35"/>
      <c r="CZV310" s="203"/>
      <c r="CZW310" s="203"/>
      <c r="CZX310" s="36"/>
      <c r="CZY310" s="36"/>
      <c r="CZZ310" s="203"/>
      <c r="DAA310" s="33"/>
      <c r="DAB310" s="33"/>
      <c r="DAC310" s="33"/>
      <c r="DAD310" s="33"/>
      <c r="DAE310" s="33"/>
      <c r="DAF310" s="33"/>
      <c r="DAG310" s="37"/>
      <c r="DAH310" s="208"/>
      <c r="DAI310" s="207"/>
      <c r="DAJ310" s="204"/>
      <c r="DAK310" s="35"/>
      <c r="DAL310" s="203"/>
      <c r="DAM310" s="203"/>
      <c r="DAN310" s="36"/>
      <c r="DAO310" s="36"/>
      <c r="DAP310" s="203"/>
      <c r="DAQ310" s="33"/>
      <c r="DAR310" s="33"/>
      <c r="DAS310" s="33"/>
      <c r="DAT310" s="33"/>
      <c r="DAU310" s="33"/>
      <c r="DAV310" s="33"/>
      <c r="DAW310" s="37"/>
      <c r="DAX310" s="208"/>
      <c r="DAY310" s="207"/>
      <c r="DAZ310" s="204"/>
      <c r="DBA310" s="35"/>
      <c r="DBB310" s="203"/>
      <c r="DBC310" s="203"/>
      <c r="DBD310" s="36"/>
      <c r="DBE310" s="36"/>
      <c r="DBF310" s="203"/>
      <c r="DBG310" s="33"/>
      <c r="DBH310" s="33"/>
      <c r="DBI310" s="33"/>
      <c r="DBJ310" s="33"/>
      <c r="DBK310" s="33"/>
      <c r="DBL310" s="33"/>
      <c r="DBM310" s="37"/>
      <c r="DBN310" s="208"/>
      <c r="DBO310" s="207"/>
      <c r="DBP310" s="204"/>
      <c r="DBQ310" s="35"/>
      <c r="DBR310" s="203"/>
      <c r="DBS310" s="203"/>
      <c r="DBT310" s="36"/>
      <c r="DBU310" s="36"/>
      <c r="DBV310" s="203"/>
      <c r="DBW310" s="33"/>
      <c r="DBX310" s="33"/>
      <c r="DBY310" s="33"/>
      <c r="DBZ310" s="33"/>
      <c r="DCA310" s="33"/>
      <c r="DCB310" s="33"/>
      <c r="DCC310" s="37"/>
      <c r="DCD310" s="208"/>
      <c r="DCE310" s="207"/>
      <c r="DCF310" s="204"/>
      <c r="DCG310" s="35"/>
      <c r="DCH310" s="203"/>
      <c r="DCI310" s="203"/>
      <c r="DCJ310" s="36"/>
      <c r="DCK310" s="36"/>
      <c r="DCL310" s="203"/>
      <c r="DCM310" s="33"/>
      <c r="DCN310" s="33"/>
      <c r="DCO310" s="33"/>
      <c r="DCP310" s="33"/>
      <c r="DCQ310" s="33"/>
      <c r="DCR310" s="33"/>
      <c r="DCS310" s="37"/>
      <c r="DCT310" s="208"/>
      <c r="DCU310" s="207"/>
      <c r="DCV310" s="204"/>
      <c r="DCW310" s="35"/>
      <c r="DCX310" s="203"/>
      <c r="DCY310" s="203"/>
      <c r="DCZ310" s="36"/>
      <c r="DDA310" s="36"/>
      <c r="DDB310" s="203"/>
      <c r="DDC310" s="33"/>
      <c r="DDD310" s="33"/>
      <c r="DDE310" s="33"/>
      <c r="DDF310" s="33"/>
      <c r="DDG310" s="33"/>
      <c r="DDH310" s="33"/>
      <c r="DDI310" s="37"/>
      <c r="DDJ310" s="208"/>
      <c r="DDK310" s="207"/>
      <c r="DDL310" s="204"/>
      <c r="DDM310" s="35"/>
      <c r="DDN310" s="203"/>
      <c r="DDO310" s="203"/>
      <c r="DDP310" s="36"/>
      <c r="DDQ310" s="36"/>
      <c r="DDR310" s="203"/>
      <c r="DDS310" s="33"/>
      <c r="DDT310" s="33"/>
      <c r="DDU310" s="33"/>
      <c r="DDV310" s="33"/>
      <c r="DDW310" s="33"/>
      <c r="DDX310" s="33"/>
      <c r="DDY310" s="37"/>
      <c r="DDZ310" s="208"/>
      <c r="DEA310" s="207"/>
      <c r="DEB310" s="204"/>
      <c r="DEC310" s="35"/>
      <c r="DED310" s="203"/>
      <c r="DEE310" s="203"/>
      <c r="DEF310" s="36"/>
      <c r="DEG310" s="36"/>
      <c r="DEH310" s="203"/>
      <c r="DEI310" s="33"/>
      <c r="DEJ310" s="33"/>
      <c r="DEK310" s="33"/>
      <c r="DEL310" s="33"/>
      <c r="DEM310" s="33"/>
      <c r="DEN310" s="33"/>
      <c r="DEO310" s="37"/>
      <c r="DEP310" s="208"/>
      <c r="DEQ310" s="207"/>
      <c r="DER310" s="204"/>
      <c r="DES310" s="35"/>
      <c r="DET310" s="203"/>
      <c r="DEU310" s="203"/>
      <c r="DEV310" s="36"/>
      <c r="DEW310" s="36"/>
      <c r="DEX310" s="203"/>
      <c r="DEY310" s="33"/>
      <c r="DEZ310" s="33"/>
      <c r="DFA310" s="33"/>
      <c r="DFB310" s="33"/>
      <c r="DFC310" s="33"/>
      <c r="DFD310" s="33"/>
      <c r="DFE310" s="37"/>
      <c r="DFF310" s="208"/>
      <c r="DFG310" s="207"/>
      <c r="DFH310" s="204"/>
      <c r="DFI310" s="35"/>
      <c r="DFJ310" s="203"/>
      <c r="DFK310" s="203"/>
      <c r="DFL310" s="36"/>
      <c r="DFM310" s="36"/>
      <c r="DFN310" s="203"/>
      <c r="DFO310" s="33"/>
      <c r="DFP310" s="33"/>
      <c r="DFQ310" s="33"/>
      <c r="DFR310" s="33"/>
      <c r="DFS310" s="33"/>
      <c r="DFT310" s="33"/>
      <c r="DFU310" s="37"/>
      <c r="DFV310" s="208"/>
      <c r="DFW310" s="207"/>
      <c r="DFX310" s="204"/>
      <c r="DFY310" s="35"/>
      <c r="DFZ310" s="203"/>
      <c r="DGA310" s="203"/>
      <c r="DGB310" s="36"/>
      <c r="DGC310" s="36"/>
      <c r="DGD310" s="203"/>
      <c r="DGE310" s="33"/>
      <c r="DGF310" s="33"/>
      <c r="DGG310" s="33"/>
      <c r="DGH310" s="33"/>
      <c r="DGI310" s="33"/>
      <c r="DGJ310" s="33"/>
      <c r="DGK310" s="37"/>
      <c r="DGL310" s="208"/>
      <c r="DGM310" s="207"/>
      <c r="DGN310" s="204"/>
      <c r="DGO310" s="35"/>
      <c r="DGP310" s="203"/>
      <c r="DGQ310" s="203"/>
      <c r="DGR310" s="36"/>
      <c r="DGS310" s="36"/>
      <c r="DGT310" s="203"/>
      <c r="DGU310" s="33"/>
      <c r="DGV310" s="33"/>
      <c r="DGW310" s="33"/>
      <c r="DGX310" s="33"/>
      <c r="DGY310" s="33"/>
      <c r="DGZ310" s="33"/>
      <c r="DHA310" s="37"/>
      <c r="DHB310" s="208"/>
      <c r="DHC310" s="207"/>
      <c r="DHD310" s="204"/>
      <c r="DHE310" s="35"/>
      <c r="DHF310" s="203"/>
      <c r="DHG310" s="203"/>
      <c r="DHH310" s="36"/>
      <c r="DHI310" s="36"/>
      <c r="DHJ310" s="203"/>
      <c r="DHK310" s="33"/>
      <c r="DHL310" s="33"/>
      <c r="DHM310" s="33"/>
      <c r="DHN310" s="33"/>
      <c r="DHO310" s="33"/>
      <c r="DHP310" s="33"/>
      <c r="DHQ310" s="37"/>
      <c r="DHR310" s="208"/>
      <c r="DHS310" s="207"/>
      <c r="DHT310" s="204"/>
      <c r="DHU310" s="35"/>
      <c r="DHV310" s="203"/>
      <c r="DHW310" s="203"/>
      <c r="DHX310" s="36"/>
      <c r="DHY310" s="36"/>
      <c r="DHZ310" s="203"/>
      <c r="DIA310" s="33"/>
      <c r="DIB310" s="33"/>
      <c r="DIC310" s="33"/>
      <c r="DID310" s="33"/>
      <c r="DIE310" s="33"/>
      <c r="DIF310" s="33"/>
      <c r="DIG310" s="37"/>
      <c r="DIH310" s="208"/>
      <c r="DII310" s="207"/>
      <c r="DIJ310" s="204"/>
      <c r="DIK310" s="35"/>
      <c r="DIL310" s="203"/>
      <c r="DIM310" s="203"/>
      <c r="DIN310" s="36"/>
      <c r="DIO310" s="36"/>
      <c r="DIP310" s="203"/>
      <c r="DIQ310" s="33"/>
      <c r="DIR310" s="33"/>
      <c r="DIS310" s="33"/>
      <c r="DIT310" s="33"/>
      <c r="DIU310" s="33"/>
      <c r="DIV310" s="33"/>
      <c r="DIW310" s="37"/>
      <c r="DIX310" s="208"/>
      <c r="DIY310" s="207"/>
      <c r="DIZ310" s="204"/>
      <c r="DJA310" s="35"/>
      <c r="DJB310" s="203"/>
      <c r="DJC310" s="203"/>
      <c r="DJD310" s="36"/>
      <c r="DJE310" s="36"/>
      <c r="DJF310" s="203"/>
      <c r="DJG310" s="33"/>
      <c r="DJH310" s="33"/>
      <c r="DJI310" s="33"/>
      <c r="DJJ310" s="33"/>
      <c r="DJK310" s="33"/>
      <c r="DJL310" s="33"/>
      <c r="DJM310" s="37"/>
      <c r="DJN310" s="208"/>
      <c r="DJO310" s="207"/>
      <c r="DJP310" s="204"/>
      <c r="DJQ310" s="35"/>
      <c r="DJR310" s="203"/>
      <c r="DJS310" s="203"/>
      <c r="DJT310" s="36"/>
      <c r="DJU310" s="36"/>
      <c r="DJV310" s="203"/>
      <c r="DJW310" s="33"/>
      <c r="DJX310" s="33"/>
      <c r="DJY310" s="33"/>
      <c r="DJZ310" s="33"/>
      <c r="DKA310" s="33"/>
      <c r="DKB310" s="33"/>
      <c r="DKC310" s="37"/>
      <c r="DKD310" s="208"/>
      <c r="DKE310" s="207"/>
      <c r="DKF310" s="204"/>
      <c r="DKG310" s="35"/>
      <c r="DKH310" s="203"/>
      <c r="DKI310" s="203"/>
      <c r="DKJ310" s="36"/>
      <c r="DKK310" s="36"/>
      <c r="DKL310" s="203"/>
      <c r="DKM310" s="33"/>
      <c r="DKN310" s="33"/>
      <c r="DKO310" s="33"/>
      <c r="DKP310" s="33"/>
      <c r="DKQ310" s="33"/>
      <c r="DKR310" s="33"/>
      <c r="DKS310" s="37"/>
      <c r="DKT310" s="208"/>
      <c r="DKU310" s="207"/>
      <c r="DKV310" s="204"/>
      <c r="DKW310" s="35"/>
      <c r="DKX310" s="203"/>
      <c r="DKY310" s="203"/>
      <c r="DKZ310" s="36"/>
      <c r="DLA310" s="36"/>
      <c r="DLB310" s="203"/>
      <c r="DLC310" s="33"/>
      <c r="DLD310" s="33"/>
      <c r="DLE310" s="33"/>
      <c r="DLF310" s="33"/>
      <c r="DLG310" s="33"/>
      <c r="DLH310" s="33"/>
      <c r="DLI310" s="37"/>
      <c r="DLJ310" s="208"/>
      <c r="DLK310" s="207"/>
      <c r="DLL310" s="204"/>
      <c r="DLM310" s="35"/>
      <c r="DLN310" s="203"/>
      <c r="DLO310" s="203"/>
      <c r="DLP310" s="36"/>
      <c r="DLQ310" s="36"/>
      <c r="DLR310" s="203"/>
      <c r="DLS310" s="33"/>
      <c r="DLT310" s="33"/>
      <c r="DLU310" s="33"/>
      <c r="DLV310" s="33"/>
      <c r="DLW310" s="33"/>
      <c r="DLX310" s="33"/>
      <c r="DLY310" s="37"/>
      <c r="DLZ310" s="208"/>
      <c r="DMA310" s="207"/>
      <c r="DMB310" s="204"/>
      <c r="DMC310" s="35"/>
      <c r="DMD310" s="203"/>
      <c r="DME310" s="203"/>
      <c r="DMF310" s="36"/>
      <c r="DMG310" s="36"/>
      <c r="DMH310" s="203"/>
      <c r="DMI310" s="33"/>
      <c r="DMJ310" s="33"/>
      <c r="DMK310" s="33"/>
      <c r="DML310" s="33"/>
      <c r="DMM310" s="33"/>
      <c r="DMN310" s="33"/>
      <c r="DMO310" s="37"/>
      <c r="DMP310" s="208"/>
      <c r="DMQ310" s="207"/>
      <c r="DMR310" s="204"/>
      <c r="DMS310" s="35"/>
      <c r="DMT310" s="203"/>
      <c r="DMU310" s="203"/>
      <c r="DMV310" s="36"/>
      <c r="DMW310" s="36"/>
      <c r="DMX310" s="203"/>
      <c r="DMY310" s="33"/>
      <c r="DMZ310" s="33"/>
      <c r="DNA310" s="33"/>
      <c r="DNB310" s="33"/>
      <c r="DNC310" s="33"/>
      <c r="DND310" s="33"/>
      <c r="DNE310" s="37"/>
      <c r="DNF310" s="208"/>
      <c r="DNG310" s="207"/>
      <c r="DNH310" s="204"/>
      <c r="DNI310" s="35"/>
      <c r="DNJ310" s="203"/>
      <c r="DNK310" s="203"/>
      <c r="DNL310" s="36"/>
      <c r="DNM310" s="36"/>
      <c r="DNN310" s="203"/>
      <c r="DNO310" s="33"/>
      <c r="DNP310" s="33"/>
      <c r="DNQ310" s="33"/>
      <c r="DNR310" s="33"/>
      <c r="DNS310" s="33"/>
      <c r="DNT310" s="33"/>
      <c r="DNU310" s="37"/>
      <c r="DNV310" s="208"/>
      <c r="DNW310" s="207"/>
      <c r="DNX310" s="204"/>
      <c r="DNY310" s="35"/>
      <c r="DNZ310" s="203"/>
      <c r="DOA310" s="203"/>
      <c r="DOB310" s="36"/>
      <c r="DOC310" s="36"/>
      <c r="DOD310" s="203"/>
      <c r="DOE310" s="33"/>
      <c r="DOF310" s="33"/>
      <c r="DOG310" s="33"/>
      <c r="DOH310" s="33"/>
      <c r="DOI310" s="33"/>
      <c r="DOJ310" s="33"/>
      <c r="DOK310" s="37"/>
      <c r="DOL310" s="208"/>
      <c r="DOM310" s="207"/>
      <c r="DON310" s="204"/>
      <c r="DOO310" s="35"/>
      <c r="DOP310" s="203"/>
      <c r="DOQ310" s="203"/>
      <c r="DOR310" s="36"/>
      <c r="DOS310" s="36"/>
      <c r="DOT310" s="203"/>
      <c r="DOU310" s="33"/>
      <c r="DOV310" s="33"/>
      <c r="DOW310" s="33"/>
      <c r="DOX310" s="33"/>
      <c r="DOY310" s="33"/>
      <c r="DOZ310" s="33"/>
      <c r="DPA310" s="37"/>
      <c r="DPB310" s="208"/>
      <c r="DPC310" s="207"/>
      <c r="DPD310" s="204"/>
      <c r="DPE310" s="35"/>
      <c r="DPF310" s="203"/>
      <c r="DPG310" s="203"/>
      <c r="DPH310" s="36"/>
      <c r="DPI310" s="36"/>
      <c r="DPJ310" s="203"/>
      <c r="DPK310" s="33"/>
      <c r="DPL310" s="33"/>
      <c r="DPM310" s="33"/>
      <c r="DPN310" s="33"/>
      <c r="DPO310" s="33"/>
      <c r="DPP310" s="33"/>
      <c r="DPQ310" s="37"/>
      <c r="DPR310" s="208"/>
      <c r="DPS310" s="207"/>
      <c r="DPT310" s="204"/>
      <c r="DPU310" s="35"/>
      <c r="DPV310" s="203"/>
      <c r="DPW310" s="203"/>
      <c r="DPX310" s="36"/>
      <c r="DPY310" s="36"/>
      <c r="DPZ310" s="203"/>
      <c r="DQA310" s="33"/>
      <c r="DQB310" s="33"/>
      <c r="DQC310" s="33"/>
      <c r="DQD310" s="33"/>
      <c r="DQE310" s="33"/>
      <c r="DQF310" s="33"/>
      <c r="DQG310" s="37"/>
      <c r="DQH310" s="208"/>
      <c r="DQI310" s="207"/>
      <c r="DQJ310" s="204"/>
      <c r="DQK310" s="35"/>
      <c r="DQL310" s="203"/>
      <c r="DQM310" s="203"/>
      <c r="DQN310" s="36"/>
      <c r="DQO310" s="36"/>
      <c r="DQP310" s="203"/>
      <c r="DQQ310" s="33"/>
      <c r="DQR310" s="33"/>
      <c r="DQS310" s="33"/>
      <c r="DQT310" s="33"/>
      <c r="DQU310" s="33"/>
      <c r="DQV310" s="33"/>
      <c r="DQW310" s="37"/>
      <c r="DQX310" s="208"/>
      <c r="DQY310" s="207"/>
      <c r="DQZ310" s="204"/>
      <c r="DRA310" s="35"/>
      <c r="DRB310" s="203"/>
      <c r="DRC310" s="203"/>
      <c r="DRD310" s="36"/>
      <c r="DRE310" s="36"/>
      <c r="DRF310" s="203"/>
      <c r="DRG310" s="33"/>
      <c r="DRH310" s="33"/>
      <c r="DRI310" s="33"/>
      <c r="DRJ310" s="33"/>
      <c r="DRK310" s="33"/>
      <c r="DRL310" s="33"/>
      <c r="DRM310" s="37"/>
      <c r="DRN310" s="208"/>
      <c r="DRO310" s="207"/>
      <c r="DRP310" s="204"/>
      <c r="DRQ310" s="35"/>
      <c r="DRR310" s="203"/>
      <c r="DRS310" s="203"/>
      <c r="DRT310" s="36"/>
      <c r="DRU310" s="36"/>
      <c r="DRV310" s="203"/>
      <c r="DRW310" s="33"/>
      <c r="DRX310" s="33"/>
      <c r="DRY310" s="33"/>
      <c r="DRZ310" s="33"/>
      <c r="DSA310" s="33"/>
      <c r="DSB310" s="33"/>
      <c r="DSC310" s="37"/>
      <c r="DSD310" s="208"/>
      <c r="DSE310" s="207"/>
      <c r="DSF310" s="204"/>
      <c r="DSG310" s="35"/>
      <c r="DSH310" s="203"/>
      <c r="DSI310" s="203"/>
      <c r="DSJ310" s="36"/>
      <c r="DSK310" s="36"/>
      <c r="DSL310" s="203"/>
      <c r="DSM310" s="33"/>
      <c r="DSN310" s="33"/>
      <c r="DSO310" s="33"/>
      <c r="DSP310" s="33"/>
      <c r="DSQ310" s="33"/>
      <c r="DSR310" s="33"/>
      <c r="DSS310" s="37"/>
      <c r="DST310" s="208"/>
      <c r="DSU310" s="207"/>
      <c r="DSV310" s="204"/>
      <c r="DSW310" s="35"/>
      <c r="DSX310" s="203"/>
      <c r="DSY310" s="203"/>
      <c r="DSZ310" s="36"/>
      <c r="DTA310" s="36"/>
      <c r="DTB310" s="203"/>
      <c r="DTC310" s="33"/>
      <c r="DTD310" s="33"/>
      <c r="DTE310" s="33"/>
      <c r="DTF310" s="33"/>
      <c r="DTG310" s="33"/>
      <c r="DTH310" s="33"/>
      <c r="DTI310" s="37"/>
      <c r="DTJ310" s="208"/>
      <c r="DTK310" s="207"/>
      <c r="DTL310" s="204"/>
      <c r="DTM310" s="35"/>
      <c r="DTN310" s="203"/>
      <c r="DTO310" s="203"/>
      <c r="DTP310" s="36"/>
      <c r="DTQ310" s="36"/>
      <c r="DTR310" s="203"/>
      <c r="DTS310" s="33"/>
      <c r="DTT310" s="33"/>
      <c r="DTU310" s="33"/>
      <c r="DTV310" s="33"/>
      <c r="DTW310" s="33"/>
      <c r="DTX310" s="33"/>
      <c r="DTY310" s="37"/>
      <c r="DTZ310" s="208"/>
      <c r="DUA310" s="207"/>
      <c r="DUB310" s="204"/>
      <c r="DUC310" s="35"/>
      <c r="DUD310" s="203"/>
      <c r="DUE310" s="203"/>
      <c r="DUF310" s="36"/>
      <c r="DUG310" s="36"/>
      <c r="DUH310" s="203"/>
      <c r="DUI310" s="33"/>
      <c r="DUJ310" s="33"/>
      <c r="DUK310" s="33"/>
      <c r="DUL310" s="33"/>
      <c r="DUM310" s="33"/>
      <c r="DUN310" s="33"/>
      <c r="DUO310" s="37"/>
      <c r="DUP310" s="208"/>
      <c r="DUQ310" s="207"/>
      <c r="DUR310" s="204"/>
      <c r="DUS310" s="35"/>
      <c r="DUT310" s="203"/>
      <c r="DUU310" s="203"/>
      <c r="DUV310" s="36"/>
      <c r="DUW310" s="36"/>
      <c r="DUX310" s="203"/>
      <c r="DUY310" s="33"/>
      <c r="DUZ310" s="33"/>
      <c r="DVA310" s="33"/>
      <c r="DVB310" s="33"/>
      <c r="DVC310" s="33"/>
      <c r="DVD310" s="33"/>
      <c r="DVE310" s="37"/>
      <c r="DVF310" s="208"/>
      <c r="DVG310" s="207"/>
      <c r="DVH310" s="204"/>
      <c r="DVI310" s="35"/>
      <c r="DVJ310" s="203"/>
      <c r="DVK310" s="203"/>
      <c r="DVL310" s="36"/>
      <c r="DVM310" s="36"/>
      <c r="DVN310" s="203"/>
      <c r="DVO310" s="33"/>
      <c r="DVP310" s="33"/>
      <c r="DVQ310" s="33"/>
      <c r="DVR310" s="33"/>
      <c r="DVS310" s="33"/>
      <c r="DVT310" s="33"/>
      <c r="DVU310" s="37"/>
      <c r="DVV310" s="208"/>
      <c r="DVW310" s="207"/>
      <c r="DVX310" s="204"/>
      <c r="DVY310" s="35"/>
      <c r="DVZ310" s="203"/>
      <c r="DWA310" s="203"/>
      <c r="DWB310" s="36"/>
      <c r="DWC310" s="36"/>
      <c r="DWD310" s="203"/>
      <c r="DWE310" s="33"/>
      <c r="DWF310" s="33"/>
      <c r="DWG310" s="33"/>
      <c r="DWH310" s="33"/>
      <c r="DWI310" s="33"/>
      <c r="DWJ310" s="33"/>
      <c r="DWK310" s="37"/>
      <c r="DWL310" s="208"/>
      <c r="DWM310" s="207"/>
      <c r="DWN310" s="204"/>
      <c r="DWO310" s="35"/>
      <c r="DWP310" s="203"/>
      <c r="DWQ310" s="203"/>
      <c r="DWR310" s="36"/>
      <c r="DWS310" s="36"/>
      <c r="DWT310" s="203"/>
      <c r="DWU310" s="33"/>
      <c r="DWV310" s="33"/>
      <c r="DWW310" s="33"/>
      <c r="DWX310" s="33"/>
      <c r="DWY310" s="33"/>
      <c r="DWZ310" s="33"/>
      <c r="DXA310" s="37"/>
      <c r="DXB310" s="208"/>
      <c r="DXC310" s="207"/>
      <c r="DXD310" s="204"/>
      <c r="DXE310" s="35"/>
      <c r="DXF310" s="203"/>
      <c r="DXG310" s="203"/>
      <c r="DXH310" s="36"/>
      <c r="DXI310" s="36"/>
      <c r="DXJ310" s="203"/>
      <c r="DXK310" s="33"/>
      <c r="DXL310" s="33"/>
      <c r="DXM310" s="33"/>
      <c r="DXN310" s="33"/>
      <c r="DXO310" s="33"/>
      <c r="DXP310" s="33"/>
      <c r="DXQ310" s="37"/>
      <c r="DXR310" s="208"/>
      <c r="DXS310" s="207"/>
      <c r="DXT310" s="204"/>
      <c r="DXU310" s="35"/>
      <c r="DXV310" s="203"/>
      <c r="DXW310" s="203"/>
      <c r="DXX310" s="36"/>
      <c r="DXY310" s="36"/>
      <c r="DXZ310" s="203"/>
      <c r="DYA310" s="33"/>
      <c r="DYB310" s="33"/>
      <c r="DYC310" s="33"/>
      <c r="DYD310" s="33"/>
      <c r="DYE310" s="33"/>
      <c r="DYF310" s="33"/>
      <c r="DYG310" s="37"/>
      <c r="DYH310" s="208"/>
      <c r="DYI310" s="207"/>
      <c r="DYJ310" s="204"/>
      <c r="DYK310" s="35"/>
      <c r="DYL310" s="203"/>
      <c r="DYM310" s="203"/>
      <c r="DYN310" s="36"/>
      <c r="DYO310" s="36"/>
      <c r="DYP310" s="203"/>
      <c r="DYQ310" s="33"/>
      <c r="DYR310" s="33"/>
      <c r="DYS310" s="33"/>
      <c r="DYT310" s="33"/>
      <c r="DYU310" s="33"/>
      <c r="DYV310" s="33"/>
      <c r="DYW310" s="37"/>
      <c r="DYX310" s="208"/>
      <c r="DYY310" s="207"/>
      <c r="DYZ310" s="204"/>
      <c r="DZA310" s="35"/>
      <c r="DZB310" s="203"/>
      <c r="DZC310" s="203"/>
      <c r="DZD310" s="36"/>
      <c r="DZE310" s="36"/>
      <c r="DZF310" s="203"/>
      <c r="DZG310" s="33"/>
      <c r="DZH310" s="33"/>
      <c r="DZI310" s="33"/>
      <c r="DZJ310" s="33"/>
      <c r="DZK310" s="33"/>
      <c r="DZL310" s="33"/>
      <c r="DZM310" s="37"/>
      <c r="DZN310" s="208"/>
      <c r="DZO310" s="207"/>
      <c r="DZP310" s="204"/>
      <c r="DZQ310" s="35"/>
      <c r="DZR310" s="203"/>
      <c r="DZS310" s="203"/>
      <c r="DZT310" s="36"/>
      <c r="DZU310" s="36"/>
      <c r="DZV310" s="203"/>
      <c r="DZW310" s="33"/>
      <c r="DZX310" s="33"/>
      <c r="DZY310" s="33"/>
      <c r="DZZ310" s="33"/>
      <c r="EAA310" s="33"/>
      <c r="EAB310" s="33"/>
      <c r="EAC310" s="37"/>
      <c r="EAD310" s="208"/>
      <c r="EAE310" s="207"/>
      <c r="EAF310" s="204"/>
      <c r="EAG310" s="35"/>
      <c r="EAH310" s="203"/>
      <c r="EAI310" s="203"/>
      <c r="EAJ310" s="36"/>
      <c r="EAK310" s="36"/>
      <c r="EAL310" s="203"/>
      <c r="EAM310" s="33"/>
      <c r="EAN310" s="33"/>
      <c r="EAO310" s="33"/>
      <c r="EAP310" s="33"/>
      <c r="EAQ310" s="33"/>
      <c r="EAR310" s="33"/>
      <c r="EAS310" s="37"/>
      <c r="EAT310" s="208"/>
      <c r="EAU310" s="207"/>
      <c r="EAV310" s="204"/>
      <c r="EAW310" s="35"/>
      <c r="EAX310" s="203"/>
      <c r="EAY310" s="203"/>
      <c r="EAZ310" s="36"/>
      <c r="EBA310" s="36"/>
      <c r="EBB310" s="203"/>
      <c r="EBC310" s="33"/>
      <c r="EBD310" s="33"/>
      <c r="EBE310" s="33"/>
      <c r="EBF310" s="33"/>
      <c r="EBG310" s="33"/>
      <c r="EBH310" s="33"/>
      <c r="EBI310" s="37"/>
      <c r="EBJ310" s="208"/>
      <c r="EBK310" s="207"/>
      <c r="EBL310" s="204"/>
      <c r="EBM310" s="35"/>
      <c r="EBN310" s="203"/>
      <c r="EBO310" s="203"/>
      <c r="EBP310" s="36"/>
      <c r="EBQ310" s="36"/>
      <c r="EBR310" s="203"/>
      <c r="EBS310" s="33"/>
      <c r="EBT310" s="33"/>
      <c r="EBU310" s="33"/>
      <c r="EBV310" s="33"/>
      <c r="EBW310" s="33"/>
      <c r="EBX310" s="33"/>
      <c r="EBY310" s="37"/>
      <c r="EBZ310" s="208"/>
      <c r="ECA310" s="207"/>
      <c r="ECB310" s="204"/>
      <c r="ECC310" s="35"/>
      <c r="ECD310" s="203"/>
      <c r="ECE310" s="203"/>
      <c r="ECF310" s="36"/>
      <c r="ECG310" s="36"/>
      <c r="ECH310" s="203"/>
      <c r="ECI310" s="33"/>
      <c r="ECJ310" s="33"/>
      <c r="ECK310" s="33"/>
      <c r="ECL310" s="33"/>
      <c r="ECM310" s="33"/>
      <c r="ECN310" s="33"/>
      <c r="ECO310" s="37"/>
      <c r="ECP310" s="208"/>
      <c r="ECQ310" s="207"/>
      <c r="ECR310" s="204"/>
      <c r="ECS310" s="35"/>
      <c r="ECT310" s="203"/>
      <c r="ECU310" s="203"/>
      <c r="ECV310" s="36"/>
      <c r="ECW310" s="36"/>
      <c r="ECX310" s="203"/>
      <c r="ECY310" s="33"/>
      <c r="ECZ310" s="33"/>
      <c r="EDA310" s="33"/>
      <c r="EDB310" s="33"/>
      <c r="EDC310" s="33"/>
      <c r="EDD310" s="33"/>
      <c r="EDE310" s="37"/>
      <c r="EDF310" s="208"/>
      <c r="EDG310" s="207"/>
      <c r="EDH310" s="204"/>
      <c r="EDI310" s="35"/>
      <c r="EDJ310" s="203"/>
      <c r="EDK310" s="203"/>
      <c r="EDL310" s="36"/>
      <c r="EDM310" s="36"/>
      <c r="EDN310" s="203"/>
      <c r="EDO310" s="33"/>
      <c r="EDP310" s="33"/>
      <c r="EDQ310" s="33"/>
      <c r="EDR310" s="33"/>
      <c r="EDS310" s="33"/>
      <c r="EDT310" s="33"/>
      <c r="EDU310" s="37"/>
      <c r="EDV310" s="208"/>
      <c r="EDW310" s="207"/>
      <c r="EDX310" s="204"/>
      <c r="EDY310" s="35"/>
      <c r="EDZ310" s="203"/>
      <c r="EEA310" s="203"/>
      <c r="EEB310" s="36"/>
      <c r="EEC310" s="36"/>
      <c r="EED310" s="203"/>
      <c r="EEE310" s="33"/>
      <c r="EEF310" s="33"/>
      <c r="EEG310" s="33"/>
      <c r="EEH310" s="33"/>
      <c r="EEI310" s="33"/>
      <c r="EEJ310" s="33"/>
      <c r="EEK310" s="37"/>
      <c r="EEL310" s="208"/>
      <c r="EEM310" s="207"/>
      <c r="EEN310" s="204"/>
      <c r="EEO310" s="35"/>
      <c r="EEP310" s="203"/>
      <c r="EEQ310" s="203"/>
      <c r="EER310" s="36"/>
      <c r="EES310" s="36"/>
      <c r="EET310" s="203"/>
      <c r="EEU310" s="33"/>
      <c r="EEV310" s="33"/>
      <c r="EEW310" s="33"/>
      <c r="EEX310" s="33"/>
      <c r="EEY310" s="33"/>
      <c r="EEZ310" s="33"/>
      <c r="EFA310" s="37"/>
      <c r="EFB310" s="208"/>
      <c r="EFC310" s="207"/>
      <c r="EFD310" s="204"/>
      <c r="EFE310" s="35"/>
      <c r="EFF310" s="203"/>
      <c r="EFG310" s="203"/>
      <c r="EFH310" s="36"/>
      <c r="EFI310" s="36"/>
      <c r="EFJ310" s="203"/>
      <c r="EFK310" s="33"/>
      <c r="EFL310" s="33"/>
      <c r="EFM310" s="33"/>
      <c r="EFN310" s="33"/>
      <c r="EFO310" s="33"/>
      <c r="EFP310" s="33"/>
      <c r="EFQ310" s="37"/>
      <c r="EFR310" s="208"/>
      <c r="EFS310" s="207"/>
      <c r="EFT310" s="204"/>
      <c r="EFU310" s="35"/>
      <c r="EFV310" s="203"/>
      <c r="EFW310" s="203"/>
      <c r="EFX310" s="36"/>
      <c r="EFY310" s="36"/>
      <c r="EFZ310" s="203"/>
      <c r="EGA310" s="33"/>
      <c r="EGB310" s="33"/>
      <c r="EGC310" s="33"/>
      <c r="EGD310" s="33"/>
      <c r="EGE310" s="33"/>
      <c r="EGF310" s="33"/>
      <c r="EGG310" s="37"/>
      <c r="EGH310" s="208"/>
      <c r="EGI310" s="207"/>
      <c r="EGJ310" s="204"/>
      <c r="EGK310" s="35"/>
      <c r="EGL310" s="203"/>
      <c r="EGM310" s="203"/>
      <c r="EGN310" s="36"/>
      <c r="EGO310" s="36"/>
      <c r="EGP310" s="203"/>
      <c r="EGQ310" s="33"/>
      <c r="EGR310" s="33"/>
      <c r="EGS310" s="33"/>
      <c r="EGT310" s="33"/>
      <c r="EGU310" s="33"/>
      <c r="EGV310" s="33"/>
      <c r="EGW310" s="37"/>
      <c r="EGX310" s="208"/>
      <c r="EGY310" s="207"/>
      <c r="EGZ310" s="204"/>
      <c r="EHA310" s="35"/>
      <c r="EHB310" s="203"/>
      <c r="EHC310" s="203"/>
      <c r="EHD310" s="36"/>
      <c r="EHE310" s="36"/>
      <c r="EHF310" s="203"/>
      <c r="EHG310" s="33"/>
      <c r="EHH310" s="33"/>
      <c r="EHI310" s="33"/>
      <c r="EHJ310" s="33"/>
      <c r="EHK310" s="33"/>
      <c r="EHL310" s="33"/>
      <c r="EHM310" s="37"/>
      <c r="EHN310" s="208"/>
      <c r="EHO310" s="207"/>
      <c r="EHP310" s="204"/>
      <c r="EHQ310" s="35"/>
      <c r="EHR310" s="203"/>
      <c r="EHS310" s="203"/>
      <c r="EHT310" s="36"/>
      <c r="EHU310" s="36"/>
      <c r="EHV310" s="203"/>
      <c r="EHW310" s="33"/>
      <c r="EHX310" s="33"/>
      <c r="EHY310" s="33"/>
      <c r="EHZ310" s="33"/>
      <c r="EIA310" s="33"/>
      <c r="EIB310" s="33"/>
      <c r="EIC310" s="37"/>
      <c r="EID310" s="208"/>
      <c r="EIE310" s="207"/>
      <c r="EIF310" s="204"/>
      <c r="EIG310" s="35"/>
      <c r="EIH310" s="203"/>
      <c r="EII310" s="203"/>
      <c r="EIJ310" s="36"/>
      <c r="EIK310" s="36"/>
      <c r="EIL310" s="203"/>
      <c r="EIM310" s="33"/>
      <c r="EIN310" s="33"/>
      <c r="EIO310" s="33"/>
      <c r="EIP310" s="33"/>
      <c r="EIQ310" s="33"/>
      <c r="EIR310" s="33"/>
      <c r="EIS310" s="37"/>
      <c r="EIT310" s="208"/>
      <c r="EIU310" s="207"/>
      <c r="EIV310" s="204"/>
      <c r="EIW310" s="35"/>
      <c r="EIX310" s="203"/>
      <c r="EIY310" s="203"/>
      <c r="EIZ310" s="36"/>
      <c r="EJA310" s="36"/>
      <c r="EJB310" s="203"/>
      <c r="EJC310" s="33"/>
      <c r="EJD310" s="33"/>
      <c r="EJE310" s="33"/>
      <c r="EJF310" s="33"/>
      <c r="EJG310" s="33"/>
      <c r="EJH310" s="33"/>
      <c r="EJI310" s="37"/>
      <c r="EJJ310" s="208"/>
      <c r="EJK310" s="207"/>
      <c r="EJL310" s="204"/>
      <c r="EJM310" s="35"/>
      <c r="EJN310" s="203"/>
      <c r="EJO310" s="203"/>
      <c r="EJP310" s="36"/>
      <c r="EJQ310" s="36"/>
      <c r="EJR310" s="203"/>
      <c r="EJS310" s="33"/>
      <c r="EJT310" s="33"/>
      <c r="EJU310" s="33"/>
      <c r="EJV310" s="33"/>
      <c r="EJW310" s="33"/>
      <c r="EJX310" s="33"/>
      <c r="EJY310" s="37"/>
      <c r="EJZ310" s="208"/>
      <c r="EKA310" s="207"/>
      <c r="EKB310" s="204"/>
      <c r="EKC310" s="35"/>
      <c r="EKD310" s="203"/>
      <c r="EKE310" s="203"/>
      <c r="EKF310" s="36"/>
      <c r="EKG310" s="36"/>
      <c r="EKH310" s="203"/>
      <c r="EKI310" s="33"/>
      <c r="EKJ310" s="33"/>
      <c r="EKK310" s="33"/>
      <c r="EKL310" s="33"/>
      <c r="EKM310" s="33"/>
      <c r="EKN310" s="33"/>
      <c r="EKO310" s="37"/>
      <c r="EKP310" s="208"/>
      <c r="EKQ310" s="207"/>
      <c r="EKR310" s="204"/>
      <c r="EKS310" s="35"/>
      <c r="EKT310" s="203"/>
      <c r="EKU310" s="203"/>
      <c r="EKV310" s="36"/>
      <c r="EKW310" s="36"/>
      <c r="EKX310" s="203"/>
      <c r="EKY310" s="33"/>
      <c r="EKZ310" s="33"/>
      <c r="ELA310" s="33"/>
      <c r="ELB310" s="33"/>
      <c r="ELC310" s="33"/>
      <c r="ELD310" s="33"/>
      <c r="ELE310" s="37"/>
      <c r="ELF310" s="208"/>
      <c r="ELG310" s="207"/>
      <c r="ELH310" s="204"/>
      <c r="ELI310" s="35"/>
      <c r="ELJ310" s="203"/>
      <c r="ELK310" s="203"/>
      <c r="ELL310" s="36"/>
      <c r="ELM310" s="36"/>
      <c r="ELN310" s="203"/>
      <c r="ELO310" s="33"/>
      <c r="ELP310" s="33"/>
      <c r="ELQ310" s="33"/>
      <c r="ELR310" s="33"/>
      <c r="ELS310" s="33"/>
      <c r="ELT310" s="33"/>
      <c r="ELU310" s="37"/>
      <c r="ELV310" s="208"/>
      <c r="ELW310" s="207"/>
      <c r="ELX310" s="204"/>
      <c r="ELY310" s="35"/>
      <c r="ELZ310" s="203"/>
      <c r="EMA310" s="203"/>
      <c r="EMB310" s="36"/>
      <c r="EMC310" s="36"/>
      <c r="EMD310" s="203"/>
      <c r="EME310" s="33"/>
      <c r="EMF310" s="33"/>
      <c r="EMG310" s="33"/>
      <c r="EMH310" s="33"/>
      <c r="EMI310" s="33"/>
      <c r="EMJ310" s="33"/>
      <c r="EMK310" s="37"/>
      <c r="EML310" s="208"/>
      <c r="EMM310" s="207"/>
      <c r="EMN310" s="204"/>
      <c r="EMO310" s="35"/>
      <c r="EMP310" s="203"/>
      <c r="EMQ310" s="203"/>
      <c r="EMR310" s="36"/>
      <c r="EMS310" s="36"/>
      <c r="EMT310" s="203"/>
      <c r="EMU310" s="33"/>
      <c r="EMV310" s="33"/>
      <c r="EMW310" s="33"/>
      <c r="EMX310" s="33"/>
      <c r="EMY310" s="33"/>
      <c r="EMZ310" s="33"/>
      <c r="ENA310" s="37"/>
      <c r="ENB310" s="208"/>
      <c r="ENC310" s="207"/>
      <c r="END310" s="204"/>
      <c r="ENE310" s="35"/>
      <c r="ENF310" s="203"/>
      <c r="ENG310" s="203"/>
      <c r="ENH310" s="36"/>
      <c r="ENI310" s="36"/>
      <c r="ENJ310" s="203"/>
      <c r="ENK310" s="33"/>
      <c r="ENL310" s="33"/>
      <c r="ENM310" s="33"/>
      <c r="ENN310" s="33"/>
      <c r="ENO310" s="33"/>
      <c r="ENP310" s="33"/>
      <c r="ENQ310" s="37"/>
      <c r="ENR310" s="208"/>
      <c r="ENS310" s="207"/>
      <c r="ENT310" s="204"/>
      <c r="ENU310" s="35"/>
      <c r="ENV310" s="203"/>
      <c r="ENW310" s="203"/>
      <c r="ENX310" s="36"/>
      <c r="ENY310" s="36"/>
      <c r="ENZ310" s="203"/>
      <c r="EOA310" s="33"/>
      <c r="EOB310" s="33"/>
      <c r="EOC310" s="33"/>
      <c r="EOD310" s="33"/>
      <c r="EOE310" s="33"/>
      <c r="EOF310" s="33"/>
      <c r="EOG310" s="37"/>
      <c r="EOH310" s="208"/>
      <c r="EOI310" s="207"/>
      <c r="EOJ310" s="204"/>
      <c r="EOK310" s="35"/>
      <c r="EOL310" s="203"/>
      <c r="EOM310" s="203"/>
      <c r="EON310" s="36"/>
      <c r="EOO310" s="36"/>
      <c r="EOP310" s="203"/>
      <c r="EOQ310" s="33"/>
      <c r="EOR310" s="33"/>
      <c r="EOS310" s="33"/>
      <c r="EOT310" s="33"/>
      <c r="EOU310" s="33"/>
      <c r="EOV310" s="33"/>
      <c r="EOW310" s="37"/>
      <c r="EOX310" s="208"/>
      <c r="EOY310" s="207"/>
      <c r="EOZ310" s="204"/>
      <c r="EPA310" s="35"/>
      <c r="EPB310" s="203"/>
      <c r="EPC310" s="203"/>
      <c r="EPD310" s="36"/>
      <c r="EPE310" s="36"/>
      <c r="EPF310" s="203"/>
      <c r="EPG310" s="33"/>
      <c r="EPH310" s="33"/>
      <c r="EPI310" s="33"/>
      <c r="EPJ310" s="33"/>
      <c r="EPK310" s="33"/>
      <c r="EPL310" s="33"/>
      <c r="EPM310" s="37"/>
      <c r="EPN310" s="208"/>
      <c r="EPO310" s="207"/>
      <c r="EPP310" s="204"/>
      <c r="EPQ310" s="35"/>
      <c r="EPR310" s="203"/>
      <c r="EPS310" s="203"/>
      <c r="EPT310" s="36"/>
      <c r="EPU310" s="36"/>
      <c r="EPV310" s="203"/>
      <c r="EPW310" s="33"/>
      <c r="EPX310" s="33"/>
      <c r="EPY310" s="33"/>
      <c r="EPZ310" s="33"/>
      <c r="EQA310" s="33"/>
      <c r="EQB310" s="33"/>
      <c r="EQC310" s="37"/>
      <c r="EQD310" s="208"/>
      <c r="EQE310" s="207"/>
      <c r="EQF310" s="204"/>
      <c r="EQG310" s="35"/>
      <c r="EQH310" s="203"/>
      <c r="EQI310" s="203"/>
      <c r="EQJ310" s="36"/>
      <c r="EQK310" s="36"/>
      <c r="EQL310" s="203"/>
      <c r="EQM310" s="33"/>
      <c r="EQN310" s="33"/>
      <c r="EQO310" s="33"/>
      <c r="EQP310" s="33"/>
      <c r="EQQ310" s="33"/>
      <c r="EQR310" s="33"/>
      <c r="EQS310" s="37"/>
      <c r="EQT310" s="208"/>
      <c r="EQU310" s="207"/>
      <c r="EQV310" s="204"/>
      <c r="EQW310" s="35"/>
      <c r="EQX310" s="203"/>
      <c r="EQY310" s="203"/>
      <c r="EQZ310" s="36"/>
      <c r="ERA310" s="36"/>
      <c r="ERB310" s="203"/>
      <c r="ERC310" s="33"/>
      <c r="ERD310" s="33"/>
      <c r="ERE310" s="33"/>
      <c r="ERF310" s="33"/>
      <c r="ERG310" s="33"/>
      <c r="ERH310" s="33"/>
      <c r="ERI310" s="37"/>
      <c r="ERJ310" s="208"/>
      <c r="ERK310" s="207"/>
      <c r="ERL310" s="204"/>
      <c r="ERM310" s="35"/>
      <c r="ERN310" s="203"/>
      <c r="ERO310" s="203"/>
      <c r="ERP310" s="36"/>
      <c r="ERQ310" s="36"/>
      <c r="ERR310" s="203"/>
      <c r="ERS310" s="33"/>
      <c r="ERT310" s="33"/>
      <c r="ERU310" s="33"/>
      <c r="ERV310" s="33"/>
      <c r="ERW310" s="33"/>
      <c r="ERX310" s="33"/>
      <c r="ERY310" s="37"/>
      <c r="ERZ310" s="208"/>
      <c r="ESA310" s="207"/>
      <c r="ESB310" s="204"/>
      <c r="ESC310" s="35"/>
      <c r="ESD310" s="203"/>
      <c r="ESE310" s="203"/>
      <c r="ESF310" s="36"/>
      <c r="ESG310" s="36"/>
      <c r="ESH310" s="203"/>
      <c r="ESI310" s="33"/>
      <c r="ESJ310" s="33"/>
      <c r="ESK310" s="33"/>
      <c r="ESL310" s="33"/>
      <c r="ESM310" s="33"/>
      <c r="ESN310" s="33"/>
      <c r="ESO310" s="37"/>
      <c r="ESP310" s="208"/>
      <c r="ESQ310" s="207"/>
      <c r="ESR310" s="204"/>
      <c r="ESS310" s="35"/>
      <c r="EST310" s="203"/>
      <c r="ESU310" s="203"/>
      <c r="ESV310" s="36"/>
      <c r="ESW310" s="36"/>
      <c r="ESX310" s="203"/>
      <c r="ESY310" s="33"/>
      <c r="ESZ310" s="33"/>
      <c r="ETA310" s="33"/>
      <c r="ETB310" s="33"/>
      <c r="ETC310" s="33"/>
      <c r="ETD310" s="33"/>
      <c r="ETE310" s="37"/>
      <c r="ETF310" s="208"/>
      <c r="ETG310" s="207"/>
      <c r="ETH310" s="204"/>
      <c r="ETI310" s="35"/>
      <c r="ETJ310" s="203"/>
      <c r="ETK310" s="203"/>
      <c r="ETL310" s="36"/>
      <c r="ETM310" s="36"/>
      <c r="ETN310" s="203"/>
      <c r="ETO310" s="33"/>
      <c r="ETP310" s="33"/>
      <c r="ETQ310" s="33"/>
      <c r="ETR310" s="33"/>
      <c r="ETS310" s="33"/>
      <c r="ETT310" s="33"/>
      <c r="ETU310" s="37"/>
      <c r="ETV310" s="208"/>
      <c r="ETW310" s="207"/>
      <c r="ETX310" s="204"/>
      <c r="ETY310" s="35"/>
      <c r="ETZ310" s="203"/>
      <c r="EUA310" s="203"/>
      <c r="EUB310" s="36"/>
      <c r="EUC310" s="36"/>
      <c r="EUD310" s="203"/>
      <c r="EUE310" s="33"/>
      <c r="EUF310" s="33"/>
      <c r="EUG310" s="33"/>
      <c r="EUH310" s="33"/>
      <c r="EUI310" s="33"/>
      <c r="EUJ310" s="33"/>
      <c r="EUK310" s="37"/>
      <c r="EUL310" s="208"/>
      <c r="EUM310" s="207"/>
      <c r="EUN310" s="204"/>
      <c r="EUO310" s="35"/>
      <c r="EUP310" s="203"/>
      <c r="EUQ310" s="203"/>
      <c r="EUR310" s="36"/>
      <c r="EUS310" s="36"/>
      <c r="EUT310" s="203"/>
      <c r="EUU310" s="33"/>
      <c r="EUV310" s="33"/>
      <c r="EUW310" s="33"/>
      <c r="EUX310" s="33"/>
      <c r="EUY310" s="33"/>
      <c r="EUZ310" s="33"/>
      <c r="EVA310" s="37"/>
      <c r="EVB310" s="208"/>
      <c r="EVC310" s="207"/>
      <c r="EVD310" s="204"/>
      <c r="EVE310" s="35"/>
      <c r="EVF310" s="203"/>
      <c r="EVG310" s="203"/>
      <c r="EVH310" s="36"/>
      <c r="EVI310" s="36"/>
      <c r="EVJ310" s="203"/>
      <c r="EVK310" s="33"/>
      <c r="EVL310" s="33"/>
      <c r="EVM310" s="33"/>
      <c r="EVN310" s="33"/>
      <c r="EVO310" s="33"/>
      <c r="EVP310" s="33"/>
      <c r="EVQ310" s="37"/>
      <c r="EVR310" s="208"/>
      <c r="EVS310" s="207"/>
      <c r="EVT310" s="204"/>
      <c r="EVU310" s="35"/>
      <c r="EVV310" s="203"/>
      <c r="EVW310" s="203"/>
      <c r="EVX310" s="36"/>
      <c r="EVY310" s="36"/>
      <c r="EVZ310" s="203"/>
      <c r="EWA310" s="33"/>
      <c r="EWB310" s="33"/>
      <c r="EWC310" s="33"/>
      <c r="EWD310" s="33"/>
      <c r="EWE310" s="33"/>
      <c r="EWF310" s="33"/>
      <c r="EWG310" s="37"/>
      <c r="EWH310" s="208"/>
      <c r="EWI310" s="207"/>
      <c r="EWJ310" s="204"/>
      <c r="EWK310" s="35"/>
      <c r="EWL310" s="203"/>
      <c r="EWM310" s="203"/>
      <c r="EWN310" s="36"/>
      <c r="EWO310" s="36"/>
      <c r="EWP310" s="203"/>
      <c r="EWQ310" s="33"/>
      <c r="EWR310" s="33"/>
      <c r="EWS310" s="33"/>
      <c r="EWT310" s="33"/>
      <c r="EWU310" s="33"/>
      <c r="EWV310" s="33"/>
      <c r="EWW310" s="37"/>
      <c r="EWX310" s="208"/>
      <c r="EWY310" s="207"/>
      <c r="EWZ310" s="204"/>
      <c r="EXA310" s="35"/>
      <c r="EXB310" s="203"/>
      <c r="EXC310" s="203"/>
      <c r="EXD310" s="36"/>
      <c r="EXE310" s="36"/>
      <c r="EXF310" s="203"/>
      <c r="EXG310" s="33"/>
      <c r="EXH310" s="33"/>
      <c r="EXI310" s="33"/>
      <c r="EXJ310" s="33"/>
      <c r="EXK310" s="33"/>
      <c r="EXL310" s="33"/>
      <c r="EXM310" s="37"/>
      <c r="EXN310" s="208"/>
      <c r="EXO310" s="207"/>
      <c r="EXP310" s="204"/>
      <c r="EXQ310" s="35"/>
      <c r="EXR310" s="203"/>
      <c r="EXS310" s="203"/>
      <c r="EXT310" s="36"/>
      <c r="EXU310" s="36"/>
      <c r="EXV310" s="203"/>
      <c r="EXW310" s="33"/>
      <c r="EXX310" s="33"/>
      <c r="EXY310" s="33"/>
      <c r="EXZ310" s="33"/>
      <c r="EYA310" s="33"/>
      <c r="EYB310" s="33"/>
      <c r="EYC310" s="37"/>
      <c r="EYD310" s="208"/>
      <c r="EYE310" s="207"/>
      <c r="EYF310" s="204"/>
      <c r="EYG310" s="35"/>
      <c r="EYH310" s="203"/>
      <c r="EYI310" s="203"/>
      <c r="EYJ310" s="36"/>
      <c r="EYK310" s="36"/>
      <c r="EYL310" s="203"/>
      <c r="EYM310" s="33"/>
      <c r="EYN310" s="33"/>
      <c r="EYO310" s="33"/>
      <c r="EYP310" s="33"/>
      <c r="EYQ310" s="33"/>
      <c r="EYR310" s="33"/>
      <c r="EYS310" s="37"/>
      <c r="EYT310" s="208"/>
      <c r="EYU310" s="207"/>
      <c r="EYV310" s="204"/>
      <c r="EYW310" s="35"/>
      <c r="EYX310" s="203"/>
      <c r="EYY310" s="203"/>
      <c r="EYZ310" s="36"/>
      <c r="EZA310" s="36"/>
      <c r="EZB310" s="203"/>
      <c r="EZC310" s="33"/>
      <c r="EZD310" s="33"/>
      <c r="EZE310" s="33"/>
      <c r="EZF310" s="33"/>
      <c r="EZG310" s="33"/>
      <c r="EZH310" s="33"/>
      <c r="EZI310" s="37"/>
      <c r="EZJ310" s="208"/>
      <c r="EZK310" s="207"/>
      <c r="EZL310" s="204"/>
      <c r="EZM310" s="35"/>
      <c r="EZN310" s="203"/>
      <c r="EZO310" s="203"/>
      <c r="EZP310" s="36"/>
      <c r="EZQ310" s="36"/>
      <c r="EZR310" s="203"/>
      <c r="EZS310" s="33"/>
      <c r="EZT310" s="33"/>
      <c r="EZU310" s="33"/>
      <c r="EZV310" s="33"/>
      <c r="EZW310" s="33"/>
      <c r="EZX310" s="33"/>
      <c r="EZY310" s="37"/>
      <c r="EZZ310" s="208"/>
      <c r="FAA310" s="207"/>
      <c r="FAB310" s="204"/>
      <c r="FAC310" s="35"/>
      <c r="FAD310" s="203"/>
      <c r="FAE310" s="203"/>
      <c r="FAF310" s="36"/>
      <c r="FAG310" s="36"/>
      <c r="FAH310" s="203"/>
      <c r="FAI310" s="33"/>
      <c r="FAJ310" s="33"/>
      <c r="FAK310" s="33"/>
      <c r="FAL310" s="33"/>
      <c r="FAM310" s="33"/>
      <c r="FAN310" s="33"/>
      <c r="FAO310" s="37"/>
      <c r="FAP310" s="208"/>
      <c r="FAQ310" s="207"/>
      <c r="FAR310" s="204"/>
      <c r="FAS310" s="35"/>
      <c r="FAT310" s="203"/>
      <c r="FAU310" s="203"/>
      <c r="FAV310" s="36"/>
      <c r="FAW310" s="36"/>
      <c r="FAX310" s="203"/>
      <c r="FAY310" s="33"/>
      <c r="FAZ310" s="33"/>
      <c r="FBA310" s="33"/>
      <c r="FBB310" s="33"/>
      <c r="FBC310" s="33"/>
      <c r="FBD310" s="33"/>
      <c r="FBE310" s="37"/>
      <c r="FBF310" s="208"/>
      <c r="FBG310" s="207"/>
      <c r="FBH310" s="204"/>
      <c r="FBI310" s="35"/>
      <c r="FBJ310" s="203"/>
      <c r="FBK310" s="203"/>
      <c r="FBL310" s="36"/>
      <c r="FBM310" s="36"/>
      <c r="FBN310" s="203"/>
      <c r="FBO310" s="33"/>
      <c r="FBP310" s="33"/>
      <c r="FBQ310" s="33"/>
      <c r="FBR310" s="33"/>
      <c r="FBS310" s="33"/>
      <c r="FBT310" s="33"/>
      <c r="FBU310" s="37"/>
      <c r="FBV310" s="208"/>
      <c r="FBW310" s="207"/>
      <c r="FBX310" s="204"/>
      <c r="FBY310" s="35"/>
      <c r="FBZ310" s="203"/>
      <c r="FCA310" s="203"/>
      <c r="FCB310" s="36"/>
      <c r="FCC310" s="36"/>
      <c r="FCD310" s="203"/>
      <c r="FCE310" s="33"/>
      <c r="FCF310" s="33"/>
      <c r="FCG310" s="33"/>
      <c r="FCH310" s="33"/>
      <c r="FCI310" s="33"/>
      <c r="FCJ310" s="33"/>
      <c r="FCK310" s="37"/>
      <c r="FCL310" s="208"/>
      <c r="FCM310" s="207"/>
      <c r="FCN310" s="204"/>
      <c r="FCO310" s="35"/>
      <c r="FCP310" s="203"/>
      <c r="FCQ310" s="203"/>
      <c r="FCR310" s="36"/>
      <c r="FCS310" s="36"/>
      <c r="FCT310" s="203"/>
      <c r="FCU310" s="33"/>
      <c r="FCV310" s="33"/>
      <c r="FCW310" s="33"/>
      <c r="FCX310" s="33"/>
      <c r="FCY310" s="33"/>
      <c r="FCZ310" s="33"/>
      <c r="FDA310" s="37"/>
      <c r="FDB310" s="208"/>
      <c r="FDC310" s="207"/>
      <c r="FDD310" s="204"/>
      <c r="FDE310" s="35"/>
      <c r="FDF310" s="203"/>
      <c r="FDG310" s="203"/>
      <c r="FDH310" s="36"/>
      <c r="FDI310" s="36"/>
      <c r="FDJ310" s="203"/>
      <c r="FDK310" s="33"/>
      <c r="FDL310" s="33"/>
      <c r="FDM310" s="33"/>
      <c r="FDN310" s="33"/>
      <c r="FDO310" s="33"/>
      <c r="FDP310" s="33"/>
      <c r="FDQ310" s="37"/>
      <c r="FDR310" s="208"/>
      <c r="FDS310" s="207"/>
      <c r="FDT310" s="204"/>
      <c r="FDU310" s="35"/>
      <c r="FDV310" s="203"/>
      <c r="FDW310" s="203"/>
      <c r="FDX310" s="36"/>
      <c r="FDY310" s="36"/>
      <c r="FDZ310" s="203"/>
      <c r="FEA310" s="33"/>
      <c r="FEB310" s="33"/>
      <c r="FEC310" s="33"/>
      <c r="FED310" s="33"/>
      <c r="FEE310" s="33"/>
      <c r="FEF310" s="33"/>
      <c r="FEG310" s="37"/>
      <c r="FEH310" s="208"/>
      <c r="FEI310" s="207"/>
      <c r="FEJ310" s="204"/>
      <c r="FEK310" s="35"/>
      <c r="FEL310" s="203"/>
      <c r="FEM310" s="203"/>
      <c r="FEN310" s="36"/>
      <c r="FEO310" s="36"/>
      <c r="FEP310" s="203"/>
      <c r="FEQ310" s="33"/>
      <c r="FER310" s="33"/>
      <c r="FES310" s="33"/>
      <c r="FET310" s="33"/>
      <c r="FEU310" s="33"/>
      <c r="FEV310" s="33"/>
      <c r="FEW310" s="37"/>
      <c r="FEX310" s="208"/>
      <c r="FEY310" s="207"/>
      <c r="FEZ310" s="204"/>
      <c r="FFA310" s="35"/>
      <c r="FFB310" s="203"/>
      <c r="FFC310" s="203"/>
      <c r="FFD310" s="36"/>
      <c r="FFE310" s="36"/>
      <c r="FFF310" s="203"/>
      <c r="FFG310" s="33"/>
      <c r="FFH310" s="33"/>
      <c r="FFI310" s="33"/>
      <c r="FFJ310" s="33"/>
      <c r="FFK310" s="33"/>
      <c r="FFL310" s="33"/>
      <c r="FFM310" s="37"/>
      <c r="FFN310" s="208"/>
      <c r="FFO310" s="207"/>
      <c r="FFP310" s="204"/>
      <c r="FFQ310" s="35"/>
      <c r="FFR310" s="203"/>
      <c r="FFS310" s="203"/>
      <c r="FFT310" s="36"/>
      <c r="FFU310" s="36"/>
      <c r="FFV310" s="203"/>
      <c r="FFW310" s="33"/>
      <c r="FFX310" s="33"/>
      <c r="FFY310" s="33"/>
      <c r="FFZ310" s="33"/>
      <c r="FGA310" s="33"/>
      <c r="FGB310" s="33"/>
      <c r="FGC310" s="37"/>
      <c r="FGD310" s="208"/>
      <c r="FGE310" s="207"/>
      <c r="FGF310" s="204"/>
      <c r="FGG310" s="35"/>
      <c r="FGH310" s="203"/>
      <c r="FGI310" s="203"/>
      <c r="FGJ310" s="36"/>
      <c r="FGK310" s="36"/>
      <c r="FGL310" s="203"/>
      <c r="FGM310" s="33"/>
      <c r="FGN310" s="33"/>
      <c r="FGO310" s="33"/>
      <c r="FGP310" s="33"/>
      <c r="FGQ310" s="33"/>
      <c r="FGR310" s="33"/>
      <c r="FGS310" s="37"/>
      <c r="FGT310" s="208"/>
      <c r="FGU310" s="207"/>
      <c r="FGV310" s="204"/>
      <c r="FGW310" s="35"/>
      <c r="FGX310" s="203"/>
      <c r="FGY310" s="203"/>
      <c r="FGZ310" s="36"/>
      <c r="FHA310" s="36"/>
      <c r="FHB310" s="203"/>
      <c r="FHC310" s="33"/>
      <c r="FHD310" s="33"/>
      <c r="FHE310" s="33"/>
      <c r="FHF310" s="33"/>
      <c r="FHG310" s="33"/>
      <c r="FHH310" s="33"/>
      <c r="FHI310" s="37"/>
      <c r="FHJ310" s="208"/>
      <c r="FHK310" s="207"/>
      <c r="FHL310" s="204"/>
      <c r="FHM310" s="35"/>
      <c r="FHN310" s="203"/>
      <c r="FHO310" s="203"/>
      <c r="FHP310" s="36"/>
      <c r="FHQ310" s="36"/>
      <c r="FHR310" s="203"/>
      <c r="FHS310" s="33"/>
      <c r="FHT310" s="33"/>
      <c r="FHU310" s="33"/>
      <c r="FHV310" s="33"/>
      <c r="FHW310" s="33"/>
      <c r="FHX310" s="33"/>
      <c r="FHY310" s="37"/>
      <c r="FHZ310" s="208"/>
      <c r="FIA310" s="207"/>
      <c r="FIB310" s="204"/>
      <c r="FIC310" s="35"/>
      <c r="FID310" s="203"/>
      <c r="FIE310" s="203"/>
      <c r="FIF310" s="36"/>
      <c r="FIG310" s="36"/>
      <c r="FIH310" s="203"/>
      <c r="FII310" s="33"/>
      <c r="FIJ310" s="33"/>
      <c r="FIK310" s="33"/>
      <c r="FIL310" s="33"/>
      <c r="FIM310" s="33"/>
      <c r="FIN310" s="33"/>
      <c r="FIO310" s="37"/>
      <c r="FIP310" s="208"/>
      <c r="FIQ310" s="207"/>
      <c r="FIR310" s="204"/>
      <c r="FIS310" s="35"/>
      <c r="FIT310" s="203"/>
      <c r="FIU310" s="203"/>
      <c r="FIV310" s="36"/>
      <c r="FIW310" s="36"/>
      <c r="FIX310" s="203"/>
      <c r="FIY310" s="33"/>
      <c r="FIZ310" s="33"/>
      <c r="FJA310" s="33"/>
      <c r="FJB310" s="33"/>
      <c r="FJC310" s="33"/>
      <c r="FJD310" s="33"/>
      <c r="FJE310" s="37"/>
      <c r="FJF310" s="208"/>
      <c r="FJG310" s="207"/>
      <c r="FJH310" s="204"/>
      <c r="FJI310" s="35"/>
      <c r="FJJ310" s="203"/>
      <c r="FJK310" s="203"/>
      <c r="FJL310" s="36"/>
      <c r="FJM310" s="36"/>
      <c r="FJN310" s="203"/>
      <c r="FJO310" s="33"/>
      <c r="FJP310" s="33"/>
      <c r="FJQ310" s="33"/>
      <c r="FJR310" s="33"/>
      <c r="FJS310" s="33"/>
      <c r="FJT310" s="33"/>
      <c r="FJU310" s="37"/>
      <c r="FJV310" s="208"/>
      <c r="FJW310" s="207"/>
      <c r="FJX310" s="204"/>
      <c r="FJY310" s="35"/>
      <c r="FJZ310" s="203"/>
      <c r="FKA310" s="203"/>
      <c r="FKB310" s="36"/>
      <c r="FKC310" s="36"/>
      <c r="FKD310" s="203"/>
      <c r="FKE310" s="33"/>
      <c r="FKF310" s="33"/>
      <c r="FKG310" s="33"/>
      <c r="FKH310" s="33"/>
      <c r="FKI310" s="33"/>
      <c r="FKJ310" s="33"/>
      <c r="FKK310" s="37"/>
      <c r="FKL310" s="208"/>
      <c r="FKM310" s="207"/>
      <c r="FKN310" s="204"/>
      <c r="FKO310" s="35"/>
      <c r="FKP310" s="203"/>
      <c r="FKQ310" s="203"/>
      <c r="FKR310" s="36"/>
      <c r="FKS310" s="36"/>
      <c r="FKT310" s="203"/>
      <c r="FKU310" s="33"/>
      <c r="FKV310" s="33"/>
      <c r="FKW310" s="33"/>
      <c r="FKX310" s="33"/>
      <c r="FKY310" s="33"/>
      <c r="FKZ310" s="33"/>
      <c r="FLA310" s="37"/>
      <c r="FLB310" s="208"/>
      <c r="FLC310" s="207"/>
      <c r="FLD310" s="204"/>
      <c r="FLE310" s="35"/>
      <c r="FLF310" s="203"/>
      <c r="FLG310" s="203"/>
      <c r="FLH310" s="36"/>
      <c r="FLI310" s="36"/>
      <c r="FLJ310" s="203"/>
      <c r="FLK310" s="33"/>
      <c r="FLL310" s="33"/>
      <c r="FLM310" s="33"/>
      <c r="FLN310" s="33"/>
      <c r="FLO310" s="33"/>
      <c r="FLP310" s="33"/>
      <c r="FLQ310" s="37"/>
      <c r="FLR310" s="208"/>
      <c r="FLS310" s="207"/>
      <c r="FLT310" s="204"/>
      <c r="FLU310" s="35"/>
      <c r="FLV310" s="203"/>
      <c r="FLW310" s="203"/>
      <c r="FLX310" s="36"/>
      <c r="FLY310" s="36"/>
      <c r="FLZ310" s="203"/>
      <c r="FMA310" s="33"/>
      <c r="FMB310" s="33"/>
      <c r="FMC310" s="33"/>
      <c r="FMD310" s="33"/>
      <c r="FME310" s="33"/>
      <c r="FMF310" s="33"/>
      <c r="FMG310" s="37"/>
      <c r="FMH310" s="208"/>
      <c r="FMI310" s="207"/>
      <c r="FMJ310" s="204"/>
      <c r="FMK310" s="35"/>
      <c r="FML310" s="203"/>
      <c r="FMM310" s="203"/>
      <c r="FMN310" s="36"/>
      <c r="FMO310" s="36"/>
      <c r="FMP310" s="203"/>
      <c r="FMQ310" s="33"/>
      <c r="FMR310" s="33"/>
      <c r="FMS310" s="33"/>
      <c r="FMT310" s="33"/>
      <c r="FMU310" s="33"/>
      <c r="FMV310" s="33"/>
      <c r="FMW310" s="37"/>
      <c r="FMX310" s="208"/>
      <c r="FMY310" s="207"/>
      <c r="FMZ310" s="204"/>
      <c r="FNA310" s="35"/>
      <c r="FNB310" s="203"/>
      <c r="FNC310" s="203"/>
      <c r="FND310" s="36"/>
      <c r="FNE310" s="36"/>
      <c r="FNF310" s="203"/>
      <c r="FNG310" s="33"/>
      <c r="FNH310" s="33"/>
      <c r="FNI310" s="33"/>
      <c r="FNJ310" s="33"/>
      <c r="FNK310" s="33"/>
      <c r="FNL310" s="33"/>
      <c r="FNM310" s="37"/>
      <c r="FNN310" s="208"/>
      <c r="FNO310" s="207"/>
      <c r="FNP310" s="204"/>
      <c r="FNQ310" s="35"/>
      <c r="FNR310" s="203"/>
      <c r="FNS310" s="203"/>
      <c r="FNT310" s="36"/>
      <c r="FNU310" s="36"/>
      <c r="FNV310" s="203"/>
      <c r="FNW310" s="33"/>
      <c r="FNX310" s="33"/>
      <c r="FNY310" s="33"/>
      <c r="FNZ310" s="33"/>
      <c r="FOA310" s="33"/>
      <c r="FOB310" s="33"/>
      <c r="FOC310" s="37"/>
      <c r="FOD310" s="208"/>
      <c r="FOE310" s="207"/>
      <c r="FOF310" s="204"/>
      <c r="FOG310" s="35"/>
      <c r="FOH310" s="203"/>
      <c r="FOI310" s="203"/>
      <c r="FOJ310" s="36"/>
      <c r="FOK310" s="36"/>
      <c r="FOL310" s="203"/>
      <c r="FOM310" s="33"/>
      <c r="FON310" s="33"/>
      <c r="FOO310" s="33"/>
      <c r="FOP310" s="33"/>
      <c r="FOQ310" s="33"/>
      <c r="FOR310" s="33"/>
      <c r="FOS310" s="37"/>
      <c r="FOT310" s="208"/>
      <c r="FOU310" s="207"/>
      <c r="FOV310" s="204"/>
      <c r="FOW310" s="35"/>
      <c r="FOX310" s="203"/>
      <c r="FOY310" s="203"/>
      <c r="FOZ310" s="36"/>
      <c r="FPA310" s="36"/>
      <c r="FPB310" s="203"/>
      <c r="FPC310" s="33"/>
      <c r="FPD310" s="33"/>
      <c r="FPE310" s="33"/>
      <c r="FPF310" s="33"/>
      <c r="FPG310" s="33"/>
      <c r="FPH310" s="33"/>
      <c r="FPI310" s="37"/>
      <c r="FPJ310" s="208"/>
      <c r="FPK310" s="207"/>
      <c r="FPL310" s="204"/>
      <c r="FPM310" s="35"/>
      <c r="FPN310" s="203"/>
      <c r="FPO310" s="203"/>
      <c r="FPP310" s="36"/>
      <c r="FPQ310" s="36"/>
      <c r="FPR310" s="203"/>
      <c r="FPS310" s="33"/>
      <c r="FPT310" s="33"/>
      <c r="FPU310" s="33"/>
      <c r="FPV310" s="33"/>
      <c r="FPW310" s="33"/>
      <c r="FPX310" s="33"/>
      <c r="FPY310" s="37"/>
      <c r="FPZ310" s="208"/>
      <c r="FQA310" s="207"/>
      <c r="FQB310" s="204"/>
      <c r="FQC310" s="35"/>
      <c r="FQD310" s="203"/>
      <c r="FQE310" s="203"/>
      <c r="FQF310" s="36"/>
      <c r="FQG310" s="36"/>
      <c r="FQH310" s="203"/>
      <c r="FQI310" s="33"/>
      <c r="FQJ310" s="33"/>
      <c r="FQK310" s="33"/>
      <c r="FQL310" s="33"/>
      <c r="FQM310" s="33"/>
      <c r="FQN310" s="33"/>
      <c r="FQO310" s="37"/>
      <c r="FQP310" s="208"/>
      <c r="FQQ310" s="207"/>
      <c r="FQR310" s="204"/>
      <c r="FQS310" s="35"/>
      <c r="FQT310" s="203"/>
      <c r="FQU310" s="203"/>
      <c r="FQV310" s="36"/>
      <c r="FQW310" s="36"/>
      <c r="FQX310" s="203"/>
      <c r="FQY310" s="33"/>
      <c r="FQZ310" s="33"/>
      <c r="FRA310" s="33"/>
      <c r="FRB310" s="33"/>
      <c r="FRC310" s="33"/>
      <c r="FRD310" s="33"/>
      <c r="FRE310" s="37"/>
      <c r="FRF310" s="208"/>
      <c r="FRG310" s="207"/>
      <c r="FRH310" s="204"/>
      <c r="FRI310" s="35"/>
      <c r="FRJ310" s="203"/>
      <c r="FRK310" s="203"/>
      <c r="FRL310" s="36"/>
      <c r="FRM310" s="36"/>
      <c r="FRN310" s="203"/>
      <c r="FRO310" s="33"/>
      <c r="FRP310" s="33"/>
      <c r="FRQ310" s="33"/>
      <c r="FRR310" s="33"/>
      <c r="FRS310" s="33"/>
      <c r="FRT310" s="33"/>
      <c r="FRU310" s="37"/>
      <c r="FRV310" s="208"/>
      <c r="FRW310" s="207"/>
      <c r="FRX310" s="204"/>
      <c r="FRY310" s="35"/>
      <c r="FRZ310" s="203"/>
      <c r="FSA310" s="203"/>
      <c r="FSB310" s="36"/>
      <c r="FSC310" s="36"/>
      <c r="FSD310" s="203"/>
      <c r="FSE310" s="33"/>
      <c r="FSF310" s="33"/>
      <c r="FSG310" s="33"/>
      <c r="FSH310" s="33"/>
      <c r="FSI310" s="33"/>
      <c r="FSJ310" s="33"/>
      <c r="FSK310" s="37"/>
      <c r="FSL310" s="208"/>
      <c r="FSM310" s="207"/>
      <c r="FSN310" s="204"/>
      <c r="FSO310" s="35"/>
      <c r="FSP310" s="203"/>
      <c r="FSQ310" s="203"/>
      <c r="FSR310" s="36"/>
      <c r="FSS310" s="36"/>
      <c r="FST310" s="203"/>
      <c r="FSU310" s="33"/>
      <c r="FSV310" s="33"/>
      <c r="FSW310" s="33"/>
      <c r="FSX310" s="33"/>
      <c r="FSY310" s="33"/>
      <c r="FSZ310" s="33"/>
      <c r="FTA310" s="37"/>
      <c r="FTB310" s="208"/>
      <c r="FTC310" s="207"/>
      <c r="FTD310" s="204"/>
      <c r="FTE310" s="35"/>
      <c r="FTF310" s="203"/>
      <c r="FTG310" s="203"/>
      <c r="FTH310" s="36"/>
      <c r="FTI310" s="36"/>
      <c r="FTJ310" s="203"/>
      <c r="FTK310" s="33"/>
      <c r="FTL310" s="33"/>
      <c r="FTM310" s="33"/>
      <c r="FTN310" s="33"/>
      <c r="FTO310" s="33"/>
      <c r="FTP310" s="33"/>
      <c r="FTQ310" s="37"/>
      <c r="FTR310" s="208"/>
      <c r="FTS310" s="207"/>
      <c r="FTT310" s="204"/>
      <c r="FTU310" s="35"/>
      <c r="FTV310" s="203"/>
      <c r="FTW310" s="203"/>
      <c r="FTX310" s="36"/>
      <c r="FTY310" s="36"/>
      <c r="FTZ310" s="203"/>
      <c r="FUA310" s="33"/>
      <c r="FUB310" s="33"/>
      <c r="FUC310" s="33"/>
      <c r="FUD310" s="33"/>
      <c r="FUE310" s="33"/>
      <c r="FUF310" s="33"/>
      <c r="FUG310" s="37"/>
      <c r="FUH310" s="208"/>
      <c r="FUI310" s="207"/>
      <c r="FUJ310" s="204"/>
      <c r="FUK310" s="35"/>
      <c r="FUL310" s="203"/>
      <c r="FUM310" s="203"/>
      <c r="FUN310" s="36"/>
      <c r="FUO310" s="36"/>
      <c r="FUP310" s="203"/>
      <c r="FUQ310" s="33"/>
      <c r="FUR310" s="33"/>
      <c r="FUS310" s="33"/>
      <c r="FUT310" s="33"/>
      <c r="FUU310" s="33"/>
      <c r="FUV310" s="33"/>
      <c r="FUW310" s="37"/>
      <c r="FUX310" s="208"/>
      <c r="FUY310" s="207"/>
      <c r="FUZ310" s="204"/>
      <c r="FVA310" s="35"/>
      <c r="FVB310" s="203"/>
      <c r="FVC310" s="203"/>
      <c r="FVD310" s="36"/>
      <c r="FVE310" s="36"/>
      <c r="FVF310" s="203"/>
      <c r="FVG310" s="33"/>
      <c r="FVH310" s="33"/>
      <c r="FVI310" s="33"/>
      <c r="FVJ310" s="33"/>
      <c r="FVK310" s="33"/>
      <c r="FVL310" s="33"/>
      <c r="FVM310" s="37"/>
      <c r="FVN310" s="208"/>
      <c r="FVO310" s="207"/>
      <c r="FVP310" s="204"/>
      <c r="FVQ310" s="35"/>
      <c r="FVR310" s="203"/>
      <c r="FVS310" s="203"/>
      <c r="FVT310" s="36"/>
      <c r="FVU310" s="36"/>
      <c r="FVV310" s="203"/>
      <c r="FVW310" s="33"/>
      <c r="FVX310" s="33"/>
      <c r="FVY310" s="33"/>
      <c r="FVZ310" s="33"/>
      <c r="FWA310" s="33"/>
      <c r="FWB310" s="33"/>
      <c r="FWC310" s="37"/>
      <c r="FWD310" s="208"/>
      <c r="FWE310" s="207"/>
      <c r="FWF310" s="204"/>
      <c r="FWG310" s="35"/>
      <c r="FWH310" s="203"/>
      <c r="FWI310" s="203"/>
      <c r="FWJ310" s="36"/>
      <c r="FWK310" s="36"/>
      <c r="FWL310" s="203"/>
      <c r="FWM310" s="33"/>
      <c r="FWN310" s="33"/>
      <c r="FWO310" s="33"/>
      <c r="FWP310" s="33"/>
      <c r="FWQ310" s="33"/>
      <c r="FWR310" s="33"/>
      <c r="FWS310" s="37"/>
      <c r="FWT310" s="208"/>
      <c r="FWU310" s="207"/>
      <c r="FWV310" s="204"/>
      <c r="FWW310" s="35"/>
      <c r="FWX310" s="203"/>
      <c r="FWY310" s="203"/>
      <c r="FWZ310" s="36"/>
      <c r="FXA310" s="36"/>
      <c r="FXB310" s="203"/>
      <c r="FXC310" s="33"/>
      <c r="FXD310" s="33"/>
      <c r="FXE310" s="33"/>
      <c r="FXF310" s="33"/>
      <c r="FXG310" s="33"/>
      <c r="FXH310" s="33"/>
      <c r="FXI310" s="37"/>
      <c r="FXJ310" s="208"/>
      <c r="FXK310" s="207"/>
      <c r="FXL310" s="204"/>
      <c r="FXM310" s="35"/>
      <c r="FXN310" s="203"/>
      <c r="FXO310" s="203"/>
      <c r="FXP310" s="36"/>
      <c r="FXQ310" s="36"/>
      <c r="FXR310" s="203"/>
      <c r="FXS310" s="33"/>
      <c r="FXT310" s="33"/>
      <c r="FXU310" s="33"/>
      <c r="FXV310" s="33"/>
      <c r="FXW310" s="33"/>
      <c r="FXX310" s="33"/>
      <c r="FXY310" s="37"/>
      <c r="FXZ310" s="208"/>
      <c r="FYA310" s="207"/>
      <c r="FYB310" s="204"/>
      <c r="FYC310" s="35"/>
      <c r="FYD310" s="203"/>
      <c r="FYE310" s="203"/>
      <c r="FYF310" s="36"/>
      <c r="FYG310" s="36"/>
      <c r="FYH310" s="203"/>
      <c r="FYI310" s="33"/>
      <c r="FYJ310" s="33"/>
      <c r="FYK310" s="33"/>
      <c r="FYL310" s="33"/>
      <c r="FYM310" s="33"/>
      <c r="FYN310" s="33"/>
      <c r="FYO310" s="37"/>
      <c r="FYP310" s="208"/>
      <c r="FYQ310" s="207"/>
      <c r="FYR310" s="204"/>
      <c r="FYS310" s="35"/>
      <c r="FYT310" s="203"/>
      <c r="FYU310" s="203"/>
      <c r="FYV310" s="36"/>
      <c r="FYW310" s="36"/>
      <c r="FYX310" s="203"/>
      <c r="FYY310" s="33"/>
      <c r="FYZ310" s="33"/>
      <c r="FZA310" s="33"/>
      <c r="FZB310" s="33"/>
      <c r="FZC310" s="33"/>
      <c r="FZD310" s="33"/>
      <c r="FZE310" s="37"/>
      <c r="FZF310" s="208"/>
      <c r="FZG310" s="207"/>
      <c r="FZH310" s="204"/>
      <c r="FZI310" s="35"/>
      <c r="FZJ310" s="203"/>
      <c r="FZK310" s="203"/>
      <c r="FZL310" s="36"/>
      <c r="FZM310" s="36"/>
      <c r="FZN310" s="203"/>
      <c r="FZO310" s="33"/>
      <c r="FZP310" s="33"/>
      <c r="FZQ310" s="33"/>
      <c r="FZR310" s="33"/>
      <c r="FZS310" s="33"/>
      <c r="FZT310" s="33"/>
      <c r="FZU310" s="37"/>
      <c r="FZV310" s="208"/>
      <c r="FZW310" s="207"/>
      <c r="FZX310" s="204"/>
      <c r="FZY310" s="35"/>
      <c r="FZZ310" s="203"/>
      <c r="GAA310" s="203"/>
      <c r="GAB310" s="36"/>
      <c r="GAC310" s="36"/>
      <c r="GAD310" s="203"/>
      <c r="GAE310" s="33"/>
      <c r="GAF310" s="33"/>
      <c r="GAG310" s="33"/>
      <c r="GAH310" s="33"/>
      <c r="GAI310" s="33"/>
      <c r="GAJ310" s="33"/>
      <c r="GAK310" s="37"/>
      <c r="GAL310" s="208"/>
      <c r="GAM310" s="207"/>
      <c r="GAN310" s="204"/>
      <c r="GAO310" s="35"/>
      <c r="GAP310" s="203"/>
      <c r="GAQ310" s="203"/>
      <c r="GAR310" s="36"/>
      <c r="GAS310" s="36"/>
      <c r="GAT310" s="203"/>
      <c r="GAU310" s="33"/>
      <c r="GAV310" s="33"/>
      <c r="GAW310" s="33"/>
      <c r="GAX310" s="33"/>
      <c r="GAY310" s="33"/>
      <c r="GAZ310" s="33"/>
      <c r="GBA310" s="37"/>
      <c r="GBB310" s="208"/>
      <c r="GBC310" s="207"/>
      <c r="GBD310" s="204"/>
      <c r="GBE310" s="35"/>
      <c r="GBF310" s="203"/>
      <c r="GBG310" s="203"/>
      <c r="GBH310" s="36"/>
      <c r="GBI310" s="36"/>
      <c r="GBJ310" s="203"/>
      <c r="GBK310" s="33"/>
      <c r="GBL310" s="33"/>
      <c r="GBM310" s="33"/>
      <c r="GBN310" s="33"/>
      <c r="GBO310" s="33"/>
      <c r="GBP310" s="33"/>
      <c r="GBQ310" s="37"/>
      <c r="GBR310" s="208"/>
      <c r="GBS310" s="207"/>
      <c r="GBT310" s="204"/>
      <c r="GBU310" s="35"/>
      <c r="GBV310" s="203"/>
      <c r="GBW310" s="203"/>
      <c r="GBX310" s="36"/>
      <c r="GBY310" s="36"/>
      <c r="GBZ310" s="203"/>
      <c r="GCA310" s="33"/>
      <c r="GCB310" s="33"/>
      <c r="GCC310" s="33"/>
      <c r="GCD310" s="33"/>
      <c r="GCE310" s="33"/>
      <c r="GCF310" s="33"/>
      <c r="GCG310" s="37"/>
      <c r="GCH310" s="208"/>
      <c r="GCI310" s="207"/>
      <c r="GCJ310" s="204"/>
      <c r="GCK310" s="35"/>
      <c r="GCL310" s="203"/>
      <c r="GCM310" s="203"/>
      <c r="GCN310" s="36"/>
      <c r="GCO310" s="36"/>
      <c r="GCP310" s="203"/>
      <c r="GCQ310" s="33"/>
      <c r="GCR310" s="33"/>
      <c r="GCS310" s="33"/>
      <c r="GCT310" s="33"/>
      <c r="GCU310" s="33"/>
      <c r="GCV310" s="33"/>
      <c r="GCW310" s="37"/>
      <c r="GCX310" s="208"/>
      <c r="GCY310" s="207"/>
      <c r="GCZ310" s="204"/>
      <c r="GDA310" s="35"/>
      <c r="GDB310" s="203"/>
      <c r="GDC310" s="203"/>
      <c r="GDD310" s="36"/>
      <c r="GDE310" s="36"/>
      <c r="GDF310" s="203"/>
      <c r="GDG310" s="33"/>
      <c r="GDH310" s="33"/>
      <c r="GDI310" s="33"/>
      <c r="GDJ310" s="33"/>
      <c r="GDK310" s="33"/>
      <c r="GDL310" s="33"/>
      <c r="GDM310" s="37"/>
      <c r="GDN310" s="208"/>
      <c r="GDO310" s="207"/>
      <c r="GDP310" s="204"/>
      <c r="GDQ310" s="35"/>
      <c r="GDR310" s="203"/>
      <c r="GDS310" s="203"/>
      <c r="GDT310" s="36"/>
      <c r="GDU310" s="36"/>
      <c r="GDV310" s="203"/>
      <c r="GDW310" s="33"/>
      <c r="GDX310" s="33"/>
      <c r="GDY310" s="33"/>
      <c r="GDZ310" s="33"/>
      <c r="GEA310" s="33"/>
      <c r="GEB310" s="33"/>
      <c r="GEC310" s="37"/>
      <c r="GED310" s="208"/>
      <c r="GEE310" s="207"/>
      <c r="GEF310" s="204"/>
      <c r="GEG310" s="35"/>
      <c r="GEH310" s="203"/>
      <c r="GEI310" s="203"/>
      <c r="GEJ310" s="36"/>
      <c r="GEK310" s="36"/>
      <c r="GEL310" s="203"/>
      <c r="GEM310" s="33"/>
      <c r="GEN310" s="33"/>
      <c r="GEO310" s="33"/>
      <c r="GEP310" s="33"/>
      <c r="GEQ310" s="33"/>
      <c r="GER310" s="33"/>
      <c r="GES310" s="37"/>
      <c r="GET310" s="208"/>
      <c r="GEU310" s="207"/>
      <c r="GEV310" s="204"/>
      <c r="GEW310" s="35"/>
      <c r="GEX310" s="203"/>
      <c r="GEY310" s="203"/>
      <c r="GEZ310" s="36"/>
      <c r="GFA310" s="36"/>
      <c r="GFB310" s="203"/>
      <c r="GFC310" s="33"/>
      <c r="GFD310" s="33"/>
      <c r="GFE310" s="33"/>
      <c r="GFF310" s="33"/>
      <c r="GFG310" s="33"/>
      <c r="GFH310" s="33"/>
      <c r="GFI310" s="37"/>
      <c r="GFJ310" s="208"/>
      <c r="GFK310" s="207"/>
      <c r="GFL310" s="204"/>
      <c r="GFM310" s="35"/>
      <c r="GFN310" s="203"/>
      <c r="GFO310" s="203"/>
      <c r="GFP310" s="36"/>
      <c r="GFQ310" s="36"/>
      <c r="GFR310" s="203"/>
      <c r="GFS310" s="33"/>
      <c r="GFT310" s="33"/>
      <c r="GFU310" s="33"/>
      <c r="GFV310" s="33"/>
      <c r="GFW310" s="33"/>
      <c r="GFX310" s="33"/>
      <c r="GFY310" s="37"/>
      <c r="GFZ310" s="208"/>
      <c r="GGA310" s="207"/>
      <c r="GGB310" s="204"/>
      <c r="GGC310" s="35"/>
      <c r="GGD310" s="203"/>
      <c r="GGE310" s="203"/>
      <c r="GGF310" s="36"/>
      <c r="GGG310" s="36"/>
      <c r="GGH310" s="203"/>
      <c r="GGI310" s="33"/>
      <c r="GGJ310" s="33"/>
      <c r="GGK310" s="33"/>
      <c r="GGL310" s="33"/>
      <c r="GGM310" s="33"/>
      <c r="GGN310" s="33"/>
      <c r="GGO310" s="37"/>
      <c r="GGP310" s="208"/>
      <c r="GGQ310" s="207"/>
      <c r="GGR310" s="204"/>
      <c r="GGS310" s="35"/>
      <c r="GGT310" s="203"/>
      <c r="GGU310" s="203"/>
      <c r="GGV310" s="36"/>
      <c r="GGW310" s="36"/>
      <c r="GGX310" s="203"/>
      <c r="GGY310" s="33"/>
      <c r="GGZ310" s="33"/>
      <c r="GHA310" s="33"/>
      <c r="GHB310" s="33"/>
      <c r="GHC310" s="33"/>
      <c r="GHD310" s="33"/>
      <c r="GHE310" s="37"/>
      <c r="GHF310" s="208"/>
      <c r="GHG310" s="207"/>
      <c r="GHH310" s="204"/>
      <c r="GHI310" s="35"/>
      <c r="GHJ310" s="203"/>
      <c r="GHK310" s="203"/>
      <c r="GHL310" s="36"/>
      <c r="GHM310" s="36"/>
      <c r="GHN310" s="203"/>
      <c r="GHO310" s="33"/>
      <c r="GHP310" s="33"/>
      <c r="GHQ310" s="33"/>
      <c r="GHR310" s="33"/>
      <c r="GHS310" s="33"/>
      <c r="GHT310" s="33"/>
      <c r="GHU310" s="37"/>
      <c r="GHV310" s="208"/>
      <c r="GHW310" s="207"/>
      <c r="GHX310" s="204"/>
      <c r="GHY310" s="35"/>
      <c r="GHZ310" s="203"/>
      <c r="GIA310" s="203"/>
      <c r="GIB310" s="36"/>
      <c r="GIC310" s="36"/>
      <c r="GID310" s="203"/>
      <c r="GIE310" s="33"/>
      <c r="GIF310" s="33"/>
      <c r="GIG310" s="33"/>
      <c r="GIH310" s="33"/>
      <c r="GII310" s="33"/>
      <c r="GIJ310" s="33"/>
      <c r="GIK310" s="37"/>
      <c r="GIL310" s="208"/>
      <c r="GIM310" s="207"/>
      <c r="GIN310" s="204"/>
      <c r="GIO310" s="35"/>
      <c r="GIP310" s="203"/>
      <c r="GIQ310" s="203"/>
      <c r="GIR310" s="36"/>
      <c r="GIS310" s="36"/>
      <c r="GIT310" s="203"/>
      <c r="GIU310" s="33"/>
      <c r="GIV310" s="33"/>
      <c r="GIW310" s="33"/>
      <c r="GIX310" s="33"/>
      <c r="GIY310" s="33"/>
      <c r="GIZ310" s="33"/>
      <c r="GJA310" s="37"/>
      <c r="GJB310" s="208"/>
      <c r="GJC310" s="207"/>
      <c r="GJD310" s="204"/>
      <c r="GJE310" s="35"/>
      <c r="GJF310" s="203"/>
      <c r="GJG310" s="203"/>
      <c r="GJH310" s="36"/>
      <c r="GJI310" s="36"/>
      <c r="GJJ310" s="203"/>
      <c r="GJK310" s="33"/>
      <c r="GJL310" s="33"/>
      <c r="GJM310" s="33"/>
      <c r="GJN310" s="33"/>
      <c r="GJO310" s="33"/>
      <c r="GJP310" s="33"/>
      <c r="GJQ310" s="37"/>
      <c r="GJR310" s="208"/>
      <c r="GJS310" s="207"/>
      <c r="GJT310" s="204"/>
      <c r="GJU310" s="35"/>
      <c r="GJV310" s="203"/>
      <c r="GJW310" s="203"/>
      <c r="GJX310" s="36"/>
      <c r="GJY310" s="36"/>
      <c r="GJZ310" s="203"/>
      <c r="GKA310" s="33"/>
      <c r="GKB310" s="33"/>
      <c r="GKC310" s="33"/>
      <c r="GKD310" s="33"/>
      <c r="GKE310" s="33"/>
      <c r="GKF310" s="33"/>
      <c r="GKG310" s="37"/>
      <c r="GKH310" s="208"/>
      <c r="GKI310" s="207"/>
      <c r="GKJ310" s="204"/>
      <c r="GKK310" s="35"/>
      <c r="GKL310" s="203"/>
      <c r="GKM310" s="203"/>
      <c r="GKN310" s="36"/>
      <c r="GKO310" s="36"/>
      <c r="GKP310" s="203"/>
      <c r="GKQ310" s="33"/>
      <c r="GKR310" s="33"/>
      <c r="GKS310" s="33"/>
      <c r="GKT310" s="33"/>
      <c r="GKU310" s="33"/>
      <c r="GKV310" s="33"/>
      <c r="GKW310" s="37"/>
      <c r="GKX310" s="208"/>
      <c r="GKY310" s="207"/>
      <c r="GKZ310" s="204"/>
      <c r="GLA310" s="35"/>
      <c r="GLB310" s="203"/>
      <c r="GLC310" s="203"/>
      <c r="GLD310" s="36"/>
      <c r="GLE310" s="36"/>
      <c r="GLF310" s="203"/>
      <c r="GLG310" s="33"/>
      <c r="GLH310" s="33"/>
      <c r="GLI310" s="33"/>
      <c r="GLJ310" s="33"/>
      <c r="GLK310" s="33"/>
      <c r="GLL310" s="33"/>
      <c r="GLM310" s="37"/>
      <c r="GLN310" s="208"/>
      <c r="GLO310" s="207"/>
      <c r="GLP310" s="204"/>
      <c r="GLQ310" s="35"/>
      <c r="GLR310" s="203"/>
      <c r="GLS310" s="203"/>
      <c r="GLT310" s="36"/>
      <c r="GLU310" s="36"/>
      <c r="GLV310" s="203"/>
      <c r="GLW310" s="33"/>
      <c r="GLX310" s="33"/>
      <c r="GLY310" s="33"/>
      <c r="GLZ310" s="33"/>
      <c r="GMA310" s="33"/>
      <c r="GMB310" s="33"/>
      <c r="GMC310" s="37"/>
      <c r="GMD310" s="208"/>
      <c r="GME310" s="207"/>
      <c r="GMF310" s="204"/>
      <c r="GMG310" s="35"/>
      <c r="GMH310" s="203"/>
      <c r="GMI310" s="203"/>
      <c r="GMJ310" s="36"/>
      <c r="GMK310" s="36"/>
      <c r="GML310" s="203"/>
      <c r="GMM310" s="33"/>
      <c r="GMN310" s="33"/>
      <c r="GMO310" s="33"/>
      <c r="GMP310" s="33"/>
      <c r="GMQ310" s="33"/>
      <c r="GMR310" s="33"/>
      <c r="GMS310" s="37"/>
      <c r="GMT310" s="208"/>
      <c r="GMU310" s="207"/>
      <c r="GMV310" s="204"/>
      <c r="GMW310" s="35"/>
      <c r="GMX310" s="203"/>
      <c r="GMY310" s="203"/>
      <c r="GMZ310" s="36"/>
      <c r="GNA310" s="36"/>
      <c r="GNB310" s="203"/>
      <c r="GNC310" s="33"/>
      <c r="GND310" s="33"/>
      <c r="GNE310" s="33"/>
      <c r="GNF310" s="33"/>
      <c r="GNG310" s="33"/>
      <c r="GNH310" s="33"/>
      <c r="GNI310" s="37"/>
      <c r="GNJ310" s="208"/>
      <c r="GNK310" s="207"/>
      <c r="GNL310" s="204"/>
      <c r="GNM310" s="35"/>
      <c r="GNN310" s="203"/>
      <c r="GNO310" s="203"/>
      <c r="GNP310" s="36"/>
      <c r="GNQ310" s="36"/>
      <c r="GNR310" s="203"/>
      <c r="GNS310" s="33"/>
      <c r="GNT310" s="33"/>
      <c r="GNU310" s="33"/>
      <c r="GNV310" s="33"/>
      <c r="GNW310" s="33"/>
      <c r="GNX310" s="33"/>
      <c r="GNY310" s="37"/>
      <c r="GNZ310" s="208"/>
      <c r="GOA310" s="207"/>
      <c r="GOB310" s="204"/>
      <c r="GOC310" s="35"/>
      <c r="GOD310" s="203"/>
      <c r="GOE310" s="203"/>
      <c r="GOF310" s="36"/>
      <c r="GOG310" s="36"/>
      <c r="GOH310" s="203"/>
      <c r="GOI310" s="33"/>
      <c r="GOJ310" s="33"/>
      <c r="GOK310" s="33"/>
      <c r="GOL310" s="33"/>
      <c r="GOM310" s="33"/>
      <c r="GON310" s="33"/>
      <c r="GOO310" s="37"/>
      <c r="GOP310" s="208"/>
      <c r="GOQ310" s="207"/>
      <c r="GOR310" s="204"/>
      <c r="GOS310" s="35"/>
      <c r="GOT310" s="203"/>
      <c r="GOU310" s="203"/>
      <c r="GOV310" s="36"/>
      <c r="GOW310" s="36"/>
      <c r="GOX310" s="203"/>
      <c r="GOY310" s="33"/>
      <c r="GOZ310" s="33"/>
      <c r="GPA310" s="33"/>
      <c r="GPB310" s="33"/>
      <c r="GPC310" s="33"/>
      <c r="GPD310" s="33"/>
      <c r="GPE310" s="37"/>
      <c r="GPF310" s="208"/>
      <c r="GPG310" s="207"/>
      <c r="GPH310" s="204"/>
      <c r="GPI310" s="35"/>
      <c r="GPJ310" s="203"/>
      <c r="GPK310" s="203"/>
      <c r="GPL310" s="36"/>
      <c r="GPM310" s="36"/>
      <c r="GPN310" s="203"/>
      <c r="GPO310" s="33"/>
      <c r="GPP310" s="33"/>
      <c r="GPQ310" s="33"/>
      <c r="GPR310" s="33"/>
      <c r="GPS310" s="33"/>
      <c r="GPT310" s="33"/>
      <c r="GPU310" s="37"/>
      <c r="GPV310" s="208"/>
      <c r="GPW310" s="207"/>
      <c r="GPX310" s="204"/>
      <c r="GPY310" s="35"/>
      <c r="GPZ310" s="203"/>
      <c r="GQA310" s="203"/>
      <c r="GQB310" s="36"/>
      <c r="GQC310" s="36"/>
      <c r="GQD310" s="203"/>
      <c r="GQE310" s="33"/>
      <c r="GQF310" s="33"/>
      <c r="GQG310" s="33"/>
      <c r="GQH310" s="33"/>
      <c r="GQI310" s="33"/>
      <c r="GQJ310" s="33"/>
      <c r="GQK310" s="37"/>
      <c r="GQL310" s="208"/>
      <c r="GQM310" s="207"/>
      <c r="GQN310" s="204"/>
      <c r="GQO310" s="35"/>
      <c r="GQP310" s="203"/>
      <c r="GQQ310" s="203"/>
      <c r="GQR310" s="36"/>
      <c r="GQS310" s="36"/>
      <c r="GQT310" s="203"/>
      <c r="GQU310" s="33"/>
      <c r="GQV310" s="33"/>
      <c r="GQW310" s="33"/>
      <c r="GQX310" s="33"/>
      <c r="GQY310" s="33"/>
      <c r="GQZ310" s="33"/>
      <c r="GRA310" s="37"/>
      <c r="GRB310" s="208"/>
      <c r="GRC310" s="207"/>
      <c r="GRD310" s="204"/>
      <c r="GRE310" s="35"/>
      <c r="GRF310" s="203"/>
      <c r="GRG310" s="203"/>
      <c r="GRH310" s="36"/>
      <c r="GRI310" s="36"/>
      <c r="GRJ310" s="203"/>
      <c r="GRK310" s="33"/>
      <c r="GRL310" s="33"/>
      <c r="GRM310" s="33"/>
      <c r="GRN310" s="33"/>
      <c r="GRO310" s="33"/>
      <c r="GRP310" s="33"/>
      <c r="GRQ310" s="37"/>
      <c r="GRR310" s="208"/>
      <c r="GRS310" s="207"/>
      <c r="GRT310" s="204"/>
      <c r="GRU310" s="35"/>
      <c r="GRV310" s="203"/>
      <c r="GRW310" s="203"/>
      <c r="GRX310" s="36"/>
      <c r="GRY310" s="36"/>
      <c r="GRZ310" s="203"/>
      <c r="GSA310" s="33"/>
      <c r="GSB310" s="33"/>
      <c r="GSC310" s="33"/>
      <c r="GSD310" s="33"/>
      <c r="GSE310" s="33"/>
      <c r="GSF310" s="33"/>
      <c r="GSG310" s="37"/>
      <c r="GSH310" s="208"/>
      <c r="GSI310" s="207"/>
      <c r="GSJ310" s="204"/>
      <c r="GSK310" s="35"/>
      <c r="GSL310" s="203"/>
      <c r="GSM310" s="203"/>
      <c r="GSN310" s="36"/>
      <c r="GSO310" s="36"/>
      <c r="GSP310" s="203"/>
      <c r="GSQ310" s="33"/>
      <c r="GSR310" s="33"/>
      <c r="GSS310" s="33"/>
      <c r="GST310" s="33"/>
      <c r="GSU310" s="33"/>
      <c r="GSV310" s="33"/>
      <c r="GSW310" s="37"/>
      <c r="GSX310" s="208"/>
      <c r="GSY310" s="207"/>
      <c r="GSZ310" s="204"/>
      <c r="GTA310" s="35"/>
      <c r="GTB310" s="203"/>
      <c r="GTC310" s="203"/>
      <c r="GTD310" s="36"/>
      <c r="GTE310" s="36"/>
      <c r="GTF310" s="203"/>
      <c r="GTG310" s="33"/>
      <c r="GTH310" s="33"/>
      <c r="GTI310" s="33"/>
      <c r="GTJ310" s="33"/>
      <c r="GTK310" s="33"/>
      <c r="GTL310" s="33"/>
      <c r="GTM310" s="37"/>
      <c r="GTN310" s="208"/>
      <c r="GTO310" s="207"/>
      <c r="GTP310" s="204"/>
      <c r="GTQ310" s="35"/>
      <c r="GTR310" s="203"/>
      <c r="GTS310" s="203"/>
      <c r="GTT310" s="36"/>
      <c r="GTU310" s="36"/>
      <c r="GTV310" s="203"/>
      <c r="GTW310" s="33"/>
      <c r="GTX310" s="33"/>
      <c r="GTY310" s="33"/>
      <c r="GTZ310" s="33"/>
      <c r="GUA310" s="33"/>
      <c r="GUB310" s="33"/>
      <c r="GUC310" s="37"/>
      <c r="GUD310" s="208"/>
      <c r="GUE310" s="207"/>
      <c r="GUF310" s="204"/>
      <c r="GUG310" s="35"/>
      <c r="GUH310" s="203"/>
      <c r="GUI310" s="203"/>
      <c r="GUJ310" s="36"/>
      <c r="GUK310" s="36"/>
      <c r="GUL310" s="203"/>
      <c r="GUM310" s="33"/>
      <c r="GUN310" s="33"/>
      <c r="GUO310" s="33"/>
      <c r="GUP310" s="33"/>
      <c r="GUQ310" s="33"/>
      <c r="GUR310" s="33"/>
      <c r="GUS310" s="37"/>
      <c r="GUT310" s="208"/>
      <c r="GUU310" s="207"/>
      <c r="GUV310" s="204"/>
      <c r="GUW310" s="35"/>
      <c r="GUX310" s="203"/>
      <c r="GUY310" s="203"/>
      <c r="GUZ310" s="36"/>
      <c r="GVA310" s="36"/>
      <c r="GVB310" s="203"/>
      <c r="GVC310" s="33"/>
      <c r="GVD310" s="33"/>
      <c r="GVE310" s="33"/>
      <c r="GVF310" s="33"/>
      <c r="GVG310" s="33"/>
      <c r="GVH310" s="33"/>
      <c r="GVI310" s="37"/>
      <c r="GVJ310" s="208"/>
      <c r="GVK310" s="207"/>
      <c r="GVL310" s="204"/>
      <c r="GVM310" s="35"/>
      <c r="GVN310" s="203"/>
      <c r="GVO310" s="203"/>
      <c r="GVP310" s="36"/>
      <c r="GVQ310" s="36"/>
      <c r="GVR310" s="203"/>
      <c r="GVS310" s="33"/>
      <c r="GVT310" s="33"/>
      <c r="GVU310" s="33"/>
      <c r="GVV310" s="33"/>
      <c r="GVW310" s="33"/>
      <c r="GVX310" s="33"/>
      <c r="GVY310" s="37"/>
      <c r="GVZ310" s="208"/>
      <c r="GWA310" s="207"/>
      <c r="GWB310" s="204"/>
      <c r="GWC310" s="35"/>
      <c r="GWD310" s="203"/>
      <c r="GWE310" s="203"/>
      <c r="GWF310" s="36"/>
      <c r="GWG310" s="36"/>
      <c r="GWH310" s="203"/>
      <c r="GWI310" s="33"/>
      <c r="GWJ310" s="33"/>
      <c r="GWK310" s="33"/>
      <c r="GWL310" s="33"/>
      <c r="GWM310" s="33"/>
      <c r="GWN310" s="33"/>
      <c r="GWO310" s="37"/>
      <c r="GWP310" s="208"/>
      <c r="GWQ310" s="207"/>
      <c r="GWR310" s="204"/>
      <c r="GWS310" s="35"/>
      <c r="GWT310" s="203"/>
      <c r="GWU310" s="203"/>
      <c r="GWV310" s="36"/>
      <c r="GWW310" s="36"/>
      <c r="GWX310" s="203"/>
      <c r="GWY310" s="33"/>
      <c r="GWZ310" s="33"/>
      <c r="GXA310" s="33"/>
      <c r="GXB310" s="33"/>
      <c r="GXC310" s="33"/>
      <c r="GXD310" s="33"/>
      <c r="GXE310" s="37"/>
      <c r="GXF310" s="208"/>
      <c r="GXG310" s="207"/>
      <c r="GXH310" s="204"/>
      <c r="GXI310" s="35"/>
      <c r="GXJ310" s="203"/>
      <c r="GXK310" s="203"/>
      <c r="GXL310" s="36"/>
      <c r="GXM310" s="36"/>
      <c r="GXN310" s="203"/>
      <c r="GXO310" s="33"/>
      <c r="GXP310" s="33"/>
      <c r="GXQ310" s="33"/>
      <c r="GXR310" s="33"/>
      <c r="GXS310" s="33"/>
      <c r="GXT310" s="33"/>
      <c r="GXU310" s="37"/>
      <c r="GXV310" s="208"/>
      <c r="GXW310" s="207"/>
      <c r="GXX310" s="204"/>
      <c r="GXY310" s="35"/>
      <c r="GXZ310" s="203"/>
      <c r="GYA310" s="203"/>
      <c r="GYB310" s="36"/>
      <c r="GYC310" s="36"/>
      <c r="GYD310" s="203"/>
      <c r="GYE310" s="33"/>
      <c r="GYF310" s="33"/>
      <c r="GYG310" s="33"/>
      <c r="GYH310" s="33"/>
      <c r="GYI310" s="33"/>
      <c r="GYJ310" s="33"/>
      <c r="GYK310" s="37"/>
      <c r="GYL310" s="208"/>
      <c r="GYM310" s="207"/>
      <c r="GYN310" s="204"/>
      <c r="GYO310" s="35"/>
      <c r="GYP310" s="203"/>
      <c r="GYQ310" s="203"/>
      <c r="GYR310" s="36"/>
      <c r="GYS310" s="36"/>
      <c r="GYT310" s="203"/>
      <c r="GYU310" s="33"/>
      <c r="GYV310" s="33"/>
      <c r="GYW310" s="33"/>
      <c r="GYX310" s="33"/>
      <c r="GYY310" s="33"/>
      <c r="GYZ310" s="33"/>
      <c r="GZA310" s="37"/>
      <c r="GZB310" s="208"/>
      <c r="GZC310" s="207"/>
      <c r="GZD310" s="204"/>
      <c r="GZE310" s="35"/>
      <c r="GZF310" s="203"/>
      <c r="GZG310" s="203"/>
      <c r="GZH310" s="36"/>
      <c r="GZI310" s="36"/>
      <c r="GZJ310" s="203"/>
      <c r="GZK310" s="33"/>
      <c r="GZL310" s="33"/>
      <c r="GZM310" s="33"/>
      <c r="GZN310" s="33"/>
      <c r="GZO310" s="33"/>
      <c r="GZP310" s="33"/>
      <c r="GZQ310" s="37"/>
      <c r="GZR310" s="208"/>
      <c r="GZS310" s="207"/>
      <c r="GZT310" s="204"/>
      <c r="GZU310" s="35"/>
      <c r="GZV310" s="203"/>
      <c r="GZW310" s="203"/>
      <c r="GZX310" s="36"/>
      <c r="GZY310" s="36"/>
      <c r="GZZ310" s="203"/>
      <c r="HAA310" s="33"/>
      <c r="HAB310" s="33"/>
      <c r="HAC310" s="33"/>
      <c r="HAD310" s="33"/>
      <c r="HAE310" s="33"/>
      <c r="HAF310" s="33"/>
      <c r="HAG310" s="37"/>
      <c r="HAH310" s="208"/>
      <c r="HAI310" s="207"/>
      <c r="HAJ310" s="204"/>
      <c r="HAK310" s="35"/>
      <c r="HAL310" s="203"/>
      <c r="HAM310" s="203"/>
      <c r="HAN310" s="36"/>
      <c r="HAO310" s="36"/>
      <c r="HAP310" s="203"/>
      <c r="HAQ310" s="33"/>
      <c r="HAR310" s="33"/>
      <c r="HAS310" s="33"/>
      <c r="HAT310" s="33"/>
      <c r="HAU310" s="33"/>
      <c r="HAV310" s="33"/>
      <c r="HAW310" s="37"/>
      <c r="HAX310" s="208"/>
      <c r="HAY310" s="207"/>
      <c r="HAZ310" s="204"/>
      <c r="HBA310" s="35"/>
      <c r="HBB310" s="203"/>
      <c r="HBC310" s="203"/>
      <c r="HBD310" s="36"/>
      <c r="HBE310" s="36"/>
      <c r="HBF310" s="203"/>
      <c r="HBG310" s="33"/>
      <c r="HBH310" s="33"/>
      <c r="HBI310" s="33"/>
      <c r="HBJ310" s="33"/>
      <c r="HBK310" s="33"/>
      <c r="HBL310" s="33"/>
      <c r="HBM310" s="37"/>
      <c r="HBN310" s="208"/>
      <c r="HBO310" s="207"/>
      <c r="HBP310" s="204"/>
      <c r="HBQ310" s="35"/>
      <c r="HBR310" s="203"/>
      <c r="HBS310" s="203"/>
      <c r="HBT310" s="36"/>
      <c r="HBU310" s="36"/>
      <c r="HBV310" s="203"/>
      <c r="HBW310" s="33"/>
      <c r="HBX310" s="33"/>
      <c r="HBY310" s="33"/>
      <c r="HBZ310" s="33"/>
      <c r="HCA310" s="33"/>
      <c r="HCB310" s="33"/>
      <c r="HCC310" s="37"/>
      <c r="HCD310" s="208"/>
      <c r="HCE310" s="207"/>
      <c r="HCF310" s="204"/>
      <c r="HCG310" s="35"/>
      <c r="HCH310" s="203"/>
      <c r="HCI310" s="203"/>
      <c r="HCJ310" s="36"/>
      <c r="HCK310" s="36"/>
      <c r="HCL310" s="203"/>
      <c r="HCM310" s="33"/>
      <c r="HCN310" s="33"/>
      <c r="HCO310" s="33"/>
      <c r="HCP310" s="33"/>
      <c r="HCQ310" s="33"/>
      <c r="HCR310" s="33"/>
      <c r="HCS310" s="37"/>
      <c r="HCT310" s="208"/>
      <c r="HCU310" s="207"/>
      <c r="HCV310" s="204"/>
      <c r="HCW310" s="35"/>
      <c r="HCX310" s="203"/>
      <c r="HCY310" s="203"/>
      <c r="HCZ310" s="36"/>
      <c r="HDA310" s="36"/>
      <c r="HDB310" s="203"/>
      <c r="HDC310" s="33"/>
      <c r="HDD310" s="33"/>
      <c r="HDE310" s="33"/>
      <c r="HDF310" s="33"/>
      <c r="HDG310" s="33"/>
      <c r="HDH310" s="33"/>
      <c r="HDI310" s="37"/>
      <c r="HDJ310" s="208"/>
      <c r="HDK310" s="207"/>
      <c r="HDL310" s="204"/>
      <c r="HDM310" s="35"/>
      <c r="HDN310" s="203"/>
      <c r="HDO310" s="203"/>
      <c r="HDP310" s="36"/>
      <c r="HDQ310" s="36"/>
      <c r="HDR310" s="203"/>
      <c r="HDS310" s="33"/>
      <c r="HDT310" s="33"/>
      <c r="HDU310" s="33"/>
      <c r="HDV310" s="33"/>
      <c r="HDW310" s="33"/>
      <c r="HDX310" s="33"/>
      <c r="HDY310" s="37"/>
      <c r="HDZ310" s="208"/>
      <c r="HEA310" s="207"/>
      <c r="HEB310" s="204"/>
      <c r="HEC310" s="35"/>
      <c r="HED310" s="203"/>
      <c r="HEE310" s="203"/>
      <c r="HEF310" s="36"/>
      <c r="HEG310" s="36"/>
      <c r="HEH310" s="203"/>
      <c r="HEI310" s="33"/>
      <c r="HEJ310" s="33"/>
      <c r="HEK310" s="33"/>
      <c r="HEL310" s="33"/>
      <c r="HEM310" s="33"/>
      <c r="HEN310" s="33"/>
      <c r="HEO310" s="37"/>
      <c r="HEP310" s="208"/>
      <c r="HEQ310" s="207"/>
      <c r="HER310" s="204"/>
      <c r="HES310" s="35"/>
      <c r="HET310" s="203"/>
      <c r="HEU310" s="203"/>
      <c r="HEV310" s="36"/>
      <c r="HEW310" s="36"/>
      <c r="HEX310" s="203"/>
      <c r="HEY310" s="33"/>
      <c r="HEZ310" s="33"/>
      <c r="HFA310" s="33"/>
      <c r="HFB310" s="33"/>
      <c r="HFC310" s="33"/>
      <c r="HFD310" s="33"/>
      <c r="HFE310" s="37"/>
      <c r="HFF310" s="208"/>
      <c r="HFG310" s="207"/>
      <c r="HFH310" s="204"/>
      <c r="HFI310" s="35"/>
      <c r="HFJ310" s="203"/>
      <c r="HFK310" s="203"/>
      <c r="HFL310" s="36"/>
      <c r="HFM310" s="36"/>
      <c r="HFN310" s="203"/>
      <c r="HFO310" s="33"/>
      <c r="HFP310" s="33"/>
      <c r="HFQ310" s="33"/>
      <c r="HFR310" s="33"/>
      <c r="HFS310" s="33"/>
      <c r="HFT310" s="33"/>
      <c r="HFU310" s="37"/>
      <c r="HFV310" s="208"/>
      <c r="HFW310" s="207"/>
      <c r="HFX310" s="204"/>
      <c r="HFY310" s="35"/>
      <c r="HFZ310" s="203"/>
      <c r="HGA310" s="203"/>
      <c r="HGB310" s="36"/>
      <c r="HGC310" s="36"/>
      <c r="HGD310" s="203"/>
      <c r="HGE310" s="33"/>
      <c r="HGF310" s="33"/>
      <c r="HGG310" s="33"/>
      <c r="HGH310" s="33"/>
      <c r="HGI310" s="33"/>
      <c r="HGJ310" s="33"/>
      <c r="HGK310" s="37"/>
      <c r="HGL310" s="208"/>
      <c r="HGM310" s="207"/>
      <c r="HGN310" s="204"/>
      <c r="HGO310" s="35"/>
      <c r="HGP310" s="203"/>
      <c r="HGQ310" s="203"/>
      <c r="HGR310" s="36"/>
      <c r="HGS310" s="36"/>
      <c r="HGT310" s="203"/>
      <c r="HGU310" s="33"/>
      <c r="HGV310" s="33"/>
      <c r="HGW310" s="33"/>
      <c r="HGX310" s="33"/>
      <c r="HGY310" s="33"/>
      <c r="HGZ310" s="33"/>
      <c r="HHA310" s="37"/>
      <c r="HHB310" s="208"/>
      <c r="HHC310" s="207"/>
      <c r="HHD310" s="204"/>
      <c r="HHE310" s="35"/>
      <c r="HHF310" s="203"/>
      <c r="HHG310" s="203"/>
      <c r="HHH310" s="36"/>
      <c r="HHI310" s="36"/>
      <c r="HHJ310" s="203"/>
      <c r="HHK310" s="33"/>
      <c r="HHL310" s="33"/>
      <c r="HHM310" s="33"/>
      <c r="HHN310" s="33"/>
      <c r="HHO310" s="33"/>
      <c r="HHP310" s="33"/>
      <c r="HHQ310" s="37"/>
      <c r="HHR310" s="208"/>
      <c r="HHS310" s="207"/>
      <c r="HHT310" s="204"/>
      <c r="HHU310" s="35"/>
      <c r="HHV310" s="203"/>
      <c r="HHW310" s="203"/>
      <c r="HHX310" s="36"/>
      <c r="HHY310" s="36"/>
      <c r="HHZ310" s="203"/>
      <c r="HIA310" s="33"/>
      <c r="HIB310" s="33"/>
      <c r="HIC310" s="33"/>
      <c r="HID310" s="33"/>
      <c r="HIE310" s="33"/>
      <c r="HIF310" s="33"/>
      <c r="HIG310" s="37"/>
      <c r="HIH310" s="208"/>
      <c r="HII310" s="207"/>
      <c r="HIJ310" s="204"/>
      <c r="HIK310" s="35"/>
      <c r="HIL310" s="203"/>
      <c r="HIM310" s="203"/>
      <c r="HIN310" s="36"/>
      <c r="HIO310" s="36"/>
      <c r="HIP310" s="203"/>
      <c r="HIQ310" s="33"/>
      <c r="HIR310" s="33"/>
      <c r="HIS310" s="33"/>
      <c r="HIT310" s="33"/>
      <c r="HIU310" s="33"/>
      <c r="HIV310" s="33"/>
      <c r="HIW310" s="37"/>
      <c r="HIX310" s="208"/>
      <c r="HIY310" s="207"/>
      <c r="HIZ310" s="204"/>
      <c r="HJA310" s="35"/>
      <c r="HJB310" s="203"/>
      <c r="HJC310" s="203"/>
      <c r="HJD310" s="36"/>
      <c r="HJE310" s="36"/>
      <c r="HJF310" s="203"/>
      <c r="HJG310" s="33"/>
      <c r="HJH310" s="33"/>
      <c r="HJI310" s="33"/>
      <c r="HJJ310" s="33"/>
      <c r="HJK310" s="33"/>
      <c r="HJL310" s="33"/>
      <c r="HJM310" s="37"/>
      <c r="HJN310" s="208"/>
      <c r="HJO310" s="207"/>
      <c r="HJP310" s="204"/>
      <c r="HJQ310" s="35"/>
      <c r="HJR310" s="203"/>
      <c r="HJS310" s="203"/>
      <c r="HJT310" s="36"/>
      <c r="HJU310" s="36"/>
      <c r="HJV310" s="203"/>
      <c r="HJW310" s="33"/>
      <c r="HJX310" s="33"/>
      <c r="HJY310" s="33"/>
      <c r="HJZ310" s="33"/>
      <c r="HKA310" s="33"/>
      <c r="HKB310" s="33"/>
      <c r="HKC310" s="37"/>
      <c r="HKD310" s="208"/>
      <c r="HKE310" s="207"/>
      <c r="HKF310" s="204"/>
      <c r="HKG310" s="35"/>
      <c r="HKH310" s="203"/>
      <c r="HKI310" s="203"/>
      <c r="HKJ310" s="36"/>
      <c r="HKK310" s="36"/>
      <c r="HKL310" s="203"/>
      <c r="HKM310" s="33"/>
      <c r="HKN310" s="33"/>
      <c r="HKO310" s="33"/>
      <c r="HKP310" s="33"/>
      <c r="HKQ310" s="33"/>
      <c r="HKR310" s="33"/>
      <c r="HKS310" s="37"/>
      <c r="HKT310" s="208"/>
      <c r="HKU310" s="207"/>
      <c r="HKV310" s="204"/>
      <c r="HKW310" s="35"/>
      <c r="HKX310" s="203"/>
      <c r="HKY310" s="203"/>
      <c r="HKZ310" s="36"/>
      <c r="HLA310" s="36"/>
      <c r="HLB310" s="203"/>
      <c r="HLC310" s="33"/>
      <c r="HLD310" s="33"/>
      <c r="HLE310" s="33"/>
      <c r="HLF310" s="33"/>
      <c r="HLG310" s="33"/>
      <c r="HLH310" s="33"/>
      <c r="HLI310" s="37"/>
      <c r="HLJ310" s="208"/>
      <c r="HLK310" s="207"/>
      <c r="HLL310" s="204"/>
      <c r="HLM310" s="35"/>
      <c r="HLN310" s="203"/>
      <c r="HLO310" s="203"/>
      <c r="HLP310" s="36"/>
      <c r="HLQ310" s="36"/>
      <c r="HLR310" s="203"/>
      <c r="HLS310" s="33"/>
      <c r="HLT310" s="33"/>
      <c r="HLU310" s="33"/>
      <c r="HLV310" s="33"/>
      <c r="HLW310" s="33"/>
      <c r="HLX310" s="33"/>
      <c r="HLY310" s="37"/>
      <c r="HLZ310" s="208"/>
      <c r="HMA310" s="207"/>
      <c r="HMB310" s="204"/>
      <c r="HMC310" s="35"/>
      <c r="HMD310" s="203"/>
      <c r="HME310" s="203"/>
      <c r="HMF310" s="36"/>
      <c r="HMG310" s="36"/>
      <c r="HMH310" s="203"/>
      <c r="HMI310" s="33"/>
      <c r="HMJ310" s="33"/>
      <c r="HMK310" s="33"/>
      <c r="HML310" s="33"/>
      <c r="HMM310" s="33"/>
      <c r="HMN310" s="33"/>
      <c r="HMO310" s="37"/>
      <c r="HMP310" s="208"/>
      <c r="HMQ310" s="207"/>
      <c r="HMR310" s="204"/>
      <c r="HMS310" s="35"/>
      <c r="HMT310" s="203"/>
      <c r="HMU310" s="203"/>
      <c r="HMV310" s="36"/>
      <c r="HMW310" s="36"/>
      <c r="HMX310" s="203"/>
      <c r="HMY310" s="33"/>
      <c r="HMZ310" s="33"/>
      <c r="HNA310" s="33"/>
      <c r="HNB310" s="33"/>
      <c r="HNC310" s="33"/>
      <c r="HND310" s="33"/>
      <c r="HNE310" s="37"/>
      <c r="HNF310" s="208"/>
      <c r="HNG310" s="207"/>
      <c r="HNH310" s="204"/>
      <c r="HNI310" s="35"/>
      <c r="HNJ310" s="203"/>
      <c r="HNK310" s="203"/>
      <c r="HNL310" s="36"/>
      <c r="HNM310" s="36"/>
      <c r="HNN310" s="203"/>
      <c r="HNO310" s="33"/>
      <c r="HNP310" s="33"/>
      <c r="HNQ310" s="33"/>
      <c r="HNR310" s="33"/>
      <c r="HNS310" s="33"/>
      <c r="HNT310" s="33"/>
      <c r="HNU310" s="37"/>
      <c r="HNV310" s="208"/>
      <c r="HNW310" s="207"/>
      <c r="HNX310" s="204"/>
      <c r="HNY310" s="35"/>
      <c r="HNZ310" s="203"/>
      <c r="HOA310" s="203"/>
      <c r="HOB310" s="36"/>
      <c r="HOC310" s="36"/>
      <c r="HOD310" s="203"/>
      <c r="HOE310" s="33"/>
      <c r="HOF310" s="33"/>
      <c r="HOG310" s="33"/>
      <c r="HOH310" s="33"/>
      <c r="HOI310" s="33"/>
      <c r="HOJ310" s="33"/>
      <c r="HOK310" s="37"/>
      <c r="HOL310" s="208"/>
      <c r="HOM310" s="207"/>
      <c r="HON310" s="204"/>
      <c r="HOO310" s="35"/>
      <c r="HOP310" s="203"/>
      <c r="HOQ310" s="203"/>
      <c r="HOR310" s="36"/>
      <c r="HOS310" s="36"/>
      <c r="HOT310" s="203"/>
      <c r="HOU310" s="33"/>
      <c r="HOV310" s="33"/>
      <c r="HOW310" s="33"/>
      <c r="HOX310" s="33"/>
      <c r="HOY310" s="33"/>
      <c r="HOZ310" s="33"/>
      <c r="HPA310" s="37"/>
      <c r="HPB310" s="208"/>
      <c r="HPC310" s="207"/>
      <c r="HPD310" s="204"/>
      <c r="HPE310" s="35"/>
      <c r="HPF310" s="203"/>
      <c r="HPG310" s="203"/>
      <c r="HPH310" s="36"/>
      <c r="HPI310" s="36"/>
      <c r="HPJ310" s="203"/>
      <c r="HPK310" s="33"/>
      <c r="HPL310" s="33"/>
      <c r="HPM310" s="33"/>
      <c r="HPN310" s="33"/>
      <c r="HPO310" s="33"/>
      <c r="HPP310" s="33"/>
      <c r="HPQ310" s="37"/>
      <c r="HPR310" s="208"/>
      <c r="HPS310" s="207"/>
      <c r="HPT310" s="204"/>
      <c r="HPU310" s="35"/>
      <c r="HPV310" s="203"/>
      <c r="HPW310" s="203"/>
      <c r="HPX310" s="36"/>
      <c r="HPY310" s="36"/>
      <c r="HPZ310" s="203"/>
      <c r="HQA310" s="33"/>
      <c r="HQB310" s="33"/>
      <c r="HQC310" s="33"/>
      <c r="HQD310" s="33"/>
      <c r="HQE310" s="33"/>
      <c r="HQF310" s="33"/>
      <c r="HQG310" s="37"/>
      <c r="HQH310" s="208"/>
      <c r="HQI310" s="207"/>
      <c r="HQJ310" s="204"/>
      <c r="HQK310" s="35"/>
      <c r="HQL310" s="203"/>
      <c r="HQM310" s="203"/>
      <c r="HQN310" s="36"/>
      <c r="HQO310" s="36"/>
      <c r="HQP310" s="203"/>
      <c r="HQQ310" s="33"/>
      <c r="HQR310" s="33"/>
      <c r="HQS310" s="33"/>
      <c r="HQT310" s="33"/>
      <c r="HQU310" s="33"/>
      <c r="HQV310" s="33"/>
      <c r="HQW310" s="37"/>
      <c r="HQX310" s="208"/>
      <c r="HQY310" s="207"/>
      <c r="HQZ310" s="204"/>
      <c r="HRA310" s="35"/>
      <c r="HRB310" s="203"/>
      <c r="HRC310" s="203"/>
      <c r="HRD310" s="36"/>
      <c r="HRE310" s="36"/>
      <c r="HRF310" s="203"/>
      <c r="HRG310" s="33"/>
      <c r="HRH310" s="33"/>
      <c r="HRI310" s="33"/>
      <c r="HRJ310" s="33"/>
      <c r="HRK310" s="33"/>
      <c r="HRL310" s="33"/>
      <c r="HRM310" s="37"/>
      <c r="HRN310" s="208"/>
      <c r="HRO310" s="207"/>
      <c r="HRP310" s="204"/>
      <c r="HRQ310" s="35"/>
      <c r="HRR310" s="203"/>
      <c r="HRS310" s="203"/>
      <c r="HRT310" s="36"/>
      <c r="HRU310" s="36"/>
      <c r="HRV310" s="203"/>
      <c r="HRW310" s="33"/>
      <c r="HRX310" s="33"/>
      <c r="HRY310" s="33"/>
      <c r="HRZ310" s="33"/>
      <c r="HSA310" s="33"/>
      <c r="HSB310" s="33"/>
      <c r="HSC310" s="37"/>
      <c r="HSD310" s="208"/>
      <c r="HSE310" s="207"/>
      <c r="HSF310" s="204"/>
      <c r="HSG310" s="35"/>
      <c r="HSH310" s="203"/>
      <c r="HSI310" s="203"/>
      <c r="HSJ310" s="36"/>
      <c r="HSK310" s="36"/>
      <c r="HSL310" s="203"/>
      <c r="HSM310" s="33"/>
      <c r="HSN310" s="33"/>
      <c r="HSO310" s="33"/>
      <c r="HSP310" s="33"/>
      <c r="HSQ310" s="33"/>
      <c r="HSR310" s="33"/>
      <c r="HSS310" s="37"/>
      <c r="HST310" s="208"/>
      <c r="HSU310" s="207"/>
      <c r="HSV310" s="204"/>
      <c r="HSW310" s="35"/>
      <c r="HSX310" s="203"/>
      <c r="HSY310" s="203"/>
      <c r="HSZ310" s="36"/>
      <c r="HTA310" s="36"/>
      <c r="HTB310" s="203"/>
      <c r="HTC310" s="33"/>
      <c r="HTD310" s="33"/>
      <c r="HTE310" s="33"/>
      <c r="HTF310" s="33"/>
      <c r="HTG310" s="33"/>
      <c r="HTH310" s="33"/>
      <c r="HTI310" s="37"/>
      <c r="HTJ310" s="208"/>
      <c r="HTK310" s="207"/>
      <c r="HTL310" s="204"/>
      <c r="HTM310" s="35"/>
      <c r="HTN310" s="203"/>
      <c r="HTO310" s="203"/>
      <c r="HTP310" s="36"/>
      <c r="HTQ310" s="36"/>
      <c r="HTR310" s="203"/>
      <c r="HTS310" s="33"/>
      <c r="HTT310" s="33"/>
      <c r="HTU310" s="33"/>
      <c r="HTV310" s="33"/>
      <c r="HTW310" s="33"/>
      <c r="HTX310" s="33"/>
      <c r="HTY310" s="37"/>
      <c r="HTZ310" s="208"/>
      <c r="HUA310" s="207"/>
      <c r="HUB310" s="204"/>
      <c r="HUC310" s="35"/>
      <c r="HUD310" s="203"/>
      <c r="HUE310" s="203"/>
      <c r="HUF310" s="36"/>
      <c r="HUG310" s="36"/>
      <c r="HUH310" s="203"/>
      <c r="HUI310" s="33"/>
      <c r="HUJ310" s="33"/>
      <c r="HUK310" s="33"/>
      <c r="HUL310" s="33"/>
      <c r="HUM310" s="33"/>
      <c r="HUN310" s="33"/>
      <c r="HUO310" s="37"/>
      <c r="HUP310" s="208"/>
      <c r="HUQ310" s="207"/>
      <c r="HUR310" s="204"/>
      <c r="HUS310" s="35"/>
      <c r="HUT310" s="203"/>
      <c r="HUU310" s="203"/>
      <c r="HUV310" s="36"/>
      <c r="HUW310" s="36"/>
      <c r="HUX310" s="203"/>
      <c r="HUY310" s="33"/>
      <c r="HUZ310" s="33"/>
      <c r="HVA310" s="33"/>
      <c r="HVB310" s="33"/>
      <c r="HVC310" s="33"/>
      <c r="HVD310" s="33"/>
      <c r="HVE310" s="37"/>
      <c r="HVF310" s="208"/>
      <c r="HVG310" s="207"/>
      <c r="HVH310" s="204"/>
      <c r="HVI310" s="35"/>
      <c r="HVJ310" s="203"/>
      <c r="HVK310" s="203"/>
      <c r="HVL310" s="36"/>
      <c r="HVM310" s="36"/>
      <c r="HVN310" s="203"/>
      <c r="HVO310" s="33"/>
      <c r="HVP310" s="33"/>
      <c r="HVQ310" s="33"/>
      <c r="HVR310" s="33"/>
      <c r="HVS310" s="33"/>
      <c r="HVT310" s="33"/>
      <c r="HVU310" s="37"/>
      <c r="HVV310" s="208"/>
      <c r="HVW310" s="207"/>
      <c r="HVX310" s="204"/>
      <c r="HVY310" s="35"/>
      <c r="HVZ310" s="203"/>
      <c r="HWA310" s="203"/>
      <c r="HWB310" s="36"/>
      <c r="HWC310" s="36"/>
      <c r="HWD310" s="203"/>
      <c r="HWE310" s="33"/>
      <c r="HWF310" s="33"/>
      <c r="HWG310" s="33"/>
      <c r="HWH310" s="33"/>
      <c r="HWI310" s="33"/>
      <c r="HWJ310" s="33"/>
      <c r="HWK310" s="37"/>
      <c r="HWL310" s="208"/>
      <c r="HWM310" s="207"/>
      <c r="HWN310" s="204"/>
      <c r="HWO310" s="35"/>
      <c r="HWP310" s="203"/>
      <c r="HWQ310" s="203"/>
      <c r="HWR310" s="36"/>
      <c r="HWS310" s="36"/>
      <c r="HWT310" s="203"/>
      <c r="HWU310" s="33"/>
      <c r="HWV310" s="33"/>
      <c r="HWW310" s="33"/>
      <c r="HWX310" s="33"/>
      <c r="HWY310" s="33"/>
      <c r="HWZ310" s="33"/>
      <c r="HXA310" s="37"/>
      <c r="HXB310" s="208"/>
      <c r="HXC310" s="207"/>
      <c r="HXD310" s="204"/>
      <c r="HXE310" s="35"/>
      <c r="HXF310" s="203"/>
      <c r="HXG310" s="203"/>
      <c r="HXH310" s="36"/>
      <c r="HXI310" s="36"/>
      <c r="HXJ310" s="203"/>
      <c r="HXK310" s="33"/>
      <c r="HXL310" s="33"/>
      <c r="HXM310" s="33"/>
      <c r="HXN310" s="33"/>
      <c r="HXO310" s="33"/>
      <c r="HXP310" s="33"/>
      <c r="HXQ310" s="37"/>
      <c r="HXR310" s="208"/>
      <c r="HXS310" s="207"/>
      <c r="HXT310" s="204"/>
      <c r="HXU310" s="35"/>
      <c r="HXV310" s="203"/>
      <c r="HXW310" s="203"/>
      <c r="HXX310" s="36"/>
      <c r="HXY310" s="36"/>
      <c r="HXZ310" s="203"/>
      <c r="HYA310" s="33"/>
      <c r="HYB310" s="33"/>
      <c r="HYC310" s="33"/>
      <c r="HYD310" s="33"/>
      <c r="HYE310" s="33"/>
      <c r="HYF310" s="33"/>
      <c r="HYG310" s="37"/>
      <c r="HYH310" s="208"/>
      <c r="HYI310" s="207"/>
      <c r="HYJ310" s="204"/>
      <c r="HYK310" s="35"/>
      <c r="HYL310" s="203"/>
      <c r="HYM310" s="203"/>
      <c r="HYN310" s="36"/>
      <c r="HYO310" s="36"/>
      <c r="HYP310" s="203"/>
      <c r="HYQ310" s="33"/>
      <c r="HYR310" s="33"/>
      <c r="HYS310" s="33"/>
      <c r="HYT310" s="33"/>
      <c r="HYU310" s="33"/>
      <c r="HYV310" s="33"/>
      <c r="HYW310" s="37"/>
      <c r="HYX310" s="208"/>
      <c r="HYY310" s="207"/>
      <c r="HYZ310" s="204"/>
      <c r="HZA310" s="35"/>
      <c r="HZB310" s="203"/>
      <c r="HZC310" s="203"/>
      <c r="HZD310" s="36"/>
      <c r="HZE310" s="36"/>
      <c r="HZF310" s="203"/>
      <c r="HZG310" s="33"/>
      <c r="HZH310" s="33"/>
      <c r="HZI310" s="33"/>
      <c r="HZJ310" s="33"/>
      <c r="HZK310" s="33"/>
      <c r="HZL310" s="33"/>
      <c r="HZM310" s="37"/>
      <c r="HZN310" s="208"/>
      <c r="HZO310" s="207"/>
      <c r="HZP310" s="204"/>
      <c r="HZQ310" s="35"/>
      <c r="HZR310" s="203"/>
      <c r="HZS310" s="203"/>
      <c r="HZT310" s="36"/>
      <c r="HZU310" s="36"/>
      <c r="HZV310" s="203"/>
      <c r="HZW310" s="33"/>
      <c r="HZX310" s="33"/>
      <c r="HZY310" s="33"/>
      <c r="HZZ310" s="33"/>
      <c r="IAA310" s="33"/>
      <c r="IAB310" s="33"/>
      <c r="IAC310" s="37"/>
      <c r="IAD310" s="208"/>
      <c r="IAE310" s="207"/>
      <c r="IAF310" s="204"/>
      <c r="IAG310" s="35"/>
      <c r="IAH310" s="203"/>
      <c r="IAI310" s="203"/>
      <c r="IAJ310" s="36"/>
      <c r="IAK310" s="36"/>
      <c r="IAL310" s="203"/>
      <c r="IAM310" s="33"/>
      <c r="IAN310" s="33"/>
      <c r="IAO310" s="33"/>
      <c r="IAP310" s="33"/>
      <c r="IAQ310" s="33"/>
      <c r="IAR310" s="33"/>
      <c r="IAS310" s="37"/>
      <c r="IAT310" s="208"/>
      <c r="IAU310" s="207"/>
      <c r="IAV310" s="204"/>
      <c r="IAW310" s="35"/>
      <c r="IAX310" s="203"/>
      <c r="IAY310" s="203"/>
      <c r="IAZ310" s="36"/>
      <c r="IBA310" s="36"/>
      <c r="IBB310" s="203"/>
      <c r="IBC310" s="33"/>
      <c r="IBD310" s="33"/>
      <c r="IBE310" s="33"/>
      <c r="IBF310" s="33"/>
      <c r="IBG310" s="33"/>
      <c r="IBH310" s="33"/>
      <c r="IBI310" s="37"/>
      <c r="IBJ310" s="208"/>
      <c r="IBK310" s="207"/>
      <c r="IBL310" s="204"/>
      <c r="IBM310" s="35"/>
      <c r="IBN310" s="203"/>
      <c r="IBO310" s="203"/>
      <c r="IBP310" s="36"/>
      <c r="IBQ310" s="36"/>
      <c r="IBR310" s="203"/>
      <c r="IBS310" s="33"/>
      <c r="IBT310" s="33"/>
      <c r="IBU310" s="33"/>
      <c r="IBV310" s="33"/>
      <c r="IBW310" s="33"/>
      <c r="IBX310" s="33"/>
      <c r="IBY310" s="37"/>
      <c r="IBZ310" s="208"/>
      <c r="ICA310" s="207"/>
      <c r="ICB310" s="204"/>
      <c r="ICC310" s="35"/>
      <c r="ICD310" s="203"/>
      <c r="ICE310" s="203"/>
      <c r="ICF310" s="36"/>
      <c r="ICG310" s="36"/>
      <c r="ICH310" s="203"/>
      <c r="ICI310" s="33"/>
      <c r="ICJ310" s="33"/>
      <c r="ICK310" s="33"/>
      <c r="ICL310" s="33"/>
      <c r="ICM310" s="33"/>
      <c r="ICN310" s="33"/>
      <c r="ICO310" s="37"/>
      <c r="ICP310" s="208"/>
      <c r="ICQ310" s="207"/>
      <c r="ICR310" s="204"/>
      <c r="ICS310" s="35"/>
      <c r="ICT310" s="203"/>
      <c r="ICU310" s="203"/>
      <c r="ICV310" s="36"/>
      <c r="ICW310" s="36"/>
      <c r="ICX310" s="203"/>
      <c r="ICY310" s="33"/>
      <c r="ICZ310" s="33"/>
      <c r="IDA310" s="33"/>
      <c r="IDB310" s="33"/>
      <c r="IDC310" s="33"/>
      <c r="IDD310" s="33"/>
      <c r="IDE310" s="37"/>
      <c r="IDF310" s="208"/>
      <c r="IDG310" s="207"/>
      <c r="IDH310" s="204"/>
      <c r="IDI310" s="35"/>
      <c r="IDJ310" s="203"/>
      <c r="IDK310" s="203"/>
      <c r="IDL310" s="36"/>
      <c r="IDM310" s="36"/>
      <c r="IDN310" s="203"/>
      <c r="IDO310" s="33"/>
      <c r="IDP310" s="33"/>
      <c r="IDQ310" s="33"/>
      <c r="IDR310" s="33"/>
      <c r="IDS310" s="33"/>
      <c r="IDT310" s="33"/>
      <c r="IDU310" s="37"/>
      <c r="IDV310" s="208"/>
      <c r="IDW310" s="207"/>
      <c r="IDX310" s="204"/>
      <c r="IDY310" s="35"/>
      <c r="IDZ310" s="203"/>
      <c r="IEA310" s="203"/>
      <c r="IEB310" s="36"/>
      <c r="IEC310" s="36"/>
      <c r="IED310" s="203"/>
      <c r="IEE310" s="33"/>
      <c r="IEF310" s="33"/>
      <c r="IEG310" s="33"/>
      <c r="IEH310" s="33"/>
      <c r="IEI310" s="33"/>
      <c r="IEJ310" s="33"/>
      <c r="IEK310" s="37"/>
      <c r="IEL310" s="208"/>
      <c r="IEM310" s="207"/>
      <c r="IEN310" s="204"/>
      <c r="IEO310" s="35"/>
      <c r="IEP310" s="203"/>
      <c r="IEQ310" s="203"/>
      <c r="IER310" s="36"/>
      <c r="IES310" s="36"/>
      <c r="IET310" s="203"/>
      <c r="IEU310" s="33"/>
      <c r="IEV310" s="33"/>
      <c r="IEW310" s="33"/>
      <c r="IEX310" s="33"/>
      <c r="IEY310" s="33"/>
      <c r="IEZ310" s="33"/>
      <c r="IFA310" s="37"/>
      <c r="IFB310" s="208"/>
      <c r="IFC310" s="207"/>
      <c r="IFD310" s="204"/>
      <c r="IFE310" s="35"/>
      <c r="IFF310" s="203"/>
      <c r="IFG310" s="203"/>
      <c r="IFH310" s="36"/>
      <c r="IFI310" s="36"/>
      <c r="IFJ310" s="203"/>
      <c r="IFK310" s="33"/>
      <c r="IFL310" s="33"/>
      <c r="IFM310" s="33"/>
      <c r="IFN310" s="33"/>
      <c r="IFO310" s="33"/>
      <c r="IFP310" s="33"/>
      <c r="IFQ310" s="37"/>
      <c r="IFR310" s="208"/>
      <c r="IFS310" s="207"/>
      <c r="IFT310" s="204"/>
      <c r="IFU310" s="35"/>
      <c r="IFV310" s="203"/>
      <c r="IFW310" s="203"/>
      <c r="IFX310" s="36"/>
      <c r="IFY310" s="36"/>
      <c r="IFZ310" s="203"/>
      <c r="IGA310" s="33"/>
      <c r="IGB310" s="33"/>
      <c r="IGC310" s="33"/>
      <c r="IGD310" s="33"/>
      <c r="IGE310" s="33"/>
      <c r="IGF310" s="33"/>
      <c r="IGG310" s="37"/>
      <c r="IGH310" s="208"/>
      <c r="IGI310" s="207"/>
      <c r="IGJ310" s="204"/>
      <c r="IGK310" s="35"/>
      <c r="IGL310" s="203"/>
      <c r="IGM310" s="203"/>
      <c r="IGN310" s="36"/>
      <c r="IGO310" s="36"/>
      <c r="IGP310" s="203"/>
      <c r="IGQ310" s="33"/>
      <c r="IGR310" s="33"/>
      <c r="IGS310" s="33"/>
      <c r="IGT310" s="33"/>
      <c r="IGU310" s="33"/>
      <c r="IGV310" s="33"/>
      <c r="IGW310" s="37"/>
      <c r="IGX310" s="208"/>
      <c r="IGY310" s="207"/>
      <c r="IGZ310" s="204"/>
      <c r="IHA310" s="35"/>
      <c r="IHB310" s="203"/>
      <c r="IHC310" s="203"/>
      <c r="IHD310" s="36"/>
      <c r="IHE310" s="36"/>
      <c r="IHF310" s="203"/>
      <c r="IHG310" s="33"/>
      <c r="IHH310" s="33"/>
      <c r="IHI310" s="33"/>
      <c r="IHJ310" s="33"/>
      <c r="IHK310" s="33"/>
      <c r="IHL310" s="33"/>
      <c r="IHM310" s="37"/>
      <c r="IHN310" s="208"/>
      <c r="IHO310" s="207"/>
      <c r="IHP310" s="204"/>
      <c r="IHQ310" s="35"/>
      <c r="IHR310" s="203"/>
      <c r="IHS310" s="203"/>
      <c r="IHT310" s="36"/>
      <c r="IHU310" s="36"/>
      <c r="IHV310" s="203"/>
      <c r="IHW310" s="33"/>
      <c r="IHX310" s="33"/>
      <c r="IHY310" s="33"/>
      <c r="IHZ310" s="33"/>
      <c r="IIA310" s="33"/>
      <c r="IIB310" s="33"/>
      <c r="IIC310" s="37"/>
      <c r="IID310" s="208"/>
      <c r="IIE310" s="207"/>
      <c r="IIF310" s="204"/>
      <c r="IIG310" s="35"/>
      <c r="IIH310" s="203"/>
      <c r="III310" s="203"/>
      <c r="IIJ310" s="36"/>
      <c r="IIK310" s="36"/>
      <c r="IIL310" s="203"/>
      <c r="IIM310" s="33"/>
      <c r="IIN310" s="33"/>
      <c r="IIO310" s="33"/>
      <c r="IIP310" s="33"/>
      <c r="IIQ310" s="33"/>
      <c r="IIR310" s="33"/>
      <c r="IIS310" s="37"/>
      <c r="IIT310" s="208"/>
      <c r="IIU310" s="207"/>
      <c r="IIV310" s="204"/>
      <c r="IIW310" s="35"/>
      <c r="IIX310" s="203"/>
      <c r="IIY310" s="203"/>
      <c r="IIZ310" s="36"/>
      <c r="IJA310" s="36"/>
      <c r="IJB310" s="203"/>
      <c r="IJC310" s="33"/>
      <c r="IJD310" s="33"/>
      <c r="IJE310" s="33"/>
      <c r="IJF310" s="33"/>
      <c r="IJG310" s="33"/>
      <c r="IJH310" s="33"/>
      <c r="IJI310" s="37"/>
      <c r="IJJ310" s="208"/>
      <c r="IJK310" s="207"/>
      <c r="IJL310" s="204"/>
      <c r="IJM310" s="35"/>
      <c r="IJN310" s="203"/>
      <c r="IJO310" s="203"/>
      <c r="IJP310" s="36"/>
      <c r="IJQ310" s="36"/>
      <c r="IJR310" s="203"/>
      <c r="IJS310" s="33"/>
      <c r="IJT310" s="33"/>
      <c r="IJU310" s="33"/>
      <c r="IJV310" s="33"/>
      <c r="IJW310" s="33"/>
      <c r="IJX310" s="33"/>
      <c r="IJY310" s="37"/>
      <c r="IJZ310" s="208"/>
      <c r="IKA310" s="207"/>
      <c r="IKB310" s="204"/>
      <c r="IKC310" s="35"/>
      <c r="IKD310" s="203"/>
      <c r="IKE310" s="203"/>
      <c r="IKF310" s="36"/>
      <c r="IKG310" s="36"/>
      <c r="IKH310" s="203"/>
      <c r="IKI310" s="33"/>
      <c r="IKJ310" s="33"/>
      <c r="IKK310" s="33"/>
      <c r="IKL310" s="33"/>
      <c r="IKM310" s="33"/>
      <c r="IKN310" s="33"/>
      <c r="IKO310" s="37"/>
      <c r="IKP310" s="208"/>
      <c r="IKQ310" s="207"/>
      <c r="IKR310" s="204"/>
      <c r="IKS310" s="35"/>
      <c r="IKT310" s="203"/>
      <c r="IKU310" s="203"/>
      <c r="IKV310" s="36"/>
      <c r="IKW310" s="36"/>
      <c r="IKX310" s="203"/>
      <c r="IKY310" s="33"/>
      <c r="IKZ310" s="33"/>
      <c r="ILA310" s="33"/>
      <c r="ILB310" s="33"/>
      <c r="ILC310" s="33"/>
      <c r="ILD310" s="33"/>
      <c r="ILE310" s="37"/>
      <c r="ILF310" s="208"/>
      <c r="ILG310" s="207"/>
      <c r="ILH310" s="204"/>
      <c r="ILI310" s="35"/>
      <c r="ILJ310" s="203"/>
      <c r="ILK310" s="203"/>
      <c r="ILL310" s="36"/>
      <c r="ILM310" s="36"/>
      <c r="ILN310" s="203"/>
      <c r="ILO310" s="33"/>
      <c r="ILP310" s="33"/>
      <c r="ILQ310" s="33"/>
      <c r="ILR310" s="33"/>
      <c r="ILS310" s="33"/>
      <c r="ILT310" s="33"/>
      <c r="ILU310" s="37"/>
      <c r="ILV310" s="208"/>
      <c r="ILW310" s="207"/>
      <c r="ILX310" s="204"/>
      <c r="ILY310" s="35"/>
      <c r="ILZ310" s="203"/>
      <c r="IMA310" s="203"/>
      <c r="IMB310" s="36"/>
      <c r="IMC310" s="36"/>
      <c r="IMD310" s="203"/>
      <c r="IME310" s="33"/>
      <c r="IMF310" s="33"/>
      <c r="IMG310" s="33"/>
      <c r="IMH310" s="33"/>
      <c r="IMI310" s="33"/>
      <c r="IMJ310" s="33"/>
      <c r="IMK310" s="37"/>
      <c r="IML310" s="208"/>
      <c r="IMM310" s="207"/>
      <c r="IMN310" s="204"/>
      <c r="IMO310" s="35"/>
      <c r="IMP310" s="203"/>
      <c r="IMQ310" s="203"/>
      <c r="IMR310" s="36"/>
      <c r="IMS310" s="36"/>
      <c r="IMT310" s="203"/>
      <c r="IMU310" s="33"/>
      <c r="IMV310" s="33"/>
      <c r="IMW310" s="33"/>
      <c r="IMX310" s="33"/>
      <c r="IMY310" s="33"/>
      <c r="IMZ310" s="33"/>
      <c r="INA310" s="37"/>
      <c r="INB310" s="208"/>
      <c r="INC310" s="207"/>
      <c r="IND310" s="204"/>
      <c r="INE310" s="35"/>
      <c r="INF310" s="203"/>
      <c r="ING310" s="203"/>
      <c r="INH310" s="36"/>
      <c r="INI310" s="36"/>
      <c r="INJ310" s="203"/>
      <c r="INK310" s="33"/>
      <c r="INL310" s="33"/>
      <c r="INM310" s="33"/>
      <c r="INN310" s="33"/>
      <c r="INO310" s="33"/>
      <c r="INP310" s="33"/>
      <c r="INQ310" s="37"/>
      <c r="INR310" s="208"/>
      <c r="INS310" s="207"/>
      <c r="INT310" s="204"/>
      <c r="INU310" s="35"/>
      <c r="INV310" s="203"/>
      <c r="INW310" s="203"/>
      <c r="INX310" s="36"/>
      <c r="INY310" s="36"/>
      <c r="INZ310" s="203"/>
      <c r="IOA310" s="33"/>
      <c r="IOB310" s="33"/>
      <c r="IOC310" s="33"/>
      <c r="IOD310" s="33"/>
      <c r="IOE310" s="33"/>
      <c r="IOF310" s="33"/>
      <c r="IOG310" s="37"/>
      <c r="IOH310" s="208"/>
      <c r="IOI310" s="207"/>
      <c r="IOJ310" s="204"/>
      <c r="IOK310" s="35"/>
      <c r="IOL310" s="203"/>
      <c r="IOM310" s="203"/>
      <c r="ION310" s="36"/>
      <c r="IOO310" s="36"/>
      <c r="IOP310" s="203"/>
      <c r="IOQ310" s="33"/>
      <c r="IOR310" s="33"/>
      <c r="IOS310" s="33"/>
      <c r="IOT310" s="33"/>
      <c r="IOU310" s="33"/>
      <c r="IOV310" s="33"/>
      <c r="IOW310" s="37"/>
      <c r="IOX310" s="208"/>
      <c r="IOY310" s="207"/>
      <c r="IOZ310" s="204"/>
      <c r="IPA310" s="35"/>
      <c r="IPB310" s="203"/>
      <c r="IPC310" s="203"/>
      <c r="IPD310" s="36"/>
      <c r="IPE310" s="36"/>
      <c r="IPF310" s="203"/>
      <c r="IPG310" s="33"/>
      <c r="IPH310" s="33"/>
      <c r="IPI310" s="33"/>
      <c r="IPJ310" s="33"/>
      <c r="IPK310" s="33"/>
      <c r="IPL310" s="33"/>
      <c r="IPM310" s="37"/>
      <c r="IPN310" s="208"/>
      <c r="IPO310" s="207"/>
      <c r="IPP310" s="204"/>
      <c r="IPQ310" s="35"/>
      <c r="IPR310" s="203"/>
      <c r="IPS310" s="203"/>
      <c r="IPT310" s="36"/>
      <c r="IPU310" s="36"/>
      <c r="IPV310" s="203"/>
      <c r="IPW310" s="33"/>
      <c r="IPX310" s="33"/>
      <c r="IPY310" s="33"/>
      <c r="IPZ310" s="33"/>
      <c r="IQA310" s="33"/>
      <c r="IQB310" s="33"/>
      <c r="IQC310" s="37"/>
      <c r="IQD310" s="208"/>
      <c r="IQE310" s="207"/>
      <c r="IQF310" s="204"/>
      <c r="IQG310" s="35"/>
      <c r="IQH310" s="203"/>
      <c r="IQI310" s="203"/>
      <c r="IQJ310" s="36"/>
      <c r="IQK310" s="36"/>
      <c r="IQL310" s="203"/>
      <c r="IQM310" s="33"/>
      <c r="IQN310" s="33"/>
      <c r="IQO310" s="33"/>
      <c r="IQP310" s="33"/>
      <c r="IQQ310" s="33"/>
      <c r="IQR310" s="33"/>
      <c r="IQS310" s="37"/>
      <c r="IQT310" s="208"/>
      <c r="IQU310" s="207"/>
      <c r="IQV310" s="204"/>
      <c r="IQW310" s="35"/>
      <c r="IQX310" s="203"/>
      <c r="IQY310" s="203"/>
      <c r="IQZ310" s="36"/>
      <c r="IRA310" s="36"/>
      <c r="IRB310" s="203"/>
      <c r="IRC310" s="33"/>
      <c r="IRD310" s="33"/>
      <c r="IRE310" s="33"/>
      <c r="IRF310" s="33"/>
      <c r="IRG310" s="33"/>
      <c r="IRH310" s="33"/>
      <c r="IRI310" s="37"/>
      <c r="IRJ310" s="208"/>
      <c r="IRK310" s="207"/>
      <c r="IRL310" s="204"/>
      <c r="IRM310" s="35"/>
      <c r="IRN310" s="203"/>
      <c r="IRO310" s="203"/>
      <c r="IRP310" s="36"/>
      <c r="IRQ310" s="36"/>
      <c r="IRR310" s="203"/>
      <c r="IRS310" s="33"/>
      <c r="IRT310" s="33"/>
      <c r="IRU310" s="33"/>
      <c r="IRV310" s="33"/>
      <c r="IRW310" s="33"/>
      <c r="IRX310" s="33"/>
      <c r="IRY310" s="37"/>
      <c r="IRZ310" s="208"/>
      <c r="ISA310" s="207"/>
      <c r="ISB310" s="204"/>
      <c r="ISC310" s="35"/>
      <c r="ISD310" s="203"/>
      <c r="ISE310" s="203"/>
      <c r="ISF310" s="36"/>
      <c r="ISG310" s="36"/>
      <c r="ISH310" s="203"/>
      <c r="ISI310" s="33"/>
      <c r="ISJ310" s="33"/>
      <c r="ISK310" s="33"/>
      <c r="ISL310" s="33"/>
      <c r="ISM310" s="33"/>
      <c r="ISN310" s="33"/>
      <c r="ISO310" s="37"/>
      <c r="ISP310" s="208"/>
      <c r="ISQ310" s="207"/>
      <c r="ISR310" s="204"/>
      <c r="ISS310" s="35"/>
      <c r="IST310" s="203"/>
      <c r="ISU310" s="203"/>
      <c r="ISV310" s="36"/>
      <c r="ISW310" s="36"/>
      <c r="ISX310" s="203"/>
      <c r="ISY310" s="33"/>
      <c r="ISZ310" s="33"/>
      <c r="ITA310" s="33"/>
      <c r="ITB310" s="33"/>
      <c r="ITC310" s="33"/>
      <c r="ITD310" s="33"/>
      <c r="ITE310" s="37"/>
      <c r="ITF310" s="208"/>
      <c r="ITG310" s="207"/>
      <c r="ITH310" s="204"/>
      <c r="ITI310" s="35"/>
      <c r="ITJ310" s="203"/>
      <c r="ITK310" s="203"/>
      <c r="ITL310" s="36"/>
      <c r="ITM310" s="36"/>
      <c r="ITN310" s="203"/>
      <c r="ITO310" s="33"/>
      <c r="ITP310" s="33"/>
      <c r="ITQ310" s="33"/>
      <c r="ITR310" s="33"/>
      <c r="ITS310" s="33"/>
      <c r="ITT310" s="33"/>
      <c r="ITU310" s="37"/>
      <c r="ITV310" s="208"/>
      <c r="ITW310" s="207"/>
      <c r="ITX310" s="204"/>
      <c r="ITY310" s="35"/>
      <c r="ITZ310" s="203"/>
      <c r="IUA310" s="203"/>
      <c r="IUB310" s="36"/>
      <c r="IUC310" s="36"/>
      <c r="IUD310" s="203"/>
      <c r="IUE310" s="33"/>
      <c r="IUF310" s="33"/>
      <c r="IUG310" s="33"/>
      <c r="IUH310" s="33"/>
      <c r="IUI310" s="33"/>
      <c r="IUJ310" s="33"/>
      <c r="IUK310" s="37"/>
      <c r="IUL310" s="208"/>
      <c r="IUM310" s="207"/>
      <c r="IUN310" s="204"/>
      <c r="IUO310" s="35"/>
      <c r="IUP310" s="203"/>
      <c r="IUQ310" s="203"/>
      <c r="IUR310" s="36"/>
      <c r="IUS310" s="36"/>
      <c r="IUT310" s="203"/>
      <c r="IUU310" s="33"/>
      <c r="IUV310" s="33"/>
      <c r="IUW310" s="33"/>
      <c r="IUX310" s="33"/>
      <c r="IUY310" s="33"/>
      <c r="IUZ310" s="33"/>
      <c r="IVA310" s="37"/>
      <c r="IVB310" s="208"/>
      <c r="IVC310" s="207"/>
      <c r="IVD310" s="204"/>
      <c r="IVE310" s="35"/>
      <c r="IVF310" s="203"/>
      <c r="IVG310" s="203"/>
      <c r="IVH310" s="36"/>
      <c r="IVI310" s="36"/>
      <c r="IVJ310" s="203"/>
      <c r="IVK310" s="33"/>
      <c r="IVL310" s="33"/>
      <c r="IVM310" s="33"/>
      <c r="IVN310" s="33"/>
      <c r="IVO310" s="33"/>
      <c r="IVP310" s="33"/>
      <c r="IVQ310" s="37"/>
      <c r="IVR310" s="208"/>
      <c r="IVS310" s="207"/>
      <c r="IVT310" s="204"/>
      <c r="IVU310" s="35"/>
      <c r="IVV310" s="203"/>
      <c r="IVW310" s="203"/>
      <c r="IVX310" s="36"/>
      <c r="IVY310" s="36"/>
      <c r="IVZ310" s="203"/>
      <c r="IWA310" s="33"/>
      <c r="IWB310" s="33"/>
      <c r="IWC310" s="33"/>
      <c r="IWD310" s="33"/>
      <c r="IWE310" s="33"/>
      <c r="IWF310" s="33"/>
      <c r="IWG310" s="37"/>
      <c r="IWH310" s="208"/>
      <c r="IWI310" s="207"/>
      <c r="IWJ310" s="204"/>
      <c r="IWK310" s="35"/>
      <c r="IWL310" s="203"/>
      <c r="IWM310" s="203"/>
      <c r="IWN310" s="36"/>
      <c r="IWO310" s="36"/>
      <c r="IWP310" s="203"/>
      <c r="IWQ310" s="33"/>
      <c r="IWR310" s="33"/>
      <c r="IWS310" s="33"/>
      <c r="IWT310" s="33"/>
      <c r="IWU310" s="33"/>
      <c r="IWV310" s="33"/>
      <c r="IWW310" s="37"/>
      <c r="IWX310" s="208"/>
      <c r="IWY310" s="207"/>
      <c r="IWZ310" s="204"/>
      <c r="IXA310" s="35"/>
      <c r="IXB310" s="203"/>
      <c r="IXC310" s="203"/>
      <c r="IXD310" s="36"/>
      <c r="IXE310" s="36"/>
      <c r="IXF310" s="203"/>
      <c r="IXG310" s="33"/>
      <c r="IXH310" s="33"/>
      <c r="IXI310" s="33"/>
      <c r="IXJ310" s="33"/>
      <c r="IXK310" s="33"/>
      <c r="IXL310" s="33"/>
      <c r="IXM310" s="37"/>
      <c r="IXN310" s="208"/>
      <c r="IXO310" s="207"/>
      <c r="IXP310" s="204"/>
      <c r="IXQ310" s="35"/>
      <c r="IXR310" s="203"/>
      <c r="IXS310" s="203"/>
      <c r="IXT310" s="36"/>
      <c r="IXU310" s="36"/>
      <c r="IXV310" s="203"/>
      <c r="IXW310" s="33"/>
      <c r="IXX310" s="33"/>
      <c r="IXY310" s="33"/>
      <c r="IXZ310" s="33"/>
      <c r="IYA310" s="33"/>
      <c r="IYB310" s="33"/>
      <c r="IYC310" s="37"/>
      <c r="IYD310" s="208"/>
      <c r="IYE310" s="207"/>
      <c r="IYF310" s="204"/>
      <c r="IYG310" s="35"/>
      <c r="IYH310" s="203"/>
      <c r="IYI310" s="203"/>
      <c r="IYJ310" s="36"/>
      <c r="IYK310" s="36"/>
      <c r="IYL310" s="203"/>
      <c r="IYM310" s="33"/>
      <c r="IYN310" s="33"/>
      <c r="IYO310" s="33"/>
      <c r="IYP310" s="33"/>
      <c r="IYQ310" s="33"/>
      <c r="IYR310" s="33"/>
      <c r="IYS310" s="37"/>
      <c r="IYT310" s="208"/>
      <c r="IYU310" s="207"/>
      <c r="IYV310" s="204"/>
      <c r="IYW310" s="35"/>
      <c r="IYX310" s="203"/>
      <c r="IYY310" s="203"/>
      <c r="IYZ310" s="36"/>
      <c r="IZA310" s="36"/>
      <c r="IZB310" s="203"/>
      <c r="IZC310" s="33"/>
      <c r="IZD310" s="33"/>
      <c r="IZE310" s="33"/>
      <c r="IZF310" s="33"/>
      <c r="IZG310" s="33"/>
      <c r="IZH310" s="33"/>
      <c r="IZI310" s="37"/>
      <c r="IZJ310" s="208"/>
      <c r="IZK310" s="207"/>
      <c r="IZL310" s="204"/>
      <c r="IZM310" s="35"/>
      <c r="IZN310" s="203"/>
      <c r="IZO310" s="203"/>
      <c r="IZP310" s="36"/>
      <c r="IZQ310" s="36"/>
      <c r="IZR310" s="203"/>
      <c r="IZS310" s="33"/>
      <c r="IZT310" s="33"/>
      <c r="IZU310" s="33"/>
      <c r="IZV310" s="33"/>
      <c r="IZW310" s="33"/>
      <c r="IZX310" s="33"/>
      <c r="IZY310" s="37"/>
      <c r="IZZ310" s="208"/>
      <c r="JAA310" s="207"/>
      <c r="JAB310" s="204"/>
      <c r="JAC310" s="35"/>
      <c r="JAD310" s="203"/>
      <c r="JAE310" s="203"/>
      <c r="JAF310" s="36"/>
      <c r="JAG310" s="36"/>
      <c r="JAH310" s="203"/>
      <c r="JAI310" s="33"/>
      <c r="JAJ310" s="33"/>
      <c r="JAK310" s="33"/>
      <c r="JAL310" s="33"/>
      <c r="JAM310" s="33"/>
      <c r="JAN310" s="33"/>
      <c r="JAO310" s="37"/>
      <c r="JAP310" s="208"/>
      <c r="JAQ310" s="207"/>
      <c r="JAR310" s="204"/>
      <c r="JAS310" s="35"/>
      <c r="JAT310" s="203"/>
      <c r="JAU310" s="203"/>
      <c r="JAV310" s="36"/>
      <c r="JAW310" s="36"/>
      <c r="JAX310" s="203"/>
      <c r="JAY310" s="33"/>
      <c r="JAZ310" s="33"/>
      <c r="JBA310" s="33"/>
      <c r="JBB310" s="33"/>
      <c r="JBC310" s="33"/>
      <c r="JBD310" s="33"/>
      <c r="JBE310" s="37"/>
      <c r="JBF310" s="208"/>
      <c r="JBG310" s="207"/>
      <c r="JBH310" s="204"/>
      <c r="JBI310" s="35"/>
      <c r="JBJ310" s="203"/>
      <c r="JBK310" s="203"/>
      <c r="JBL310" s="36"/>
      <c r="JBM310" s="36"/>
      <c r="JBN310" s="203"/>
      <c r="JBO310" s="33"/>
      <c r="JBP310" s="33"/>
      <c r="JBQ310" s="33"/>
      <c r="JBR310" s="33"/>
      <c r="JBS310" s="33"/>
      <c r="JBT310" s="33"/>
      <c r="JBU310" s="37"/>
      <c r="JBV310" s="208"/>
      <c r="JBW310" s="207"/>
      <c r="JBX310" s="204"/>
      <c r="JBY310" s="35"/>
      <c r="JBZ310" s="203"/>
      <c r="JCA310" s="203"/>
      <c r="JCB310" s="36"/>
      <c r="JCC310" s="36"/>
      <c r="JCD310" s="203"/>
      <c r="JCE310" s="33"/>
      <c r="JCF310" s="33"/>
      <c r="JCG310" s="33"/>
      <c r="JCH310" s="33"/>
      <c r="JCI310" s="33"/>
      <c r="JCJ310" s="33"/>
      <c r="JCK310" s="37"/>
      <c r="JCL310" s="208"/>
      <c r="JCM310" s="207"/>
      <c r="JCN310" s="204"/>
      <c r="JCO310" s="35"/>
      <c r="JCP310" s="203"/>
      <c r="JCQ310" s="203"/>
      <c r="JCR310" s="36"/>
      <c r="JCS310" s="36"/>
      <c r="JCT310" s="203"/>
      <c r="JCU310" s="33"/>
      <c r="JCV310" s="33"/>
      <c r="JCW310" s="33"/>
      <c r="JCX310" s="33"/>
      <c r="JCY310" s="33"/>
      <c r="JCZ310" s="33"/>
      <c r="JDA310" s="37"/>
      <c r="JDB310" s="208"/>
      <c r="JDC310" s="207"/>
      <c r="JDD310" s="204"/>
      <c r="JDE310" s="35"/>
      <c r="JDF310" s="203"/>
      <c r="JDG310" s="203"/>
      <c r="JDH310" s="36"/>
      <c r="JDI310" s="36"/>
      <c r="JDJ310" s="203"/>
      <c r="JDK310" s="33"/>
      <c r="JDL310" s="33"/>
      <c r="JDM310" s="33"/>
      <c r="JDN310" s="33"/>
      <c r="JDO310" s="33"/>
      <c r="JDP310" s="33"/>
      <c r="JDQ310" s="37"/>
      <c r="JDR310" s="208"/>
      <c r="JDS310" s="207"/>
      <c r="JDT310" s="204"/>
      <c r="JDU310" s="35"/>
      <c r="JDV310" s="203"/>
      <c r="JDW310" s="203"/>
      <c r="JDX310" s="36"/>
      <c r="JDY310" s="36"/>
      <c r="JDZ310" s="203"/>
      <c r="JEA310" s="33"/>
      <c r="JEB310" s="33"/>
      <c r="JEC310" s="33"/>
      <c r="JED310" s="33"/>
      <c r="JEE310" s="33"/>
      <c r="JEF310" s="33"/>
      <c r="JEG310" s="37"/>
      <c r="JEH310" s="208"/>
      <c r="JEI310" s="207"/>
      <c r="JEJ310" s="204"/>
      <c r="JEK310" s="35"/>
      <c r="JEL310" s="203"/>
      <c r="JEM310" s="203"/>
      <c r="JEN310" s="36"/>
      <c r="JEO310" s="36"/>
      <c r="JEP310" s="203"/>
      <c r="JEQ310" s="33"/>
      <c r="JER310" s="33"/>
      <c r="JES310" s="33"/>
      <c r="JET310" s="33"/>
      <c r="JEU310" s="33"/>
      <c r="JEV310" s="33"/>
      <c r="JEW310" s="37"/>
      <c r="JEX310" s="208"/>
      <c r="JEY310" s="207"/>
      <c r="JEZ310" s="204"/>
      <c r="JFA310" s="35"/>
      <c r="JFB310" s="203"/>
      <c r="JFC310" s="203"/>
      <c r="JFD310" s="36"/>
      <c r="JFE310" s="36"/>
      <c r="JFF310" s="203"/>
      <c r="JFG310" s="33"/>
      <c r="JFH310" s="33"/>
      <c r="JFI310" s="33"/>
      <c r="JFJ310" s="33"/>
      <c r="JFK310" s="33"/>
      <c r="JFL310" s="33"/>
      <c r="JFM310" s="37"/>
      <c r="JFN310" s="208"/>
      <c r="JFO310" s="207"/>
      <c r="JFP310" s="204"/>
      <c r="JFQ310" s="35"/>
      <c r="JFR310" s="203"/>
      <c r="JFS310" s="203"/>
      <c r="JFT310" s="36"/>
      <c r="JFU310" s="36"/>
      <c r="JFV310" s="203"/>
      <c r="JFW310" s="33"/>
      <c r="JFX310" s="33"/>
      <c r="JFY310" s="33"/>
      <c r="JFZ310" s="33"/>
      <c r="JGA310" s="33"/>
      <c r="JGB310" s="33"/>
      <c r="JGC310" s="37"/>
      <c r="JGD310" s="208"/>
      <c r="JGE310" s="207"/>
      <c r="JGF310" s="204"/>
      <c r="JGG310" s="35"/>
      <c r="JGH310" s="203"/>
      <c r="JGI310" s="203"/>
      <c r="JGJ310" s="36"/>
      <c r="JGK310" s="36"/>
      <c r="JGL310" s="203"/>
      <c r="JGM310" s="33"/>
      <c r="JGN310" s="33"/>
      <c r="JGO310" s="33"/>
      <c r="JGP310" s="33"/>
      <c r="JGQ310" s="33"/>
      <c r="JGR310" s="33"/>
      <c r="JGS310" s="37"/>
      <c r="JGT310" s="208"/>
      <c r="JGU310" s="207"/>
      <c r="JGV310" s="204"/>
      <c r="JGW310" s="35"/>
      <c r="JGX310" s="203"/>
      <c r="JGY310" s="203"/>
      <c r="JGZ310" s="36"/>
      <c r="JHA310" s="36"/>
      <c r="JHB310" s="203"/>
      <c r="JHC310" s="33"/>
      <c r="JHD310" s="33"/>
      <c r="JHE310" s="33"/>
      <c r="JHF310" s="33"/>
      <c r="JHG310" s="33"/>
      <c r="JHH310" s="33"/>
      <c r="JHI310" s="37"/>
      <c r="JHJ310" s="208"/>
      <c r="JHK310" s="207"/>
      <c r="JHL310" s="204"/>
      <c r="JHM310" s="35"/>
      <c r="JHN310" s="203"/>
      <c r="JHO310" s="203"/>
      <c r="JHP310" s="36"/>
      <c r="JHQ310" s="36"/>
      <c r="JHR310" s="203"/>
      <c r="JHS310" s="33"/>
      <c r="JHT310" s="33"/>
      <c r="JHU310" s="33"/>
      <c r="JHV310" s="33"/>
      <c r="JHW310" s="33"/>
      <c r="JHX310" s="33"/>
      <c r="JHY310" s="37"/>
      <c r="JHZ310" s="208"/>
      <c r="JIA310" s="207"/>
      <c r="JIB310" s="204"/>
      <c r="JIC310" s="35"/>
      <c r="JID310" s="203"/>
      <c r="JIE310" s="203"/>
      <c r="JIF310" s="36"/>
      <c r="JIG310" s="36"/>
      <c r="JIH310" s="203"/>
      <c r="JII310" s="33"/>
      <c r="JIJ310" s="33"/>
      <c r="JIK310" s="33"/>
      <c r="JIL310" s="33"/>
      <c r="JIM310" s="33"/>
      <c r="JIN310" s="33"/>
      <c r="JIO310" s="37"/>
      <c r="JIP310" s="208"/>
      <c r="JIQ310" s="207"/>
      <c r="JIR310" s="204"/>
      <c r="JIS310" s="35"/>
      <c r="JIT310" s="203"/>
      <c r="JIU310" s="203"/>
      <c r="JIV310" s="36"/>
      <c r="JIW310" s="36"/>
      <c r="JIX310" s="203"/>
      <c r="JIY310" s="33"/>
      <c r="JIZ310" s="33"/>
      <c r="JJA310" s="33"/>
      <c r="JJB310" s="33"/>
      <c r="JJC310" s="33"/>
      <c r="JJD310" s="33"/>
      <c r="JJE310" s="37"/>
      <c r="JJF310" s="208"/>
      <c r="JJG310" s="207"/>
      <c r="JJH310" s="204"/>
      <c r="JJI310" s="35"/>
      <c r="JJJ310" s="203"/>
      <c r="JJK310" s="203"/>
      <c r="JJL310" s="36"/>
      <c r="JJM310" s="36"/>
      <c r="JJN310" s="203"/>
      <c r="JJO310" s="33"/>
      <c r="JJP310" s="33"/>
      <c r="JJQ310" s="33"/>
      <c r="JJR310" s="33"/>
      <c r="JJS310" s="33"/>
      <c r="JJT310" s="33"/>
      <c r="JJU310" s="37"/>
      <c r="JJV310" s="208"/>
      <c r="JJW310" s="207"/>
      <c r="JJX310" s="204"/>
      <c r="JJY310" s="35"/>
      <c r="JJZ310" s="203"/>
      <c r="JKA310" s="203"/>
      <c r="JKB310" s="36"/>
      <c r="JKC310" s="36"/>
      <c r="JKD310" s="203"/>
      <c r="JKE310" s="33"/>
      <c r="JKF310" s="33"/>
      <c r="JKG310" s="33"/>
      <c r="JKH310" s="33"/>
      <c r="JKI310" s="33"/>
      <c r="JKJ310" s="33"/>
      <c r="JKK310" s="37"/>
      <c r="JKL310" s="208"/>
      <c r="JKM310" s="207"/>
      <c r="JKN310" s="204"/>
      <c r="JKO310" s="35"/>
      <c r="JKP310" s="203"/>
      <c r="JKQ310" s="203"/>
      <c r="JKR310" s="36"/>
      <c r="JKS310" s="36"/>
      <c r="JKT310" s="203"/>
      <c r="JKU310" s="33"/>
      <c r="JKV310" s="33"/>
      <c r="JKW310" s="33"/>
      <c r="JKX310" s="33"/>
      <c r="JKY310" s="33"/>
      <c r="JKZ310" s="33"/>
      <c r="JLA310" s="37"/>
      <c r="JLB310" s="208"/>
      <c r="JLC310" s="207"/>
      <c r="JLD310" s="204"/>
      <c r="JLE310" s="35"/>
      <c r="JLF310" s="203"/>
      <c r="JLG310" s="203"/>
      <c r="JLH310" s="36"/>
      <c r="JLI310" s="36"/>
      <c r="JLJ310" s="203"/>
      <c r="JLK310" s="33"/>
      <c r="JLL310" s="33"/>
      <c r="JLM310" s="33"/>
      <c r="JLN310" s="33"/>
      <c r="JLO310" s="33"/>
      <c r="JLP310" s="33"/>
      <c r="JLQ310" s="37"/>
      <c r="JLR310" s="208"/>
      <c r="JLS310" s="207"/>
      <c r="JLT310" s="204"/>
      <c r="JLU310" s="35"/>
      <c r="JLV310" s="203"/>
      <c r="JLW310" s="203"/>
      <c r="JLX310" s="36"/>
      <c r="JLY310" s="36"/>
      <c r="JLZ310" s="203"/>
      <c r="JMA310" s="33"/>
      <c r="JMB310" s="33"/>
      <c r="JMC310" s="33"/>
      <c r="JMD310" s="33"/>
      <c r="JME310" s="33"/>
      <c r="JMF310" s="33"/>
      <c r="JMG310" s="37"/>
      <c r="JMH310" s="208"/>
      <c r="JMI310" s="207"/>
      <c r="JMJ310" s="204"/>
      <c r="JMK310" s="35"/>
      <c r="JML310" s="203"/>
      <c r="JMM310" s="203"/>
      <c r="JMN310" s="36"/>
      <c r="JMO310" s="36"/>
      <c r="JMP310" s="203"/>
      <c r="JMQ310" s="33"/>
      <c r="JMR310" s="33"/>
      <c r="JMS310" s="33"/>
      <c r="JMT310" s="33"/>
      <c r="JMU310" s="33"/>
      <c r="JMV310" s="33"/>
      <c r="JMW310" s="37"/>
      <c r="JMX310" s="208"/>
      <c r="JMY310" s="207"/>
      <c r="JMZ310" s="204"/>
      <c r="JNA310" s="35"/>
      <c r="JNB310" s="203"/>
      <c r="JNC310" s="203"/>
      <c r="JND310" s="36"/>
      <c r="JNE310" s="36"/>
      <c r="JNF310" s="203"/>
      <c r="JNG310" s="33"/>
      <c r="JNH310" s="33"/>
      <c r="JNI310" s="33"/>
      <c r="JNJ310" s="33"/>
      <c r="JNK310" s="33"/>
      <c r="JNL310" s="33"/>
      <c r="JNM310" s="37"/>
      <c r="JNN310" s="208"/>
      <c r="JNO310" s="207"/>
      <c r="JNP310" s="204"/>
      <c r="JNQ310" s="35"/>
      <c r="JNR310" s="203"/>
      <c r="JNS310" s="203"/>
      <c r="JNT310" s="36"/>
      <c r="JNU310" s="36"/>
      <c r="JNV310" s="203"/>
      <c r="JNW310" s="33"/>
      <c r="JNX310" s="33"/>
      <c r="JNY310" s="33"/>
      <c r="JNZ310" s="33"/>
      <c r="JOA310" s="33"/>
      <c r="JOB310" s="33"/>
      <c r="JOC310" s="37"/>
      <c r="JOD310" s="208"/>
      <c r="JOE310" s="207"/>
      <c r="JOF310" s="204"/>
      <c r="JOG310" s="35"/>
      <c r="JOH310" s="203"/>
      <c r="JOI310" s="203"/>
      <c r="JOJ310" s="36"/>
      <c r="JOK310" s="36"/>
      <c r="JOL310" s="203"/>
      <c r="JOM310" s="33"/>
      <c r="JON310" s="33"/>
      <c r="JOO310" s="33"/>
      <c r="JOP310" s="33"/>
      <c r="JOQ310" s="33"/>
      <c r="JOR310" s="33"/>
      <c r="JOS310" s="37"/>
      <c r="JOT310" s="208"/>
      <c r="JOU310" s="207"/>
      <c r="JOV310" s="204"/>
      <c r="JOW310" s="35"/>
      <c r="JOX310" s="203"/>
      <c r="JOY310" s="203"/>
      <c r="JOZ310" s="36"/>
      <c r="JPA310" s="36"/>
      <c r="JPB310" s="203"/>
      <c r="JPC310" s="33"/>
      <c r="JPD310" s="33"/>
      <c r="JPE310" s="33"/>
      <c r="JPF310" s="33"/>
      <c r="JPG310" s="33"/>
      <c r="JPH310" s="33"/>
      <c r="JPI310" s="37"/>
      <c r="JPJ310" s="208"/>
      <c r="JPK310" s="207"/>
      <c r="JPL310" s="204"/>
      <c r="JPM310" s="35"/>
      <c r="JPN310" s="203"/>
      <c r="JPO310" s="203"/>
      <c r="JPP310" s="36"/>
      <c r="JPQ310" s="36"/>
      <c r="JPR310" s="203"/>
      <c r="JPS310" s="33"/>
      <c r="JPT310" s="33"/>
      <c r="JPU310" s="33"/>
      <c r="JPV310" s="33"/>
      <c r="JPW310" s="33"/>
      <c r="JPX310" s="33"/>
      <c r="JPY310" s="37"/>
      <c r="JPZ310" s="208"/>
      <c r="JQA310" s="207"/>
      <c r="JQB310" s="204"/>
      <c r="JQC310" s="35"/>
      <c r="JQD310" s="203"/>
      <c r="JQE310" s="203"/>
      <c r="JQF310" s="36"/>
      <c r="JQG310" s="36"/>
      <c r="JQH310" s="203"/>
      <c r="JQI310" s="33"/>
      <c r="JQJ310" s="33"/>
      <c r="JQK310" s="33"/>
      <c r="JQL310" s="33"/>
      <c r="JQM310" s="33"/>
      <c r="JQN310" s="33"/>
      <c r="JQO310" s="37"/>
      <c r="JQP310" s="208"/>
      <c r="JQQ310" s="207"/>
      <c r="JQR310" s="204"/>
      <c r="JQS310" s="35"/>
      <c r="JQT310" s="203"/>
      <c r="JQU310" s="203"/>
      <c r="JQV310" s="36"/>
      <c r="JQW310" s="36"/>
      <c r="JQX310" s="203"/>
      <c r="JQY310" s="33"/>
      <c r="JQZ310" s="33"/>
      <c r="JRA310" s="33"/>
      <c r="JRB310" s="33"/>
      <c r="JRC310" s="33"/>
      <c r="JRD310" s="33"/>
      <c r="JRE310" s="37"/>
      <c r="JRF310" s="208"/>
      <c r="JRG310" s="207"/>
      <c r="JRH310" s="204"/>
      <c r="JRI310" s="35"/>
      <c r="JRJ310" s="203"/>
      <c r="JRK310" s="203"/>
      <c r="JRL310" s="36"/>
      <c r="JRM310" s="36"/>
      <c r="JRN310" s="203"/>
      <c r="JRO310" s="33"/>
      <c r="JRP310" s="33"/>
      <c r="JRQ310" s="33"/>
      <c r="JRR310" s="33"/>
      <c r="JRS310" s="33"/>
      <c r="JRT310" s="33"/>
      <c r="JRU310" s="37"/>
      <c r="JRV310" s="208"/>
      <c r="JRW310" s="207"/>
      <c r="JRX310" s="204"/>
      <c r="JRY310" s="35"/>
      <c r="JRZ310" s="203"/>
      <c r="JSA310" s="203"/>
      <c r="JSB310" s="36"/>
      <c r="JSC310" s="36"/>
      <c r="JSD310" s="203"/>
      <c r="JSE310" s="33"/>
      <c r="JSF310" s="33"/>
      <c r="JSG310" s="33"/>
      <c r="JSH310" s="33"/>
      <c r="JSI310" s="33"/>
      <c r="JSJ310" s="33"/>
      <c r="JSK310" s="37"/>
      <c r="JSL310" s="208"/>
      <c r="JSM310" s="207"/>
      <c r="JSN310" s="204"/>
      <c r="JSO310" s="35"/>
      <c r="JSP310" s="203"/>
      <c r="JSQ310" s="203"/>
      <c r="JSR310" s="36"/>
      <c r="JSS310" s="36"/>
      <c r="JST310" s="203"/>
      <c r="JSU310" s="33"/>
      <c r="JSV310" s="33"/>
      <c r="JSW310" s="33"/>
      <c r="JSX310" s="33"/>
      <c r="JSY310" s="33"/>
      <c r="JSZ310" s="33"/>
      <c r="JTA310" s="37"/>
      <c r="JTB310" s="208"/>
      <c r="JTC310" s="207"/>
      <c r="JTD310" s="204"/>
      <c r="JTE310" s="35"/>
      <c r="JTF310" s="203"/>
      <c r="JTG310" s="203"/>
      <c r="JTH310" s="36"/>
      <c r="JTI310" s="36"/>
      <c r="JTJ310" s="203"/>
      <c r="JTK310" s="33"/>
      <c r="JTL310" s="33"/>
      <c r="JTM310" s="33"/>
      <c r="JTN310" s="33"/>
      <c r="JTO310" s="33"/>
      <c r="JTP310" s="33"/>
      <c r="JTQ310" s="37"/>
      <c r="JTR310" s="208"/>
      <c r="JTS310" s="207"/>
      <c r="JTT310" s="204"/>
      <c r="JTU310" s="35"/>
      <c r="JTV310" s="203"/>
      <c r="JTW310" s="203"/>
      <c r="JTX310" s="36"/>
      <c r="JTY310" s="36"/>
      <c r="JTZ310" s="203"/>
      <c r="JUA310" s="33"/>
      <c r="JUB310" s="33"/>
      <c r="JUC310" s="33"/>
      <c r="JUD310" s="33"/>
      <c r="JUE310" s="33"/>
      <c r="JUF310" s="33"/>
      <c r="JUG310" s="37"/>
      <c r="JUH310" s="208"/>
      <c r="JUI310" s="207"/>
      <c r="JUJ310" s="204"/>
      <c r="JUK310" s="35"/>
      <c r="JUL310" s="203"/>
      <c r="JUM310" s="203"/>
      <c r="JUN310" s="36"/>
      <c r="JUO310" s="36"/>
      <c r="JUP310" s="203"/>
      <c r="JUQ310" s="33"/>
      <c r="JUR310" s="33"/>
      <c r="JUS310" s="33"/>
      <c r="JUT310" s="33"/>
      <c r="JUU310" s="33"/>
      <c r="JUV310" s="33"/>
      <c r="JUW310" s="37"/>
      <c r="JUX310" s="208"/>
      <c r="JUY310" s="207"/>
      <c r="JUZ310" s="204"/>
      <c r="JVA310" s="35"/>
      <c r="JVB310" s="203"/>
      <c r="JVC310" s="203"/>
      <c r="JVD310" s="36"/>
      <c r="JVE310" s="36"/>
      <c r="JVF310" s="203"/>
      <c r="JVG310" s="33"/>
      <c r="JVH310" s="33"/>
      <c r="JVI310" s="33"/>
      <c r="JVJ310" s="33"/>
      <c r="JVK310" s="33"/>
      <c r="JVL310" s="33"/>
      <c r="JVM310" s="37"/>
      <c r="JVN310" s="208"/>
      <c r="JVO310" s="207"/>
      <c r="JVP310" s="204"/>
      <c r="JVQ310" s="35"/>
      <c r="JVR310" s="203"/>
      <c r="JVS310" s="203"/>
      <c r="JVT310" s="36"/>
      <c r="JVU310" s="36"/>
      <c r="JVV310" s="203"/>
      <c r="JVW310" s="33"/>
      <c r="JVX310" s="33"/>
      <c r="JVY310" s="33"/>
      <c r="JVZ310" s="33"/>
      <c r="JWA310" s="33"/>
      <c r="JWB310" s="33"/>
      <c r="JWC310" s="37"/>
      <c r="JWD310" s="208"/>
      <c r="JWE310" s="207"/>
      <c r="JWF310" s="204"/>
      <c r="JWG310" s="35"/>
      <c r="JWH310" s="203"/>
      <c r="JWI310" s="203"/>
      <c r="JWJ310" s="36"/>
      <c r="JWK310" s="36"/>
      <c r="JWL310" s="203"/>
      <c r="JWM310" s="33"/>
      <c r="JWN310" s="33"/>
      <c r="JWO310" s="33"/>
      <c r="JWP310" s="33"/>
      <c r="JWQ310" s="33"/>
      <c r="JWR310" s="33"/>
      <c r="JWS310" s="37"/>
      <c r="JWT310" s="208"/>
      <c r="JWU310" s="207"/>
      <c r="JWV310" s="204"/>
      <c r="JWW310" s="35"/>
      <c r="JWX310" s="203"/>
      <c r="JWY310" s="203"/>
      <c r="JWZ310" s="36"/>
      <c r="JXA310" s="36"/>
      <c r="JXB310" s="203"/>
      <c r="JXC310" s="33"/>
      <c r="JXD310" s="33"/>
      <c r="JXE310" s="33"/>
      <c r="JXF310" s="33"/>
      <c r="JXG310" s="33"/>
      <c r="JXH310" s="33"/>
      <c r="JXI310" s="37"/>
      <c r="JXJ310" s="208"/>
      <c r="JXK310" s="207"/>
      <c r="JXL310" s="204"/>
      <c r="JXM310" s="35"/>
      <c r="JXN310" s="203"/>
      <c r="JXO310" s="203"/>
      <c r="JXP310" s="36"/>
      <c r="JXQ310" s="36"/>
      <c r="JXR310" s="203"/>
      <c r="JXS310" s="33"/>
      <c r="JXT310" s="33"/>
      <c r="JXU310" s="33"/>
      <c r="JXV310" s="33"/>
      <c r="JXW310" s="33"/>
      <c r="JXX310" s="33"/>
      <c r="JXY310" s="37"/>
      <c r="JXZ310" s="208"/>
      <c r="JYA310" s="207"/>
      <c r="JYB310" s="204"/>
      <c r="JYC310" s="35"/>
      <c r="JYD310" s="203"/>
      <c r="JYE310" s="203"/>
      <c r="JYF310" s="36"/>
      <c r="JYG310" s="36"/>
      <c r="JYH310" s="203"/>
      <c r="JYI310" s="33"/>
      <c r="JYJ310" s="33"/>
      <c r="JYK310" s="33"/>
      <c r="JYL310" s="33"/>
      <c r="JYM310" s="33"/>
      <c r="JYN310" s="33"/>
      <c r="JYO310" s="37"/>
      <c r="JYP310" s="208"/>
      <c r="JYQ310" s="207"/>
      <c r="JYR310" s="204"/>
      <c r="JYS310" s="35"/>
      <c r="JYT310" s="203"/>
      <c r="JYU310" s="203"/>
      <c r="JYV310" s="36"/>
      <c r="JYW310" s="36"/>
      <c r="JYX310" s="203"/>
      <c r="JYY310" s="33"/>
      <c r="JYZ310" s="33"/>
      <c r="JZA310" s="33"/>
      <c r="JZB310" s="33"/>
      <c r="JZC310" s="33"/>
      <c r="JZD310" s="33"/>
      <c r="JZE310" s="37"/>
      <c r="JZF310" s="208"/>
      <c r="JZG310" s="207"/>
      <c r="JZH310" s="204"/>
      <c r="JZI310" s="35"/>
      <c r="JZJ310" s="203"/>
      <c r="JZK310" s="203"/>
      <c r="JZL310" s="36"/>
      <c r="JZM310" s="36"/>
      <c r="JZN310" s="203"/>
      <c r="JZO310" s="33"/>
      <c r="JZP310" s="33"/>
      <c r="JZQ310" s="33"/>
      <c r="JZR310" s="33"/>
      <c r="JZS310" s="33"/>
      <c r="JZT310" s="33"/>
      <c r="JZU310" s="37"/>
      <c r="JZV310" s="208"/>
      <c r="JZW310" s="207"/>
      <c r="JZX310" s="204"/>
      <c r="JZY310" s="35"/>
      <c r="JZZ310" s="203"/>
      <c r="KAA310" s="203"/>
      <c r="KAB310" s="36"/>
      <c r="KAC310" s="36"/>
      <c r="KAD310" s="203"/>
      <c r="KAE310" s="33"/>
      <c r="KAF310" s="33"/>
      <c r="KAG310" s="33"/>
      <c r="KAH310" s="33"/>
      <c r="KAI310" s="33"/>
      <c r="KAJ310" s="33"/>
      <c r="KAK310" s="37"/>
      <c r="KAL310" s="208"/>
      <c r="KAM310" s="207"/>
      <c r="KAN310" s="204"/>
      <c r="KAO310" s="35"/>
      <c r="KAP310" s="203"/>
      <c r="KAQ310" s="203"/>
      <c r="KAR310" s="36"/>
      <c r="KAS310" s="36"/>
      <c r="KAT310" s="203"/>
      <c r="KAU310" s="33"/>
      <c r="KAV310" s="33"/>
      <c r="KAW310" s="33"/>
      <c r="KAX310" s="33"/>
      <c r="KAY310" s="33"/>
      <c r="KAZ310" s="33"/>
      <c r="KBA310" s="37"/>
      <c r="KBB310" s="208"/>
      <c r="KBC310" s="207"/>
      <c r="KBD310" s="204"/>
      <c r="KBE310" s="35"/>
      <c r="KBF310" s="203"/>
      <c r="KBG310" s="203"/>
      <c r="KBH310" s="36"/>
      <c r="KBI310" s="36"/>
      <c r="KBJ310" s="203"/>
      <c r="KBK310" s="33"/>
      <c r="KBL310" s="33"/>
      <c r="KBM310" s="33"/>
      <c r="KBN310" s="33"/>
      <c r="KBO310" s="33"/>
      <c r="KBP310" s="33"/>
      <c r="KBQ310" s="37"/>
      <c r="KBR310" s="208"/>
      <c r="KBS310" s="207"/>
      <c r="KBT310" s="204"/>
      <c r="KBU310" s="35"/>
      <c r="KBV310" s="203"/>
      <c r="KBW310" s="203"/>
      <c r="KBX310" s="36"/>
      <c r="KBY310" s="36"/>
      <c r="KBZ310" s="203"/>
      <c r="KCA310" s="33"/>
      <c r="KCB310" s="33"/>
      <c r="KCC310" s="33"/>
      <c r="KCD310" s="33"/>
      <c r="KCE310" s="33"/>
      <c r="KCF310" s="33"/>
      <c r="KCG310" s="37"/>
      <c r="KCH310" s="208"/>
      <c r="KCI310" s="207"/>
      <c r="KCJ310" s="204"/>
      <c r="KCK310" s="35"/>
      <c r="KCL310" s="203"/>
      <c r="KCM310" s="203"/>
      <c r="KCN310" s="36"/>
      <c r="KCO310" s="36"/>
      <c r="KCP310" s="203"/>
      <c r="KCQ310" s="33"/>
      <c r="KCR310" s="33"/>
      <c r="KCS310" s="33"/>
      <c r="KCT310" s="33"/>
      <c r="KCU310" s="33"/>
      <c r="KCV310" s="33"/>
      <c r="KCW310" s="37"/>
      <c r="KCX310" s="208"/>
      <c r="KCY310" s="207"/>
      <c r="KCZ310" s="204"/>
      <c r="KDA310" s="35"/>
      <c r="KDB310" s="203"/>
      <c r="KDC310" s="203"/>
      <c r="KDD310" s="36"/>
      <c r="KDE310" s="36"/>
      <c r="KDF310" s="203"/>
      <c r="KDG310" s="33"/>
      <c r="KDH310" s="33"/>
      <c r="KDI310" s="33"/>
      <c r="KDJ310" s="33"/>
      <c r="KDK310" s="33"/>
      <c r="KDL310" s="33"/>
      <c r="KDM310" s="37"/>
      <c r="KDN310" s="208"/>
      <c r="KDO310" s="207"/>
      <c r="KDP310" s="204"/>
      <c r="KDQ310" s="35"/>
      <c r="KDR310" s="203"/>
      <c r="KDS310" s="203"/>
      <c r="KDT310" s="36"/>
      <c r="KDU310" s="36"/>
      <c r="KDV310" s="203"/>
      <c r="KDW310" s="33"/>
      <c r="KDX310" s="33"/>
      <c r="KDY310" s="33"/>
      <c r="KDZ310" s="33"/>
      <c r="KEA310" s="33"/>
      <c r="KEB310" s="33"/>
      <c r="KEC310" s="37"/>
      <c r="KED310" s="208"/>
      <c r="KEE310" s="207"/>
      <c r="KEF310" s="204"/>
      <c r="KEG310" s="35"/>
      <c r="KEH310" s="203"/>
      <c r="KEI310" s="203"/>
      <c r="KEJ310" s="36"/>
      <c r="KEK310" s="36"/>
      <c r="KEL310" s="203"/>
      <c r="KEM310" s="33"/>
      <c r="KEN310" s="33"/>
      <c r="KEO310" s="33"/>
      <c r="KEP310" s="33"/>
      <c r="KEQ310" s="33"/>
      <c r="KER310" s="33"/>
      <c r="KES310" s="37"/>
      <c r="KET310" s="208"/>
      <c r="KEU310" s="207"/>
      <c r="KEV310" s="204"/>
      <c r="KEW310" s="35"/>
      <c r="KEX310" s="203"/>
      <c r="KEY310" s="203"/>
      <c r="KEZ310" s="36"/>
      <c r="KFA310" s="36"/>
      <c r="KFB310" s="203"/>
      <c r="KFC310" s="33"/>
      <c r="KFD310" s="33"/>
      <c r="KFE310" s="33"/>
      <c r="KFF310" s="33"/>
      <c r="KFG310" s="33"/>
      <c r="KFH310" s="33"/>
      <c r="KFI310" s="37"/>
      <c r="KFJ310" s="208"/>
      <c r="KFK310" s="207"/>
      <c r="KFL310" s="204"/>
      <c r="KFM310" s="35"/>
      <c r="KFN310" s="203"/>
      <c r="KFO310" s="203"/>
      <c r="KFP310" s="36"/>
      <c r="KFQ310" s="36"/>
      <c r="KFR310" s="203"/>
      <c r="KFS310" s="33"/>
      <c r="KFT310" s="33"/>
      <c r="KFU310" s="33"/>
      <c r="KFV310" s="33"/>
      <c r="KFW310" s="33"/>
      <c r="KFX310" s="33"/>
      <c r="KFY310" s="37"/>
      <c r="KFZ310" s="208"/>
      <c r="KGA310" s="207"/>
      <c r="KGB310" s="204"/>
      <c r="KGC310" s="35"/>
      <c r="KGD310" s="203"/>
      <c r="KGE310" s="203"/>
      <c r="KGF310" s="36"/>
      <c r="KGG310" s="36"/>
      <c r="KGH310" s="203"/>
      <c r="KGI310" s="33"/>
      <c r="KGJ310" s="33"/>
      <c r="KGK310" s="33"/>
      <c r="KGL310" s="33"/>
      <c r="KGM310" s="33"/>
      <c r="KGN310" s="33"/>
      <c r="KGO310" s="37"/>
      <c r="KGP310" s="208"/>
      <c r="KGQ310" s="207"/>
      <c r="KGR310" s="204"/>
      <c r="KGS310" s="35"/>
      <c r="KGT310" s="203"/>
      <c r="KGU310" s="203"/>
      <c r="KGV310" s="36"/>
      <c r="KGW310" s="36"/>
      <c r="KGX310" s="203"/>
      <c r="KGY310" s="33"/>
      <c r="KGZ310" s="33"/>
      <c r="KHA310" s="33"/>
      <c r="KHB310" s="33"/>
      <c r="KHC310" s="33"/>
      <c r="KHD310" s="33"/>
      <c r="KHE310" s="37"/>
      <c r="KHF310" s="208"/>
      <c r="KHG310" s="207"/>
      <c r="KHH310" s="204"/>
      <c r="KHI310" s="35"/>
      <c r="KHJ310" s="203"/>
      <c r="KHK310" s="203"/>
      <c r="KHL310" s="36"/>
      <c r="KHM310" s="36"/>
      <c r="KHN310" s="203"/>
      <c r="KHO310" s="33"/>
      <c r="KHP310" s="33"/>
      <c r="KHQ310" s="33"/>
      <c r="KHR310" s="33"/>
      <c r="KHS310" s="33"/>
      <c r="KHT310" s="33"/>
      <c r="KHU310" s="37"/>
      <c r="KHV310" s="208"/>
      <c r="KHW310" s="207"/>
      <c r="KHX310" s="204"/>
      <c r="KHY310" s="35"/>
      <c r="KHZ310" s="203"/>
      <c r="KIA310" s="203"/>
      <c r="KIB310" s="36"/>
      <c r="KIC310" s="36"/>
      <c r="KID310" s="203"/>
      <c r="KIE310" s="33"/>
      <c r="KIF310" s="33"/>
      <c r="KIG310" s="33"/>
      <c r="KIH310" s="33"/>
      <c r="KII310" s="33"/>
      <c r="KIJ310" s="33"/>
      <c r="KIK310" s="37"/>
      <c r="KIL310" s="208"/>
      <c r="KIM310" s="207"/>
      <c r="KIN310" s="204"/>
      <c r="KIO310" s="35"/>
      <c r="KIP310" s="203"/>
      <c r="KIQ310" s="203"/>
      <c r="KIR310" s="36"/>
      <c r="KIS310" s="36"/>
      <c r="KIT310" s="203"/>
      <c r="KIU310" s="33"/>
      <c r="KIV310" s="33"/>
      <c r="KIW310" s="33"/>
      <c r="KIX310" s="33"/>
      <c r="KIY310" s="33"/>
      <c r="KIZ310" s="33"/>
      <c r="KJA310" s="37"/>
      <c r="KJB310" s="208"/>
      <c r="KJC310" s="207"/>
      <c r="KJD310" s="204"/>
      <c r="KJE310" s="35"/>
      <c r="KJF310" s="203"/>
      <c r="KJG310" s="203"/>
      <c r="KJH310" s="36"/>
      <c r="KJI310" s="36"/>
      <c r="KJJ310" s="203"/>
      <c r="KJK310" s="33"/>
      <c r="KJL310" s="33"/>
      <c r="KJM310" s="33"/>
      <c r="KJN310" s="33"/>
      <c r="KJO310" s="33"/>
      <c r="KJP310" s="33"/>
      <c r="KJQ310" s="37"/>
      <c r="KJR310" s="208"/>
      <c r="KJS310" s="207"/>
      <c r="KJT310" s="204"/>
      <c r="KJU310" s="35"/>
      <c r="KJV310" s="203"/>
      <c r="KJW310" s="203"/>
      <c r="KJX310" s="36"/>
      <c r="KJY310" s="36"/>
      <c r="KJZ310" s="203"/>
      <c r="KKA310" s="33"/>
      <c r="KKB310" s="33"/>
      <c r="KKC310" s="33"/>
      <c r="KKD310" s="33"/>
      <c r="KKE310" s="33"/>
      <c r="KKF310" s="33"/>
      <c r="KKG310" s="37"/>
      <c r="KKH310" s="208"/>
      <c r="KKI310" s="207"/>
      <c r="KKJ310" s="204"/>
      <c r="KKK310" s="35"/>
      <c r="KKL310" s="203"/>
      <c r="KKM310" s="203"/>
      <c r="KKN310" s="36"/>
      <c r="KKO310" s="36"/>
      <c r="KKP310" s="203"/>
      <c r="KKQ310" s="33"/>
      <c r="KKR310" s="33"/>
      <c r="KKS310" s="33"/>
      <c r="KKT310" s="33"/>
      <c r="KKU310" s="33"/>
      <c r="KKV310" s="33"/>
      <c r="KKW310" s="37"/>
      <c r="KKX310" s="208"/>
      <c r="KKY310" s="207"/>
      <c r="KKZ310" s="204"/>
      <c r="KLA310" s="35"/>
      <c r="KLB310" s="203"/>
      <c r="KLC310" s="203"/>
      <c r="KLD310" s="36"/>
      <c r="KLE310" s="36"/>
      <c r="KLF310" s="203"/>
      <c r="KLG310" s="33"/>
      <c r="KLH310" s="33"/>
      <c r="KLI310" s="33"/>
      <c r="KLJ310" s="33"/>
      <c r="KLK310" s="33"/>
      <c r="KLL310" s="33"/>
      <c r="KLM310" s="37"/>
      <c r="KLN310" s="208"/>
      <c r="KLO310" s="207"/>
      <c r="KLP310" s="204"/>
      <c r="KLQ310" s="35"/>
      <c r="KLR310" s="203"/>
      <c r="KLS310" s="203"/>
      <c r="KLT310" s="36"/>
      <c r="KLU310" s="36"/>
      <c r="KLV310" s="203"/>
      <c r="KLW310" s="33"/>
      <c r="KLX310" s="33"/>
      <c r="KLY310" s="33"/>
      <c r="KLZ310" s="33"/>
      <c r="KMA310" s="33"/>
      <c r="KMB310" s="33"/>
      <c r="KMC310" s="37"/>
      <c r="KMD310" s="208"/>
      <c r="KME310" s="207"/>
      <c r="KMF310" s="204"/>
      <c r="KMG310" s="35"/>
      <c r="KMH310" s="203"/>
      <c r="KMI310" s="203"/>
      <c r="KMJ310" s="36"/>
      <c r="KMK310" s="36"/>
      <c r="KML310" s="203"/>
      <c r="KMM310" s="33"/>
      <c r="KMN310" s="33"/>
      <c r="KMO310" s="33"/>
      <c r="KMP310" s="33"/>
      <c r="KMQ310" s="33"/>
      <c r="KMR310" s="33"/>
      <c r="KMS310" s="37"/>
      <c r="KMT310" s="208"/>
      <c r="KMU310" s="207"/>
      <c r="KMV310" s="204"/>
      <c r="KMW310" s="35"/>
      <c r="KMX310" s="203"/>
      <c r="KMY310" s="203"/>
      <c r="KMZ310" s="36"/>
      <c r="KNA310" s="36"/>
      <c r="KNB310" s="203"/>
      <c r="KNC310" s="33"/>
      <c r="KND310" s="33"/>
      <c r="KNE310" s="33"/>
      <c r="KNF310" s="33"/>
      <c r="KNG310" s="33"/>
      <c r="KNH310" s="33"/>
      <c r="KNI310" s="37"/>
      <c r="KNJ310" s="208"/>
      <c r="KNK310" s="207"/>
      <c r="KNL310" s="204"/>
      <c r="KNM310" s="35"/>
      <c r="KNN310" s="203"/>
      <c r="KNO310" s="203"/>
      <c r="KNP310" s="36"/>
      <c r="KNQ310" s="36"/>
      <c r="KNR310" s="203"/>
      <c r="KNS310" s="33"/>
      <c r="KNT310" s="33"/>
      <c r="KNU310" s="33"/>
      <c r="KNV310" s="33"/>
      <c r="KNW310" s="33"/>
      <c r="KNX310" s="33"/>
      <c r="KNY310" s="37"/>
      <c r="KNZ310" s="208"/>
      <c r="KOA310" s="207"/>
      <c r="KOB310" s="204"/>
      <c r="KOC310" s="35"/>
      <c r="KOD310" s="203"/>
      <c r="KOE310" s="203"/>
      <c r="KOF310" s="36"/>
      <c r="KOG310" s="36"/>
      <c r="KOH310" s="203"/>
      <c r="KOI310" s="33"/>
      <c r="KOJ310" s="33"/>
      <c r="KOK310" s="33"/>
      <c r="KOL310" s="33"/>
      <c r="KOM310" s="33"/>
      <c r="KON310" s="33"/>
      <c r="KOO310" s="37"/>
      <c r="KOP310" s="208"/>
      <c r="KOQ310" s="207"/>
      <c r="KOR310" s="204"/>
      <c r="KOS310" s="35"/>
      <c r="KOT310" s="203"/>
      <c r="KOU310" s="203"/>
      <c r="KOV310" s="36"/>
      <c r="KOW310" s="36"/>
      <c r="KOX310" s="203"/>
      <c r="KOY310" s="33"/>
      <c r="KOZ310" s="33"/>
      <c r="KPA310" s="33"/>
      <c r="KPB310" s="33"/>
      <c r="KPC310" s="33"/>
      <c r="KPD310" s="33"/>
      <c r="KPE310" s="37"/>
      <c r="KPF310" s="208"/>
      <c r="KPG310" s="207"/>
      <c r="KPH310" s="204"/>
      <c r="KPI310" s="35"/>
      <c r="KPJ310" s="203"/>
      <c r="KPK310" s="203"/>
      <c r="KPL310" s="36"/>
      <c r="KPM310" s="36"/>
      <c r="KPN310" s="203"/>
      <c r="KPO310" s="33"/>
      <c r="KPP310" s="33"/>
      <c r="KPQ310" s="33"/>
      <c r="KPR310" s="33"/>
      <c r="KPS310" s="33"/>
      <c r="KPT310" s="33"/>
      <c r="KPU310" s="37"/>
      <c r="KPV310" s="208"/>
      <c r="KPW310" s="207"/>
      <c r="KPX310" s="204"/>
      <c r="KPY310" s="35"/>
      <c r="KPZ310" s="203"/>
      <c r="KQA310" s="203"/>
      <c r="KQB310" s="36"/>
      <c r="KQC310" s="36"/>
      <c r="KQD310" s="203"/>
      <c r="KQE310" s="33"/>
      <c r="KQF310" s="33"/>
      <c r="KQG310" s="33"/>
      <c r="KQH310" s="33"/>
      <c r="KQI310" s="33"/>
      <c r="KQJ310" s="33"/>
      <c r="KQK310" s="37"/>
      <c r="KQL310" s="208"/>
      <c r="KQM310" s="207"/>
      <c r="KQN310" s="204"/>
      <c r="KQO310" s="35"/>
      <c r="KQP310" s="203"/>
      <c r="KQQ310" s="203"/>
      <c r="KQR310" s="36"/>
      <c r="KQS310" s="36"/>
      <c r="KQT310" s="203"/>
      <c r="KQU310" s="33"/>
      <c r="KQV310" s="33"/>
      <c r="KQW310" s="33"/>
      <c r="KQX310" s="33"/>
      <c r="KQY310" s="33"/>
      <c r="KQZ310" s="33"/>
      <c r="KRA310" s="37"/>
      <c r="KRB310" s="208"/>
      <c r="KRC310" s="207"/>
      <c r="KRD310" s="204"/>
      <c r="KRE310" s="35"/>
      <c r="KRF310" s="203"/>
      <c r="KRG310" s="203"/>
      <c r="KRH310" s="36"/>
      <c r="KRI310" s="36"/>
      <c r="KRJ310" s="203"/>
      <c r="KRK310" s="33"/>
      <c r="KRL310" s="33"/>
      <c r="KRM310" s="33"/>
      <c r="KRN310" s="33"/>
      <c r="KRO310" s="33"/>
      <c r="KRP310" s="33"/>
      <c r="KRQ310" s="37"/>
      <c r="KRR310" s="208"/>
      <c r="KRS310" s="207"/>
      <c r="KRT310" s="204"/>
      <c r="KRU310" s="35"/>
      <c r="KRV310" s="203"/>
      <c r="KRW310" s="203"/>
      <c r="KRX310" s="36"/>
      <c r="KRY310" s="36"/>
      <c r="KRZ310" s="203"/>
      <c r="KSA310" s="33"/>
      <c r="KSB310" s="33"/>
      <c r="KSC310" s="33"/>
      <c r="KSD310" s="33"/>
      <c r="KSE310" s="33"/>
      <c r="KSF310" s="33"/>
      <c r="KSG310" s="37"/>
      <c r="KSH310" s="208"/>
      <c r="KSI310" s="207"/>
      <c r="KSJ310" s="204"/>
      <c r="KSK310" s="35"/>
      <c r="KSL310" s="203"/>
      <c r="KSM310" s="203"/>
      <c r="KSN310" s="36"/>
      <c r="KSO310" s="36"/>
      <c r="KSP310" s="203"/>
      <c r="KSQ310" s="33"/>
      <c r="KSR310" s="33"/>
      <c r="KSS310" s="33"/>
      <c r="KST310" s="33"/>
      <c r="KSU310" s="33"/>
      <c r="KSV310" s="33"/>
      <c r="KSW310" s="37"/>
      <c r="KSX310" s="208"/>
      <c r="KSY310" s="207"/>
      <c r="KSZ310" s="204"/>
      <c r="KTA310" s="35"/>
      <c r="KTB310" s="203"/>
      <c r="KTC310" s="203"/>
      <c r="KTD310" s="36"/>
      <c r="KTE310" s="36"/>
      <c r="KTF310" s="203"/>
      <c r="KTG310" s="33"/>
      <c r="KTH310" s="33"/>
      <c r="KTI310" s="33"/>
      <c r="KTJ310" s="33"/>
      <c r="KTK310" s="33"/>
      <c r="KTL310" s="33"/>
      <c r="KTM310" s="37"/>
      <c r="KTN310" s="208"/>
      <c r="KTO310" s="207"/>
      <c r="KTP310" s="204"/>
      <c r="KTQ310" s="35"/>
      <c r="KTR310" s="203"/>
      <c r="KTS310" s="203"/>
      <c r="KTT310" s="36"/>
      <c r="KTU310" s="36"/>
      <c r="KTV310" s="203"/>
      <c r="KTW310" s="33"/>
      <c r="KTX310" s="33"/>
      <c r="KTY310" s="33"/>
      <c r="KTZ310" s="33"/>
      <c r="KUA310" s="33"/>
      <c r="KUB310" s="33"/>
      <c r="KUC310" s="37"/>
      <c r="KUD310" s="208"/>
      <c r="KUE310" s="207"/>
      <c r="KUF310" s="204"/>
      <c r="KUG310" s="35"/>
      <c r="KUH310" s="203"/>
      <c r="KUI310" s="203"/>
      <c r="KUJ310" s="36"/>
      <c r="KUK310" s="36"/>
      <c r="KUL310" s="203"/>
      <c r="KUM310" s="33"/>
      <c r="KUN310" s="33"/>
      <c r="KUO310" s="33"/>
      <c r="KUP310" s="33"/>
      <c r="KUQ310" s="33"/>
      <c r="KUR310" s="33"/>
      <c r="KUS310" s="37"/>
      <c r="KUT310" s="208"/>
      <c r="KUU310" s="207"/>
      <c r="KUV310" s="204"/>
      <c r="KUW310" s="35"/>
      <c r="KUX310" s="203"/>
      <c r="KUY310" s="203"/>
      <c r="KUZ310" s="36"/>
      <c r="KVA310" s="36"/>
      <c r="KVB310" s="203"/>
      <c r="KVC310" s="33"/>
      <c r="KVD310" s="33"/>
      <c r="KVE310" s="33"/>
      <c r="KVF310" s="33"/>
      <c r="KVG310" s="33"/>
      <c r="KVH310" s="33"/>
      <c r="KVI310" s="37"/>
      <c r="KVJ310" s="208"/>
      <c r="KVK310" s="207"/>
      <c r="KVL310" s="204"/>
      <c r="KVM310" s="35"/>
      <c r="KVN310" s="203"/>
      <c r="KVO310" s="203"/>
      <c r="KVP310" s="36"/>
      <c r="KVQ310" s="36"/>
      <c r="KVR310" s="203"/>
      <c r="KVS310" s="33"/>
      <c r="KVT310" s="33"/>
      <c r="KVU310" s="33"/>
      <c r="KVV310" s="33"/>
      <c r="KVW310" s="33"/>
      <c r="KVX310" s="33"/>
      <c r="KVY310" s="37"/>
      <c r="KVZ310" s="208"/>
      <c r="KWA310" s="207"/>
      <c r="KWB310" s="204"/>
      <c r="KWC310" s="35"/>
      <c r="KWD310" s="203"/>
      <c r="KWE310" s="203"/>
      <c r="KWF310" s="36"/>
      <c r="KWG310" s="36"/>
      <c r="KWH310" s="203"/>
      <c r="KWI310" s="33"/>
      <c r="KWJ310" s="33"/>
      <c r="KWK310" s="33"/>
      <c r="KWL310" s="33"/>
      <c r="KWM310" s="33"/>
      <c r="KWN310" s="33"/>
      <c r="KWO310" s="37"/>
      <c r="KWP310" s="208"/>
      <c r="KWQ310" s="207"/>
      <c r="KWR310" s="204"/>
      <c r="KWS310" s="35"/>
      <c r="KWT310" s="203"/>
      <c r="KWU310" s="203"/>
      <c r="KWV310" s="36"/>
      <c r="KWW310" s="36"/>
      <c r="KWX310" s="203"/>
      <c r="KWY310" s="33"/>
      <c r="KWZ310" s="33"/>
      <c r="KXA310" s="33"/>
      <c r="KXB310" s="33"/>
      <c r="KXC310" s="33"/>
      <c r="KXD310" s="33"/>
      <c r="KXE310" s="37"/>
      <c r="KXF310" s="208"/>
      <c r="KXG310" s="207"/>
      <c r="KXH310" s="204"/>
      <c r="KXI310" s="35"/>
      <c r="KXJ310" s="203"/>
      <c r="KXK310" s="203"/>
      <c r="KXL310" s="36"/>
      <c r="KXM310" s="36"/>
      <c r="KXN310" s="203"/>
      <c r="KXO310" s="33"/>
      <c r="KXP310" s="33"/>
      <c r="KXQ310" s="33"/>
      <c r="KXR310" s="33"/>
      <c r="KXS310" s="33"/>
      <c r="KXT310" s="33"/>
      <c r="KXU310" s="37"/>
      <c r="KXV310" s="208"/>
      <c r="KXW310" s="207"/>
      <c r="KXX310" s="204"/>
      <c r="KXY310" s="35"/>
      <c r="KXZ310" s="203"/>
      <c r="KYA310" s="203"/>
      <c r="KYB310" s="36"/>
      <c r="KYC310" s="36"/>
      <c r="KYD310" s="203"/>
      <c r="KYE310" s="33"/>
      <c r="KYF310" s="33"/>
      <c r="KYG310" s="33"/>
      <c r="KYH310" s="33"/>
      <c r="KYI310" s="33"/>
      <c r="KYJ310" s="33"/>
      <c r="KYK310" s="37"/>
      <c r="KYL310" s="208"/>
      <c r="KYM310" s="207"/>
      <c r="KYN310" s="204"/>
      <c r="KYO310" s="35"/>
      <c r="KYP310" s="203"/>
      <c r="KYQ310" s="203"/>
      <c r="KYR310" s="36"/>
      <c r="KYS310" s="36"/>
      <c r="KYT310" s="203"/>
      <c r="KYU310" s="33"/>
      <c r="KYV310" s="33"/>
      <c r="KYW310" s="33"/>
      <c r="KYX310" s="33"/>
      <c r="KYY310" s="33"/>
      <c r="KYZ310" s="33"/>
      <c r="KZA310" s="37"/>
      <c r="KZB310" s="208"/>
      <c r="KZC310" s="207"/>
      <c r="KZD310" s="204"/>
      <c r="KZE310" s="35"/>
      <c r="KZF310" s="203"/>
      <c r="KZG310" s="203"/>
      <c r="KZH310" s="36"/>
      <c r="KZI310" s="36"/>
      <c r="KZJ310" s="203"/>
      <c r="KZK310" s="33"/>
      <c r="KZL310" s="33"/>
      <c r="KZM310" s="33"/>
      <c r="KZN310" s="33"/>
      <c r="KZO310" s="33"/>
      <c r="KZP310" s="33"/>
      <c r="KZQ310" s="37"/>
      <c r="KZR310" s="208"/>
      <c r="KZS310" s="207"/>
      <c r="KZT310" s="204"/>
      <c r="KZU310" s="35"/>
      <c r="KZV310" s="203"/>
      <c r="KZW310" s="203"/>
      <c r="KZX310" s="36"/>
      <c r="KZY310" s="36"/>
      <c r="KZZ310" s="203"/>
      <c r="LAA310" s="33"/>
      <c r="LAB310" s="33"/>
      <c r="LAC310" s="33"/>
      <c r="LAD310" s="33"/>
      <c r="LAE310" s="33"/>
      <c r="LAF310" s="33"/>
      <c r="LAG310" s="37"/>
      <c r="LAH310" s="208"/>
      <c r="LAI310" s="207"/>
      <c r="LAJ310" s="204"/>
      <c r="LAK310" s="35"/>
      <c r="LAL310" s="203"/>
      <c r="LAM310" s="203"/>
      <c r="LAN310" s="36"/>
      <c r="LAO310" s="36"/>
      <c r="LAP310" s="203"/>
      <c r="LAQ310" s="33"/>
      <c r="LAR310" s="33"/>
      <c r="LAS310" s="33"/>
      <c r="LAT310" s="33"/>
      <c r="LAU310" s="33"/>
      <c r="LAV310" s="33"/>
      <c r="LAW310" s="37"/>
      <c r="LAX310" s="208"/>
      <c r="LAY310" s="207"/>
      <c r="LAZ310" s="204"/>
      <c r="LBA310" s="35"/>
      <c r="LBB310" s="203"/>
      <c r="LBC310" s="203"/>
      <c r="LBD310" s="36"/>
      <c r="LBE310" s="36"/>
      <c r="LBF310" s="203"/>
      <c r="LBG310" s="33"/>
      <c r="LBH310" s="33"/>
      <c r="LBI310" s="33"/>
      <c r="LBJ310" s="33"/>
      <c r="LBK310" s="33"/>
      <c r="LBL310" s="33"/>
      <c r="LBM310" s="37"/>
      <c r="LBN310" s="208"/>
      <c r="LBO310" s="207"/>
      <c r="LBP310" s="204"/>
      <c r="LBQ310" s="35"/>
      <c r="LBR310" s="203"/>
      <c r="LBS310" s="203"/>
      <c r="LBT310" s="36"/>
      <c r="LBU310" s="36"/>
      <c r="LBV310" s="203"/>
      <c r="LBW310" s="33"/>
      <c r="LBX310" s="33"/>
      <c r="LBY310" s="33"/>
      <c r="LBZ310" s="33"/>
      <c r="LCA310" s="33"/>
      <c r="LCB310" s="33"/>
      <c r="LCC310" s="37"/>
      <c r="LCD310" s="208"/>
      <c r="LCE310" s="207"/>
      <c r="LCF310" s="204"/>
      <c r="LCG310" s="35"/>
      <c r="LCH310" s="203"/>
      <c r="LCI310" s="203"/>
      <c r="LCJ310" s="36"/>
      <c r="LCK310" s="36"/>
      <c r="LCL310" s="203"/>
      <c r="LCM310" s="33"/>
      <c r="LCN310" s="33"/>
      <c r="LCO310" s="33"/>
      <c r="LCP310" s="33"/>
      <c r="LCQ310" s="33"/>
      <c r="LCR310" s="33"/>
      <c r="LCS310" s="37"/>
      <c r="LCT310" s="208"/>
      <c r="LCU310" s="207"/>
      <c r="LCV310" s="204"/>
      <c r="LCW310" s="35"/>
      <c r="LCX310" s="203"/>
      <c r="LCY310" s="203"/>
      <c r="LCZ310" s="36"/>
      <c r="LDA310" s="36"/>
      <c r="LDB310" s="203"/>
      <c r="LDC310" s="33"/>
      <c r="LDD310" s="33"/>
      <c r="LDE310" s="33"/>
      <c r="LDF310" s="33"/>
      <c r="LDG310" s="33"/>
      <c r="LDH310" s="33"/>
      <c r="LDI310" s="37"/>
      <c r="LDJ310" s="208"/>
      <c r="LDK310" s="207"/>
      <c r="LDL310" s="204"/>
      <c r="LDM310" s="35"/>
      <c r="LDN310" s="203"/>
      <c r="LDO310" s="203"/>
      <c r="LDP310" s="36"/>
      <c r="LDQ310" s="36"/>
      <c r="LDR310" s="203"/>
      <c r="LDS310" s="33"/>
      <c r="LDT310" s="33"/>
      <c r="LDU310" s="33"/>
      <c r="LDV310" s="33"/>
      <c r="LDW310" s="33"/>
      <c r="LDX310" s="33"/>
      <c r="LDY310" s="37"/>
      <c r="LDZ310" s="208"/>
      <c r="LEA310" s="207"/>
      <c r="LEB310" s="204"/>
      <c r="LEC310" s="35"/>
      <c r="LED310" s="203"/>
      <c r="LEE310" s="203"/>
      <c r="LEF310" s="36"/>
      <c r="LEG310" s="36"/>
      <c r="LEH310" s="203"/>
      <c r="LEI310" s="33"/>
      <c r="LEJ310" s="33"/>
      <c r="LEK310" s="33"/>
      <c r="LEL310" s="33"/>
      <c r="LEM310" s="33"/>
      <c r="LEN310" s="33"/>
      <c r="LEO310" s="37"/>
      <c r="LEP310" s="208"/>
      <c r="LEQ310" s="207"/>
      <c r="LER310" s="204"/>
      <c r="LES310" s="35"/>
      <c r="LET310" s="203"/>
      <c r="LEU310" s="203"/>
      <c r="LEV310" s="36"/>
      <c r="LEW310" s="36"/>
      <c r="LEX310" s="203"/>
      <c r="LEY310" s="33"/>
      <c r="LEZ310" s="33"/>
      <c r="LFA310" s="33"/>
      <c r="LFB310" s="33"/>
      <c r="LFC310" s="33"/>
      <c r="LFD310" s="33"/>
      <c r="LFE310" s="37"/>
      <c r="LFF310" s="208"/>
      <c r="LFG310" s="207"/>
      <c r="LFH310" s="204"/>
      <c r="LFI310" s="35"/>
      <c r="LFJ310" s="203"/>
      <c r="LFK310" s="203"/>
      <c r="LFL310" s="36"/>
      <c r="LFM310" s="36"/>
      <c r="LFN310" s="203"/>
      <c r="LFO310" s="33"/>
      <c r="LFP310" s="33"/>
      <c r="LFQ310" s="33"/>
      <c r="LFR310" s="33"/>
      <c r="LFS310" s="33"/>
      <c r="LFT310" s="33"/>
      <c r="LFU310" s="37"/>
      <c r="LFV310" s="208"/>
      <c r="LFW310" s="207"/>
      <c r="LFX310" s="204"/>
      <c r="LFY310" s="35"/>
      <c r="LFZ310" s="203"/>
      <c r="LGA310" s="203"/>
      <c r="LGB310" s="36"/>
      <c r="LGC310" s="36"/>
      <c r="LGD310" s="203"/>
      <c r="LGE310" s="33"/>
      <c r="LGF310" s="33"/>
      <c r="LGG310" s="33"/>
      <c r="LGH310" s="33"/>
      <c r="LGI310" s="33"/>
      <c r="LGJ310" s="33"/>
      <c r="LGK310" s="37"/>
      <c r="LGL310" s="208"/>
      <c r="LGM310" s="207"/>
      <c r="LGN310" s="204"/>
      <c r="LGO310" s="35"/>
      <c r="LGP310" s="203"/>
      <c r="LGQ310" s="203"/>
      <c r="LGR310" s="36"/>
      <c r="LGS310" s="36"/>
      <c r="LGT310" s="203"/>
      <c r="LGU310" s="33"/>
      <c r="LGV310" s="33"/>
      <c r="LGW310" s="33"/>
      <c r="LGX310" s="33"/>
      <c r="LGY310" s="33"/>
      <c r="LGZ310" s="33"/>
      <c r="LHA310" s="37"/>
      <c r="LHB310" s="208"/>
      <c r="LHC310" s="207"/>
      <c r="LHD310" s="204"/>
      <c r="LHE310" s="35"/>
      <c r="LHF310" s="203"/>
      <c r="LHG310" s="203"/>
      <c r="LHH310" s="36"/>
      <c r="LHI310" s="36"/>
      <c r="LHJ310" s="203"/>
      <c r="LHK310" s="33"/>
      <c r="LHL310" s="33"/>
      <c r="LHM310" s="33"/>
      <c r="LHN310" s="33"/>
      <c r="LHO310" s="33"/>
      <c r="LHP310" s="33"/>
      <c r="LHQ310" s="37"/>
      <c r="LHR310" s="208"/>
      <c r="LHS310" s="207"/>
      <c r="LHT310" s="204"/>
      <c r="LHU310" s="35"/>
      <c r="LHV310" s="203"/>
      <c r="LHW310" s="203"/>
      <c r="LHX310" s="36"/>
      <c r="LHY310" s="36"/>
      <c r="LHZ310" s="203"/>
      <c r="LIA310" s="33"/>
      <c r="LIB310" s="33"/>
      <c r="LIC310" s="33"/>
      <c r="LID310" s="33"/>
      <c r="LIE310" s="33"/>
      <c r="LIF310" s="33"/>
      <c r="LIG310" s="37"/>
      <c r="LIH310" s="208"/>
      <c r="LII310" s="207"/>
      <c r="LIJ310" s="204"/>
      <c r="LIK310" s="35"/>
      <c r="LIL310" s="203"/>
      <c r="LIM310" s="203"/>
      <c r="LIN310" s="36"/>
      <c r="LIO310" s="36"/>
      <c r="LIP310" s="203"/>
      <c r="LIQ310" s="33"/>
      <c r="LIR310" s="33"/>
      <c r="LIS310" s="33"/>
      <c r="LIT310" s="33"/>
      <c r="LIU310" s="33"/>
      <c r="LIV310" s="33"/>
      <c r="LIW310" s="37"/>
      <c r="LIX310" s="208"/>
      <c r="LIY310" s="207"/>
      <c r="LIZ310" s="204"/>
      <c r="LJA310" s="35"/>
      <c r="LJB310" s="203"/>
      <c r="LJC310" s="203"/>
      <c r="LJD310" s="36"/>
      <c r="LJE310" s="36"/>
      <c r="LJF310" s="203"/>
      <c r="LJG310" s="33"/>
      <c r="LJH310" s="33"/>
      <c r="LJI310" s="33"/>
      <c r="LJJ310" s="33"/>
      <c r="LJK310" s="33"/>
      <c r="LJL310" s="33"/>
      <c r="LJM310" s="37"/>
      <c r="LJN310" s="208"/>
      <c r="LJO310" s="207"/>
      <c r="LJP310" s="204"/>
      <c r="LJQ310" s="35"/>
      <c r="LJR310" s="203"/>
      <c r="LJS310" s="203"/>
      <c r="LJT310" s="36"/>
      <c r="LJU310" s="36"/>
      <c r="LJV310" s="203"/>
      <c r="LJW310" s="33"/>
      <c r="LJX310" s="33"/>
      <c r="LJY310" s="33"/>
      <c r="LJZ310" s="33"/>
      <c r="LKA310" s="33"/>
      <c r="LKB310" s="33"/>
      <c r="LKC310" s="37"/>
      <c r="LKD310" s="208"/>
      <c r="LKE310" s="207"/>
      <c r="LKF310" s="204"/>
      <c r="LKG310" s="35"/>
      <c r="LKH310" s="203"/>
      <c r="LKI310" s="203"/>
      <c r="LKJ310" s="36"/>
      <c r="LKK310" s="36"/>
      <c r="LKL310" s="203"/>
      <c r="LKM310" s="33"/>
      <c r="LKN310" s="33"/>
      <c r="LKO310" s="33"/>
      <c r="LKP310" s="33"/>
      <c r="LKQ310" s="33"/>
      <c r="LKR310" s="33"/>
      <c r="LKS310" s="37"/>
      <c r="LKT310" s="208"/>
      <c r="LKU310" s="207"/>
      <c r="LKV310" s="204"/>
      <c r="LKW310" s="35"/>
      <c r="LKX310" s="203"/>
      <c r="LKY310" s="203"/>
      <c r="LKZ310" s="36"/>
      <c r="LLA310" s="36"/>
      <c r="LLB310" s="203"/>
      <c r="LLC310" s="33"/>
      <c r="LLD310" s="33"/>
      <c r="LLE310" s="33"/>
      <c r="LLF310" s="33"/>
      <c r="LLG310" s="33"/>
      <c r="LLH310" s="33"/>
      <c r="LLI310" s="37"/>
      <c r="LLJ310" s="208"/>
      <c r="LLK310" s="207"/>
      <c r="LLL310" s="204"/>
      <c r="LLM310" s="35"/>
      <c r="LLN310" s="203"/>
      <c r="LLO310" s="203"/>
      <c r="LLP310" s="36"/>
      <c r="LLQ310" s="36"/>
      <c r="LLR310" s="203"/>
      <c r="LLS310" s="33"/>
      <c r="LLT310" s="33"/>
      <c r="LLU310" s="33"/>
      <c r="LLV310" s="33"/>
      <c r="LLW310" s="33"/>
      <c r="LLX310" s="33"/>
      <c r="LLY310" s="37"/>
      <c r="LLZ310" s="208"/>
      <c r="LMA310" s="207"/>
      <c r="LMB310" s="204"/>
      <c r="LMC310" s="35"/>
      <c r="LMD310" s="203"/>
      <c r="LME310" s="203"/>
      <c r="LMF310" s="36"/>
      <c r="LMG310" s="36"/>
      <c r="LMH310" s="203"/>
      <c r="LMI310" s="33"/>
      <c r="LMJ310" s="33"/>
      <c r="LMK310" s="33"/>
      <c r="LML310" s="33"/>
      <c r="LMM310" s="33"/>
      <c r="LMN310" s="33"/>
      <c r="LMO310" s="37"/>
      <c r="LMP310" s="208"/>
      <c r="LMQ310" s="207"/>
      <c r="LMR310" s="204"/>
      <c r="LMS310" s="35"/>
      <c r="LMT310" s="203"/>
      <c r="LMU310" s="203"/>
      <c r="LMV310" s="36"/>
      <c r="LMW310" s="36"/>
      <c r="LMX310" s="203"/>
      <c r="LMY310" s="33"/>
      <c r="LMZ310" s="33"/>
      <c r="LNA310" s="33"/>
      <c r="LNB310" s="33"/>
      <c r="LNC310" s="33"/>
      <c r="LND310" s="33"/>
      <c r="LNE310" s="37"/>
      <c r="LNF310" s="208"/>
      <c r="LNG310" s="207"/>
      <c r="LNH310" s="204"/>
      <c r="LNI310" s="35"/>
      <c r="LNJ310" s="203"/>
      <c r="LNK310" s="203"/>
      <c r="LNL310" s="36"/>
      <c r="LNM310" s="36"/>
      <c r="LNN310" s="203"/>
      <c r="LNO310" s="33"/>
      <c r="LNP310" s="33"/>
      <c r="LNQ310" s="33"/>
      <c r="LNR310" s="33"/>
      <c r="LNS310" s="33"/>
      <c r="LNT310" s="33"/>
      <c r="LNU310" s="37"/>
      <c r="LNV310" s="208"/>
      <c r="LNW310" s="207"/>
      <c r="LNX310" s="204"/>
      <c r="LNY310" s="35"/>
      <c r="LNZ310" s="203"/>
      <c r="LOA310" s="203"/>
      <c r="LOB310" s="36"/>
      <c r="LOC310" s="36"/>
      <c r="LOD310" s="203"/>
      <c r="LOE310" s="33"/>
      <c r="LOF310" s="33"/>
      <c r="LOG310" s="33"/>
      <c r="LOH310" s="33"/>
      <c r="LOI310" s="33"/>
      <c r="LOJ310" s="33"/>
      <c r="LOK310" s="37"/>
      <c r="LOL310" s="208"/>
      <c r="LOM310" s="207"/>
      <c r="LON310" s="204"/>
      <c r="LOO310" s="35"/>
      <c r="LOP310" s="203"/>
      <c r="LOQ310" s="203"/>
      <c r="LOR310" s="36"/>
      <c r="LOS310" s="36"/>
      <c r="LOT310" s="203"/>
      <c r="LOU310" s="33"/>
      <c r="LOV310" s="33"/>
      <c r="LOW310" s="33"/>
      <c r="LOX310" s="33"/>
      <c r="LOY310" s="33"/>
      <c r="LOZ310" s="33"/>
      <c r="LPA310" s="37"/>
      <c r="LPB310" s="208"/>
      <c r="LPC310" s="207"/>
      <c r="LPD310" s="204"/>
      <c r="LPE310" s="35"/>
      <c r="LPF310" s="203"/>
      <c r="LPG310" s="203"/>
      <c r="LPH310" s="36"/>
      <c r="LPI310" s="36"/>
      <c r="LPJ310" s="203"/>
      <c r="LPK310" s="33"/>
      <c r="LPL310" s="33"/>
      <c r="LPM310" s="33"/>
      <c r="LPN310" s="33"/>
      <c r="LPO310" s="33"/>
      <c r="LPP310" s="33"/>
      <c r="LPQ310" s="37"/>
      <c r="LPR310" s="208"/>
      <c r="LPS310" s="207"/>
      <c r="LPT310" s="204"/>
      <c r="LPU310" s="35"/>
      <c r="LPV310" s="203"/>
      <c r="LPW310" s="203"/>
      <c r="LPX310" s="36"/>
      <c r="LPY310" s="36"/>
      <c r="LPZ310" s="203"/>
      <c r="LQA310" s="33"/>
      <c r="LQB310" s="33"/>
      <c r="LQC310" s="33"/>
      <c r="LQD310" s="33"/>
      <c r="LQE310" s="33"/>
      <c r="LQF310" s="33"/>
      <c r="LQG310" s="37"/>
      <c r="LQH310" s="208"/>
      <c r="LQI310" s="207"/>
      <c r="LQJ310" s="204"/>
      <c r="LQK310" s="35"/>
      <c r="LQL310" s="203"/>
      <c r="LQM310" s="203"/>
      <c r="LQN310" s="36"/>
      <c r="LQO310" s="36"/>
      <c r="LQP310" s="203"/>
      <c r="LQQ310" s="33"/>
      <c r="LQR310" s="33"/>
      <c r="LQS310" s="33"/>
      <c r="LQT310" s="33"/>
      <c r="LQU310" s="33"/>
      <c r="LQV310" s="33"/>
      <c r="LQW310" s="37"/>
      <c r="LQX310" s="208"/>
      <c r="LQY310" s="207"/>
      <c r="LQZ310" s="204"/>
      <c r="LRA310" s="35"/>
      <c r="LRB310" s="203"/>
      <c r="LRC310" s="203"/>
      <c r="LRD310" s="36"/>
      <c r="LRE310" s="36"/>
      <c r="LRF310" s="203"/>
      <c r="LRG310" s="33"/>
      <c r="LRH310" s="33"/>
      <c r="LRI310" s="33"/>
      <c r="LRJ310" s="33"/>
      <c r="LRK310" s="33"/>
      <c r="LRL310" s="33"/>
      <c r="LRM310" s="37"/>
      <c r="LRN310" s="208"/>
      <c r="LRO310" s="207"/>
      <c r="LRP310" s="204"/>
      <c r="LRQ310" s="35"/>
      <c r="LRR310" s="203"/>
      <c r="LRS310" s="203"/>
      <c r="LRT310" s="36"/>
      <c r="LRU310" s="36"/>
      <c r="LRV310" s="203"/>
      <c r="LRW310" s="33"/>
      <c r="LRX310" s="33"/>
      <c r="LRY310" s="33"/>
      <c r="LRZ310" s="33"/>
      <c r="LSA310" s="33"/>
      <c r="LSB310" s="33"/>
      <c r="LSC310" s="37"/>
      <c r="LSD310" s="208"/>
      <c r="LSE310" s="207"/>
      <c r="LSF310" s="204"/>
      <c r="LSG310" s="35"/>
      <c r="LSH310" s="203"/>
      <c r="LSI310" s="203"/>
      <c r="LSJ310" s="36"/>
      <c r="LSK310" s="36"/>
      <c r="LSL310" s="203"/>
      <c r="LSM310" s="33"/>
      <c r="LSN310" s="33"/>
      <c r="LSO310" s="33"/>
      <c r="LSP310" s="33"/>
      <c r="LSQ310" s="33"/>
      <c r="LSR310" s="33"/>
      <c r="LSS310" s="37"/>
      <c r="LST310" s="208"/>
      <c r="LSU310" s="207"/>
      <c r="LSV310" s="204"/>
      <c r="LSW310" s="35"/>
      <c r="LSX310" s="203"/>
      <c r="LSY310" s="203"/>
      <c r="LSZ310" s="36"/>
      <c r="LTA310" s="36"/>
      <c r="LTB310" s="203"/>
      <c r="LTC310" s="33"/>
      <c r="LTD310" s="33"/>
      <c r="LTE310" s="33"/>
      <c r="LTF310" s="33"/>
      <c r="LTG310" s="33"/>
      <c r="LTH310" s="33"/>
      <c r="LTI310" s="37"/>
      <c r="LTJ310" s="208"/>
      <c r="LTK310" s="207"/>
      <c r="LTL310" s="204"/>
      <c r="LTM310" s="35"/>
      <c r="LTN310" s="203"/>
      <c r="LTO310" s="203"/>
      <c r="LTP310" s="36"/>
      <c r="LTQ310" s="36"/>
      <c r="LTR310" s="203"/>
      <c r="LTS310" s="33"/>
      <c r="LTT310" s="33"/>
      <c r="LTU310" s="33"/>
      <c r="LTV310" s="33"/>
      <c r="LTW310" s="33"/>
      <c r="LTX310" s="33"/>
      <c r="LTY310" s="37"/>
      <c r="LTZ310" s="208"/>
      <c r="LUA310" s="207"/>
      <c r="LUB310" s="204"/>
      <c r="LUC310" s="35"/>
      <c r="LUD310" s="203"/>
      <c r="LUE310" s="203"/>
      <c r="LUF310" s="36"/>
      <c r="LUG310" s="36"/>
      <c r="LUH310" s="203"/>
      <c r="LUI310" s="33"/>
      <c r="LUJ310" s="33"/>
      <c r="LUK310" s="33"/>
      <c r="LUL310" s="33"/>
      <c r="LUM310" s="33"/>
      <c r="LUN310" s="33"/>
      <c r="LUO310" s="37"/>
      <c r="LUP310" s="208"/>
      <c r="LUQ310" s="207"/>
      <c r="LUR310" s="204"/>
      <c r="LUS310" s="35"/>
      <c r="LUT310" s="203"/>
      <c r="LUU310" s="203"/>
      <c r="LUV310" s="36"/>
      <c r="LUW310" s="36"/>
      <c r="LUX310" s="203"/>
      <c r="LUY310" s="33"/>
      <c r="LUZ310" s="33"/>
      <c r="LVA310" s="33"/>
      <c r="LVB310" s="33"/>
      <c r="LVC310" s="33"/>
      <c r="LVD310" s="33"/>
      <c r="LVE310" s="37"/>
      <c r="LVF310" s="208"/>
      <c r="LVG310" s="207"/>
      <c r="LVH310" s="204"/>
      <c r="LVI310" s="35"/>
      <c r="LVJ310" s="203"/>
      <c r="LVK310" s="203"/>
      <c r="LVL310" s="36"/>
      <c r="LVM310" s="36"/>
      <c r="LVN310" s="203"/>
      <c r="LVO310" s="33"/>
      <c r="LVP310" s="33"/>
      <c r="LVQ310" s="33"/>
      <c r="LVR310" s="33"/>
      <c r="LVS310" s="33"/>
      <c r="LVT310" s="33"/>
      <c r="LVU310" s="37"/>
      <c r="LVV310" s="208"/>
      <c r="LVW310" s="207"/>
      <c r="LVX310" s="204"/>
      <c r="LVY310" s="35"/>
      <c r="LVZ310" s="203"/>
      <c r="LWA310" s="203"/>
      <c r="LWB310" s="36"/>
      <c r="LWC310" s="36"/>
      <c r="LWD310" s="203"/>
      <c r="LWE310" s="33"/>
      <c r="LWF310" s="33"/>
      <c r="LWG310" s="33"/>
      <c r="LWH310" s="33"/>
      <c r="LWI310" s="33"/>
      <c r="LWJ310" s="33"/>
      <c r="LWK310" s="37"/>
      <c r="LWL310" s="208"/>
      <c r="LWM310" s="207"/>
      <c r="LWN310" s="204"/>
      <c r="LWO310" s="35"/>
      <c r="LWP310" s="203"/>
      <c r="LWQ310" s="203"/>
      <c r="LWR310" s="36"/>
      <c r="LWS310" s="36"/>
      <c r="LWT310" s="203"/>
      <c r="LWU310" s="33"/>
      <c r="LWV310" s="33"/>
      <c r="LWW310" s="33"/>
      <c r="LWX310" s="33"/>
      <c r="LWY310" s="33"/>
      <c r="LWZ310" s="33"/>
      <c r="LXA310" s="37"/>
      <c r="LXB310" s="208"/>
      <c r="LXC310" s="207"/>
      <c r="LXD310" s="204"/>
      <c r="LXE310" s="35"/>
      <c r="LXF310" s="203"/>
      <c r="LXG310" s="203"/>
      <c r="LXH310" s="36"/>
      <c r="LXI310" s="36"/>
      <c r="LXJ310" s="203"/>
      <c r="LXK310" s="33"/>
      <c r="LXL310" s="33"/>
      <c r="LXM310" s="33"/>
      <c r="LXN310" s="33"/>
      <c r="LXO310" s="33"/>
      <c r="LXP310" s="33"/>
      <c r="LXQ310" s="37"/>
      <c r="LXR310" s="208"/>
      <c r="LXS310" s="207"/>
      <c r="LXT310" s="204"/>
      <c r="LXU310" s="35"/>
      <c r="LXV310" s="203"/>
      <c r="LXW310" s="203"/>
      <c r="LXX310" s="36"/>
      <c r="LXY310" s="36"/>
      <c r="LXZ310" s="203"/>
      <c r="LYA310" s="33"/>
      <c r="LYB310" s="33"/>
      <c r="LYC310" s="33"/>
      <c r="LYD310" s="33"/>
      <c r="LYE310" s="33"/>
      <c r="LYF310" s="33"/>
      <c r="LYG310" s="37"/>
      <c r="LYH310" s="208"/>
      <c r="LYI310" s="207"/>
      <c r="LYJ310" s="204"/>
      <c r="LYK310" s="35"/>
      <c r="LYL310" s="203"/>
      <c r="LYM310" s="203"/>
      <c r="LYN310" s="36"/>
      <c r="LYO310" s="36"/>
      <c r="LYP310" s="203"/>
      <c r="LYQ310" s="33"/>
      <c r="LYR310" s="33"/>
      <c r="LYS310" s="33"/>
      <c r="LYT310" s="33"/>
      <c r="LYU310" s="33"/>
      <c r="LYV310" s="33"/>
      <c r="LYW310" s="37"/>
      <c r="LYX310" s="208"/>
      <c r="LYY310" s="207"/>
      <c r="LYZ310" s="204"/>
      <c r="LZA310" s="35"/>
      <c r="LZB310" s="203"/>
      <c r="LZC310" s="203"/>
      <c r="LZD310" s="36"/>
      <c r="LZE310" s="36"/>
      <c r="LZF310" s="203"/>
      <c r="LZG310" s="33"/>
      <c r="LZH310" s="33"/>
      <c r="LZI310" s="33"/>
      <c r="LZJ310" s="33"/>
      <c r="LZK310" s="33"/>
      <c r="LZL310" s="33"/>
      <c r="LZM310" s="37"/>
      <c r="LZN310" s="208"/>
      <c r="LZO310" s="207"/>
      <c r="LZP310" s="204"/>
      <c r="LZQ310" s="35"/>
      <c r="LZR310" s="203"/>
      <c r="LZS310" s="203"/>
      <c r="LZT310" s="36"/>
      <c r="LZU310" s="36"/>
      <c r="LZV310" s="203"/>
      <c r="LZW310" s="33"/>
      <c r="LZX310" s="33"/>
      <c r="LZY310" s="33"/>
      <c r="LZZ310" s="33"/>
      <c r="MAA310" s="33"/>
      <c r="MAB310" s="33"/>
      <c r="MAC310" s="37"/>
      <c r="MAD310" s="208"/>
      <c r="MAE310" s="207"/>
      <c r="MAF310" s="204"/>
      <c r="MAG310" s="35"/>
      <c r="MAH310" s="203"/>
      <c r="MAI310" s="203"/>
      <c r="MAJ310" s="36"/>
      <c r="MAK310" s="36"/>
      <c r="MAL310" s="203"/>
      <c r="MAM310" s="33"/>
      <c r="MAN310" s="33"/>
      <c r="MAO310" s="33"/>
      <c r="MAP310" s="33"/>
      <c r="MAQ310" s="33"/>
      <c r="MAR310" s="33"/>
      <c r="MAS310" s="37"/>
      <c r="MAT310" s="208"/>
      <c r="MAU310" s="207"/>
      <c r="MAV310" s="204"/>
      <c r="MAW310" s="35"/>
      <c r="MAX310" s="203"/>
      <c r="MAY310" s="203"/>
      <c r="MAZ310" s="36"/>
      <c r="MBA310" s="36"/>
      <c r="MBB310" s="203"/>
      <c r="MBC310" s="33"/>
      <c r="MBD310" s="33"/>
      <c r="MBE310" s="33"/>
      <c r="MBF310" s="33"/>
      <c r="MBG310" s="33"/>
      <c r="MBH310" s="33"/>
      <c r="MBI310" s="37"/>
      <c r="MBJ310" s="208"/>
      <c r="MBK310" s="207"/>
      <c r="MBL310" s="204"/>
      <c r="MBM310" s="35"/>
      <c r="MBN310" s="203"/>
      <c r="MBO310" s="203"/>
      <c r="MBP310" s="36"/>
      <c r="MBQ310" s="36"/>
      <c r="MBR310" s="203"/>
      <c r="MBS310" s="33"/>
      <c r="MBT310" s="33"/>
      <c r="MBU310" s="33"/>
      <c r="MBV310" s="33"/>
      <c r="MBW310" s="33"/>
      <c r="MBX310" s="33"/>
      <c r="MBY310" s="37"/>
      <c r="MBZ310" s="208"/>
      <c r="MCA310" s="207"/>
      <c r="MCB310" s="204"/>
      <c r="MCC310" s="35"/>
      <c r="MCD310" s="203"/>
      <c r="MCE310" s="203"/>
      <c r="MCF310" s="36"/>
      <c r="MCG310" s="36"/>
      <c r="MCH310" s="203"/>
      <c r="MCI310" s="33"/>
      <c r="MCJ310" s="33"/>
      <c r="MCK310" s="33"/>
      <c r="MCL310" s="33"/>
      <c r="MCM310" s="33"/>
      <c r="MCN310" s="33"/>
      <c r="MCO310" s="37"/>
      <c r="MCP310" s="208"/>
      <c r="MCQ310" s="207"/>
      <c r="MCR310" s="204"/>
      <c r="MCS310" s="35"/>
      <c r="MCT310" s="203"/>
      <c r="MCU310" s="203"/>
      <c r="MCV310" s="36"/>
      <c r="MCW310" s="36"/>
      <c r="MCX310" s="203"/>
      <c r="MCY310" s="33"/>
      <c r="MCZ310" s="33"/>
      <c r="MDA310" s="33"/>
      <c r="MDB310" s="33"/>
      <c r="MDC310" s="33"/>
      <c r="MDD310" s="33"/>
      <c r="MDE310" s="37"/>
      <c r="MDF310" s="208"/>
      <c r="MDG310" s="207"/>
      <c r="MDH310" s="204"/>
      <c r="MDI310" s="35"/>
      <c r="MDJ310" s="203"/>
      <c r="MDK310" s="203"/>
      <c r="MDL310" s="36"/>
      <c r="MDM310" s="36"/>
      <c r="MDN310" s="203"/>
      <c r="MDO310" s="33"/>
      <c r="MDP310" s="33"/>
      <c r="MDQ310" s="33"/>
      <c r="MDR310" s="33"/>
      <c r="MDS310" s="33"/>
      <c r="MDT310" s="33"/>
      <c r="MDU310" s="37"/>
      <c r="MDV310" s="208"/>
      <c r="MDW310" s="207"/>
      <c r="MDX310" s="204"/>
      <c r="MDY310" s="35"/>
      <c r="MDZ310" s="203"/>
      <c r="MEA310" s="203"/>
      <c r="MEB310" s="36"/>
      <c r="MEC310" s="36"/>
      <c r="MED310" s="203"/>
      <c r="MEE310" s="33"/>
      <c r="MEF310" s="33"/>
      <c r="MEG310" s="33"/>
      <c r="MEH310" s="33"/>
      <c r="MEI310" s="33"/>
      <c r="MEJ310" s="33"/>
      <c r="MEK310" s="37"/>
      <c r="MEL310" s="208"/>
      <c r="MEM310" s="207"/>
      <c r="MEN310" s="204"/>
      <c r="MEO310" s="35"/>
      <c r="MEP310" s="203"/>
      <c r="MEQ310" s="203"/>
      <c r="MER310" s="36"/>
      <c r="MES310" s="36"/>
      <c r="MET310" s="203"/>
      <c r="MEU310" s="33"/>
      <c r="MEV310" s="33"/>
      <c r="MEW310" s="33"/>
      <c r="MEX310" s="33"/>
      <c r="MEY310" s="33"/>
      <c r="MEZ310" s="33"/>
      <c r="MFA310" s="37"/>
      <c r="MFB310" s="208"/>
      <c r="MFC310" s="207"/>
      <c r="MFD310" s="204"/>
      <c r="MFE310" s="35"/>
      <c r="MFF310" s="203"/>
      <c r="MFG310" s="203"/>
      <c r="MFH310" s="36"/>
      <c r="MFI310" s="36"/>
      <c r="MFJ310" s="203"/>
      <c r="MFK310" s="33"/>
      <c r="MFL310" s="33"/>
      <c r="MFM310" s="33"/>
      <c r="MFN310" s="33"/>
      <c r="MFO310" s="33"/>
      <c r="MFP310" s="33"/>
      <c r="MFQ310" s="37"/>
      <c r="MFR310" s="208"/>
      <c r="MFS310" s="207"/>
      <c r="MFT310" s="204"/>
      <c r="MFU310" s="35"/>
      <c r="MFV310" s="203"/>
      <c r="MFW310" s="203"/>
      <c r="MFX310" s="36"/>
      <c r="MFY310" s="36"/>
      <c r="MFZ310" s="203"/>
      <c r="MGA310" s="33"/>
      <c r="MGB310" s="33"/>
      <c r="MGC310" s="33"/>
      <c r="MGD310" s="33"/>
      <c r="MGE310" s="33"/>
      <c r="MGF310" s="33"/>
      <c r="MGG310" s="37"/>
      <c r="MGH310" s="208"/>
      <c r="MGI310" s="207"/>
      <c r="MGJ310" s="204"/>
      <c r="MGK310" s="35"/>
      <c r="MGL310" s="203"/>
      <c r="MGM310" s="203"/>
      <c r="MGN310" s="36"/>
      <c r="MGO310" s="36"/>
      <c r="MGP310" s="203"/>
      <c r="MGQ310" s="33"/>
      <c r="MGR310" s="33"/>
      <c r="MGS310" s="33"/>
      <c r="MGT310" s="33"/>
      <c r="MGU310" s="33"/>
      <c r="MGV310" s="33"/>
      <c r="MGW310" s="37"/>
      <c r="MGX310" s="208"/>
      <c r="MGY310" s="207"/>
      <c r="MGZ310" s="204"/>
      <c r="MHA310" s="35"/>
      <c r="MHB310" s="203"/>
      <c r="MHC310" s="203"/>
      <c r="MHD310" s="36"/>
      <c r="MHE310" s="36"/>
      <c r="MHF310" s="203"/>
      <c r="MHG310" s="33"/>
      <c r="MHH310" s="33"/>
      <c r="MHI310" s="33"/>
      <c r="MHJ310" s="33"/>
      <c r="MHK310" s="33"/>
      <c r="MHL310" s="33"/>
      <c r="MHM310" s="37"/>
      <c r="MHN310" s="208"/>
      <c r="MHO310" s="207"/>
      <c r="MHP310" s="204"/>
      <c r="MHQ310" s="35"/>
      <c r="MHR310" s="203"/>
      <c r="MHS310" s="203"/>
      <c r="MHT310" s="36"/>
      <c r="MHU310" s="36"/>
      <c r="MHV310" s="203"/>
      <c r="MHW310" s="33"/>
      <c r="MHX310" s="33"/>
      <c r="MHY310" s="33"/>
      <c r="MHZ310" s="33"/>
      <c r="MIA310" s="33"/>
      <c r="MIB310" s="33"/>
      <c r="MIC310" s="37"/>
      <c r="MID310" s="208"/>
      <c r="MIE310" s="207"/>
      <c r="MIF310" s="204"/>
      <c r="MIG310" s="35"/>
      <c r="MIH310" s="203"/>
      <c r="MII310" s="203"/>
      <c r="MIJ310" s="36"/>
      <c r="MIK310" s="36"/>
      <c r="MIL310" s="203"/>
      <c r="MIM310" s="33"/>
      <c r="MIN310" s="33"/>
      <c r="MIO310" s="33"/>
      <c r="MIP310" s="33"/>
      <c r="MIQ310" s="33"/>
      <c r="MIR310" s="33"/>
      <c r="MIS310" s="37"/>
      <c r="MIT310" s="208"/>
      <c r="MIU310" s="207"/>
      <c r="MIV310" s="204"/>
      <c r="MIW310" s="35"/>
      <c r="MIX310" s="203"/>
      <c r="MIY310" s="203"/>
      <c r="MIZ310" s="36"/>
      <c r="MJA310" s="36"/>
      <c r="MJB310" s="203"/>
      <c r="MJC310" s="33"/>
      <c r="MJD310" s="33"/>
      <c r="MJE310" s="33"/>
      <c r="MJF310" s="33"/>
      <c r="MJG310" s="33"/>
      <c r="MJH310" s="33"/>
      <c r="MJI310" s="37"/>
      <c r="MJJ310" s="208"/>
      <c r="MJK310" s="207"/>
      <c r="MJL310" s="204"/>
      <c r="MJM310" s="35"/>
      <c r="MJN310" s="203"/>
      <c r="MJO310" s="203"/>
      <c r="MJP310" s="36"/>
      <c r="MJQ310" s="36"/>
      <c r="MJR310" s="203"/>
      <c r="MJS310" s="33"/>
      <c r="MJT310" s="33"/>
      <c r="MJU310" s="33"/>
      <c r="MJV310" s="33"/>
      <c r="MJW310" s="33"/>
      <c r="MJX310" s="33"/>
      <c r="MJY310" s="37"/>
      <c r="MJZ310" s="208"/>
      <c r="MKA310" s="207"/>
      <c r="MKB310" s="204"/>
      <c r="MKC310" s="35"/>
      <c r="MKD310" s="203"/>
      <c r="MKE310" s="203"/>
      <c r="MKF310" s="36"/>
      <c r="MKG310" s="36"/>
      <c r="MKH310" s="203"/>
      <c r="MKI310" s="33"/>
      <c r="MKJ310" s="33"/>
      <c r="MKK310" s="33"/>
      <c r="MKL310" s="33"/>
      <c r="MKM310" s="33"/>
      <c r="MKN310" s="33"/>
      <c r="MKO310" s="37"/>
      <c r="MKP310" s="208"/>
      <c r="MKQ310" s="207"/>
      <c r="MKR310" s="204"/>
      <c r="MKS310" s="35"/>
      <c r="MKT310" s="203"/>
      <c r="MKU310" s="203"/>
      <c r="MKV310" s="36"/>
      <c r="MKW310" s="36"/>
      <c r="MKX310" s="203"/>
      <c r="MKY310" s="33"/>
      <c r="MKZ310" s="33"/>
      <c r="MLA310" s="33"/>
      <c r="MLB310" s="33"/>
      <c r="MLC310" s="33"/>
      <c r="MLD310" s="33"/>
      <c r="MLE310" s="37"/>
      <c r="MLF310" s="208"/>
      <c r="MLG310" s="207"/>
      <c r="MLH310" s="204"/>
      <c r="MLI310" s="35"/>
      <c r="MLJ310" s="203"/>
      <c r="MLK310" s="203"/>
      <c r="MLL310" s="36"/>
      <c r="MLM310" s="36"/>
      <c r="MLN310" s="203"/>
      <c r="MLO310" s="33"/>
      <c r="MLP310" s="33"/>
      <c r="MLQ310" s="33"/>
      <c r="MLR310" s="33"/>
      <c r="MLS310" s="33"/>
      <c r="MLT310" s="33"/>
      <c r="MLU310" s="37"/>
      <c r="MLV310" s="208"/>
      <c r="MLW310" s="207"/>
      <c r="MLX310" s="204"/>
      <c r="MLY310" s="35"/>
      <c r="MLZ310" s="203"/>
      <c r="MMA310" s="203"/>
      <c r="MMB310" s="36"/>
      <c r="MMC310" s="36"/>
      <c r="MMD310" s="203"/>
      <c r="MME310" s="33"/>
      <c r="MMF310" s="33"/>
      <c r="MMG310" s="33"/>
      <c r="MMH310" s="33"/>
      <c r="MMI310" s="33"/>
      <c r="MMJ310" s="33"/>
      <c r="MMK310" s="37"/>
      <c r="MML310" s="208"/>
      <c r="MMM310" s="207"/>
      <c r="MMN310" s="204"/>
      <c r="MMO310" s="35"/>
      <c r="MMP310" s="203"/>
      <c r="MMQ310" s="203"/>
      <c r="MMR310" s="36"/>
      <c r="MMS310" s="36"/>
      <c r="MMT310" s="203"/>
      <c r="MMU310" s="33"/>
      <c r="MMV310" s="33"/>
      <c r="MMW310" s="33"/>
      <c r="MMX310" s="33"/>
      <c r="MMY310" s="33"/>
      <c r="MMZ310" s="33"/>
      <c r="MNA310" s="37"/>
      <c r="MNB310" s="208"/>
      <c r="MNC310" s="207"/>
      <c r="MND310" s="204"/>
      <c r="MNE310" s="35"/>
      <c r="MNF310" s="203"/>
      <c r="MNG310" s="203"/>
      <c r="MNH310" s="36"/>
      <c r="MNI310" s="36"/>
      <c r="MNJ310" s="203"/>
      <c r="MNK310" s="33"/>
      <c r="MNL310" s="33"/>
      <c r="MNM310" s="33"/>
      <c r="MNN310" s="33"/>
      <c r="MNO310" s="33"/>
      <c r="MNP310" s="33"/>
      <c r="MNQ310" s="37"/>
      <c r="MNR310" s="208"/>
      <c r="MNS310" s="207"/>
      <c r="MNT310" s="204"/>
      <c r="MNU310" s="35"/>
      <c r="MNV310" s="203"/>
      <c r="MNW310" s="203"/>
      <c r="MNX310" s="36"/>
      <c r="MNY310" s="36"/>
      <c r="MNZ310" s="203"/>
      <c r="MOA310" s="33"/>
      <c r="MOB310" s="33"/>
      <c r="MOC310" s="33"/>
      <c r="MOD310" s="33"/>
      <c r="MOE310" s="33"/>
      <c r="MOF310" s="33"/>
      <c r="MOG310" s="37"/>
      <c r="MOH310" s="208"/>
      <c r="MOI310" s="207"/>
      <c r="MOJ310" s="204"/>
      <c r="MOK310" s="35"/>
      <c r="MOL310" s="203"/>
      <c r="MOM310" s="203"/>
      <c r="MON310" s="36"/>
      <c r="MOO310" s="36"/>
      <c r="MOP310" s="203"/>
      <c r="MOQ310" s="33"/>
      <c r="MOR310" s="33"/>
      <c r="MOS310" s="33"/>
      <c r="MOT310" s="33"/>
      <c r="MOU310" s="33"/>
      <c r="MOV310" s="33"/>
      <c r="MOW310" s="37"/>
      <c r="MOX310" s="208"/>
      <c r="MOY310" s="207"/>
      <c r="MOZ310" s="204"/>
      <c r="MPA310" s="35"/>
      <c r="MPB310" s="203"/>
      <c r="MPC310" s="203"/>
      <c r="MPD310" s="36"/>
      <c r="MPE310" s="36"/>
      <c r="MPF310" s="203"/>
      <c r="MPG310" s="33"/>
      <c r="MPH310" s="33"/>
      <c r="MPI310" s="33"/>
      <c r="MPJ310" s="33"/>
      <c r="MPK310" s="33"/>
      <c r="MPL310" s="33"/>
      <c r="MPM310" s="37"/>
      <c r="MPN310" s="208"/>
      <c r="MPO310" s="207"/>
      <c r="MPP310" s="204"/>
      <c r="MPQ310" s="35"/>
      <c r="MPR310" s="203"/>
      <c r="MPS310" s="203"/>
      <c r="MPT310" s="36"/>
      <c r="MPU310" s="36"/>
      <c r="MPV310" s="203"/>
      <c r="MPW310" s="33"/>
      <c r="MPX310" s="33"/>
      <c r="MPY310" s="33"/>
      <c r="MPZ310" s="33"/>
      <c r="MQA310" s="33"/>
      <c r="MQB310" s="33"/>
      <c r="MQC310" s="37"/>
      <c r="MQD310" s="208"/>
      <c r="MQE310" s="207"/>
      <c r="MQF310" s="204"/>
      <c r="MQG310" s="35"/>
      <c r="MQH310" s="203"/>
      <c r="MQI310" s="203"/>
      <c r="MQJ310" s="36"/>
      <c r="MQK310" s="36"/>
      <c r="MQL310" s="203"/>
      <c r="MQM310" s="33"/>
      <c r="MQN310" s="33"/>
      <c r="MQO310" s="33"/>
      <c r="MQP310" s="33"/>
      <c r="MQQ310" s="33"/>
      <c r="MQR310" s="33"/>
      <c r="MQS310" s="37"/>
      <c r="MQT310" s="208"/>
      <c r="MQU310" s="207"/>
      <c r="MQV310" s="204"/>
      <c r="MQW310" s="35"/>
      <c r="MQX310" s="203"/>
      <c r="MQY310" s="203"/>
      <c r="MQZ310" s="36"/>
      <c r="MRA310" s="36"/>
      <c r="MRB310" s="203"/>
      <c r="MRC310" s="33"/>
      <c r="MRD310" s="33"/>
      <c r="MRE310" s="33"/>
      <c r="MRF310" s="33"/>
      <c r="MRG310" s="33"/>
      <c r="MRH310" s="33"/>
      <c r="MRI310" s="37"/>
      <c r="MRJ310" s="208"/>
      <c r="MRK310" s="207"/>
      <c r="MRL310" s="204"/>
      <c r="MRM310" s="35"/>
      <c r="MRN310" s="203"/>
      <c r="MRO310" s="203"/>
      <c r="MRP310" s="36"/>
      <c r="MRQ310" s="36"/>
      <c r="MRR310" s="203"/>
      <c r="MRS310" s="33"/>
      <c r="MRT310" s="33"/>
      <c r="MRU310" s="33"/>
      <c r="MRV310" s="33"/>
      <c r="MRW310" s="33"/>
      <c r="MRX310" s="33"/>
      <c r="MRY310" s="37"/>
      <c r="MRZ310" s="208"/>
      <c r="MSA310" s="207"/>
      <c r="MSB310" s="204"/>
      <c r="MSC310" s="35"/>
      <c r="MSD310" s="203"/>
      <c r="MSE310" s="203"/>
      <c r="MSF310" s="36"/>
      <c r="MSG310" s="36"/>
      <c r="MSH310" s="203"/>
      <c r="MSI310" s="33"/>
      <c r="MSJ310" s="33"/>
      <c r="MSK310" s="33"/>
      <c r="MSL310" s="33"/>
      <c r="MSM310" s="33"/>
      <c r="MSN310" s="33"/>
      <c r="MSO310" s="37"/>
      <c r="MSP310" s="208"/>
      <c r="MSQ310" s="207"/>
      <c r="MSR310" s="204"/>
      <c r="MSS310" s="35"/>
      <c r="MST310" s="203"/>
      <c r="MSU310" s="203"/>
      <c r="MSV310" s="36"/>
      <c r="MSW310" s="36"/>
      <c r="MSX310" s="203"/>
      <c r="MSY310" s="33"/>
      <c r="MSZ310" s="33"/>
      <c r="MTA310" s="33"/>
      <c r="MTB310" s="33"/>
      <c r="MTC310" s="33"/>
      <c r="MTD310" s="33"/>
      <c r="MTE310" s="37"/>
      <c r="MTF310" s="208"/>
      <c r="MTG310" s="207"/>
      <c r="MTH310" s="204"/>
      <c r="MTI310" s="35"/>
      <c r="MTJ310" s="203"/>
      <c r="MTK310" s="203"/>
      <c r="MTL310" s="36"/>
      <c r="MTM310" s="36"/>
      <c r="MTN310" s="203"/>
      <c r="MTO310" s="33"/>
      <c r="MTP310" s="33"/>
      <c r="MTQ310" s="33"/>
      <c r="MTR310" s="33"/>
      <c r="MTS310" s="33"/>
      <c r="MTT310" s="33"/>
      <c r="MTU310" s="37"/>
      <c r="MTV310" s="208"/>
      <c r="MTW310" s="207"/>
      <c r="MTX310" s="204"/>
      <c r="MTY310" s="35"/>
      <c r="MTZ310" s="203"/>
      <c r="MUA310" s="203"/>
      <c r="MUB310" s="36"/>
      <c r="MUC310" s="36"/>
      <c r="MUD310" s="203"/>
      <c r="MUE310" s="33"/>
      <c r="MUF310" s="33"/>
      <c r="MUG310" s="33"/>
      <c r="MUH310" s="33"/>
      <c r="MUI310" s="33"/>
      <c r="MUJ310" s="33"/>
      <c r="MUK310" s="37"/>
      <c r="MUL310" s="208"/>
      <c r="MUM310" s="207"/>
      <c r="MUN310" s="204"/>
      <c r="MUO310" s="35"/>
      <c r="MUP310" s="203"/>
      <c r="MUQ310" s="203"/>
      <c r="MUR310" s="36"/>
      <c r="MUS310" s="36"/>
      <c r="MUT310" s="203"/>
      <c r="MUU310" s="33"/>
      <c r="MUV310" s="33"/>
      <c r="MUW310" s="33"/>
      <c r="MUX310" s="33"/>
      <c r="MUY310" s="33"/>
      <c r="MUZ310" s="33"/>
      <c r="MVA310" s="37"/>
      <c r="MVB310" s="208"/>
      <c r="MVC310" s="207"/>
      <c r="MVD310" s="204"/>
      <c r="MVE310" s="35"/>
      <c r="MVF310" s="203"/>
      <c r="MVG310" s="203"/>
      <c r="MVH310" s="36"/>
      <c r="MVI310" s="36"/>
      <c r="MVJ310" s="203"/>
      <c r="MVK310" s="33"/>
      <c r="MVL310" s="33"/>
      <c r="MVM310" s="33"/>
      <c r="MVN310" s="33"/>
      <c r="MVO310" s="33"/>
      <c r="MVP310" s="33"/>
      <c r="MVQ310" s="37"/>
      <c r="MVR310" s="208"/>
      <c r="MVS310" s="207"/>
      <c r="MVT310" s="204"/>
      <c r="MVU310" s="35"/>
      <c r="MVV310" s="203"/>
      <c r="MVW310" s="203"/>
      <c r="MVX310" s="36"/>
      <c r="MVY310" s="36"/>
      <c r="MVZ310" s="203"/>
      <c r="MWA310" s="33"/>
      <c r="MWB310" s="33"/>
      <c r="MWC310" s="33"/>
      <c r="MWD310" s="33"/>
      <c r="MWE310" s="33"/>
      <c r="MWF310" s="33"/>
      <c r="MWG310" s="37"/>
      <c r="MWH310" s="208"/>
      <c r="MWI310" s="207"/>
      <c r="MWJ310" s="204"/>
      <c r="MWK310" s="35"/>
      <c r="MWL310" s="203"/>
      <c r="MWM310" s="203"/>
      <c r="MWN310" s="36"/>
      <c r="MWO310" s="36"/>
      <c r="MWP310" s="203"/>
      <c r="MWQ310" s="33"/>
      <c r="MWR310" s="33"/>
      <c r="MWS310" s="33"/>
      <c r="MWT310" s="33"/>
      <c r="MWU310" s="33"/>
      <c r="MWV310" s="33"/>
      <c r="MWW310" s="37"/>
      <c r="MWX310" s="208"/>
      <c r="MWY310" s="207"/>
      <c r="MWZ310" s="204"/>
      <c r="MXA310" s="35"/>
      <c r="MXB310" s="203"/>
      <c r="MXC310" s="203"/>
      <c r="MXD310" s="36"/>
      <c r="MXE310" s="36"/>
      <c r="MXF310" s="203"/>
      <c r="MXG310" s="33"/>
      <c r="MXH310" s="33"/>
      <c r="MXI310" s="33"/>
      <c r="MXJ310" s="33"/>
      <c r="MXK310" s="33"/>
      <c r="MXL310" s="33"/>
      <c r="MXM310" s="37"/>
      <c r="MXN310" s="208"/>
      <c r="MXO310" s="207"/>
      <c r="MXP310" s="204"/>
      <c r="MXQ310" s="35"/>
      <c r="MXR310" s="203"/>
      <c r="MXS310" s="203"/>
      <c r="MXT310" s="36"/>
      <c r="MXU310" s="36"/>
      <c r="MXV310" s="203"/>
      <c r="MXW310" s="33"/>
      <c r="MXX310" s="33"/>
      <c r="MXY310" s="33"/>
      <c r="MXZ310" s="33"/>
      <c r="MYA310" s="33"/>
      <c r="MYB310" s="33"/>
      <c r="MYC310" s="37"/>
      <c r="MYD310" s="208"/>
      <c r="MYE310" s="207"/>
      <c r="MYF310" s="204"/>
      <c r="MYG310" s="35"/>
      <c r="MYH310" s="203"/>
      <c r="MYI310" s="203"/>
      <c r="MYJ310" s="36"/>
      <c r="MYK310" s="36"/>
      <c r="MYL310" s="203"/>
      <c r="MYM310" s="33"/>
      <c r="MYN310" s="33"/>
      <c r="MYO310" s="33"/>
      <c r="MYP310" s="33"/>
      <c r="MYQ310" s="33"/>
      <c r="MYR310" s="33"/>
      <c r="MYS310" s="37"/>
      <c r="MYT310" s="208"/>
      <c r="MYU310" s="207"/>
      <c r="MYV310" s="204"/>
      <c r="MYW310" s="35"/>
      <c r="MYX310" s="203"/>
      <c r="MYY310" s="203"/>
      <c r="MYZ310" s="36"/>
      <c r="MZA310" s="36"/>
      <c r="MZB310" s="203"/>
      <c r="MZC310" s="33"/>
      <c r="MZD310" s="33"/>
      <c r="MZE310" s="33"/>
      <c r="MZF310" s="33"/>
      <c r="MZG310" s="33"/>
      <c r="MZH310" s="33"/>
      <c r="MZI310" s="37"/>
      <c r="MZJ310" s="208"/>
      <c r="MZK310" s="207"/>
      <c r="MZL310" s="204"/>
      <c r="MZM310" s="35"/>
      <c r="MZN310" s="203"/>
      <c r="MZO310" s="203"/>
      <c r="MZP310" s="36"/>
      <c r="MZQ310" s="36"/>
      <c r="MZR310" s="203"/>
      <c r="MZS310" s="33"/>
      <c r="MZT310" s="33"/>
      <c r="MZU310" s="33"/>
      <c r="MZV310" s="33"/>
      <c r="MZW310" s="33"/>
      <c r="MZX310" s="33"/>
      <c r="MZY310" s="37"/>
      <c r="MZZ310" s="208"/>
      <c r="NAA310" s="207"/>
      <c r="NAB310" s="204"/>
      <c r="NAC310" s="35"/>
      <c r="NAD310" s="203"/>
      <c r="NAE310" s="203"/>
      <c r="NAF310" s="36"/>
      <c r="NAG310" s="36"/>
      <c r="NAH310" s="203"/>
      <c r="NAI310" s="33"/>
      <c r="NAJ310" s="33"/>
      <c r="NAK310" s="33"/>
      <c r="NAL310" s="33"/>
      <c r="NAM310" s="33"/>
      <c r="NAN310" s="33"/>
      <c r="NAO310" s="37"/>
      <c r="NAP310" s="208"/>
      <c r="NAQ310" s="207"/>
      <c r="NAR310" s="204"/>
      <c r="NAS310" s="35"/>
      <c r="NAT310" s="203"/>
      <c r="NAU310" s="203"/>
      <c r="NAV310" s="36"/>
      <c r="NAW310" s="36"/>
      <c r="NAX310" s="203"/>
      <c r="NAY310" s="33"/>
      <c r="NAZ310" s="33"/>
      <c r="NBA310" s="33"/>
      <c r="NBB310" s="33"/>
      <c r="NBC310" s="33"/>
      <c r="NBD310" s="33"/>
      <c r="NBE310" s="37"/>
      <c r="NBF310" s="208"/>
      <c r="NBG310" s="207"/>
      <c r="NBH310" s="204"/>
      <c r="NBI310" s="35"/>
      <c r="NBJ310" s="203"/>
      <c r="NBK310" s="203"/>
      <c r="NBL310" s="36"/>
      <c r="NBM310" s="36"/>
      <c r="NBN310" s="203"/>
      <c r="NBO310" s="33"/>
      <c r="NBP310" s="33"/>
      <c r="NBQ310" s="33"/>
      <c r="NBR310" s="33"/>
      <c r="NBS310" s="33"/>
      <c r="NBT310" s="33"/>
      <c r="NBU310" s="37"/>
      <c r="NBV310" s="208"/>
      <c r="NBW310" s="207"/>
      <c r="NBX310" s="204"/>
      <c r="NBY310" s="35"/>
      <c r="NBZ310" s="203"/>
      <c r="NCA310" s="203"/>
      <c r="NCB310" s="36"/>
      <c r="NCC310" s="36"/>
      <c r="NCD310" s="203"/>
      <c r="NCE310" s="33"/>
      <c r="NCF310" s="33"/>
      <c r="NCG310" s="33"/>
      <c r="NCH310" s="33"/>
      <c r="NCI310" s="33"/>
      <c r="NCJ310" s="33"/>
      <c r="NCK310" s="37"/>
      <c r="NCL310" s="208"/>
      <c r="NCM310" s="207"/>
      <c r="NCN310" s="204"/>
      <c r="NCO310" s="35"/>
      <c r="NCP310" s="203"/>
      <c r="NCQ310" s="203"/>
      <c r="NCR310" s="36"/>
      <c r="NCS310" s="36"/>
      <c r="NCT310" s="203"/>
      <c r="NCU310" s="33"/>
      <c r="NCV310" s="33"/>
      <c r="NCW310" s="33"/>
      <c r="NCX310" s="33"/>
      <c r="NCY310" s="33"/>
      <c r="NCZ310" s="33"/>
      <c r="NDA310" s="37"/>
      <c r="NDB310" s="208"/>
      <c r="NDC310" s="207"/>
      <c r="NDD310" s="204"/>
      <c r="NDE310" s="35"/>
      <c r="NDF310" s="203"/>
      <c r="NDG310" s="203"/>
      <c r="NDH310" s="36"/>
      <c r="NDI310" s="36"/>
      <c r="NDJ310" s="203"/>
      <c r="NDK310" s="33"/>
      <c r="NDL310" s="33"/>
      <c r="NDM310" s="33"/>
      <c r="NDN310" s="33"/>
      <c r="NDO310" s="33"/>
      <c r="NDP310" s="33"/>
      <c r="NDQ310" s="37"/>
      <c r="NDR310" s="208"/>
      <c r="NDS310" s="207"/>
      <c r="NDT310" s="204"/>
      <c r="NDU310" s="35"/>
      <c r="NDV310" s="203"/>
      <c r="NDW310" s="203"/>
      <c r="NDX310" s="36"/>
      <c r="NDY310" s="36"/>
      <c r="NDZ310" s="203"/>
      <c r="NEA310" s="33"/>
      <c r="NEB310" s="33"/>
      <c r="NEC310" s="33"/>
      <c r="NED310" s="33"/>
      <c r="NEE310" s="33"/>
      <c r="NEF310" s="33"/>
      <c r="NEG310" s="37"/>
      <c r="NEH310" s="208"/>
      <c r="NEI310" s="207"/>
      <c r="NEJ310" s="204"/>
      <c r="NEK310" s="35"/>
      <c r="NEL310" s="203"/>
      <c r="NEM310" s="203"/>
      <c r="NEN310" s="36"/>
      <c r="NEO310" s="36"/>
      <c r="NEP310" s="203"/>
      <c r="NEQ310" s="33"/>
      <c r="NER310" s="33"/>
      <c r="NES310" s="33"/>
      <c r="NET310" s="33"/>
      <c r="NEU310" s="33"/>
      <c r="NEV310" s="33"/>
      <c r="NEW310" s="37"/>
      <c r="NEX310" s="208"/>
      <c r="NEY310" s="207"/>
      <c r="NEZ310" s="204"/>
      <c r="NFA310" s="35"/>
      <c r="NFB310" s="203"/>
      <c r="NFC310" s="203"/>
      <c r="NFD310" s="36"/>
      <c r="NFE310" s="36"/>
      <c r="NFF310" s="203"/>
      <c r="NFG310" s="33"/>
      <c r="NFH310" s="33"/>
      <c r="NFI310" s="33"/>
      <c r="NFJ310" s="33"/>
      <c r="NFK310" s="33"/>
      <c r="NFL310" s="33"/>
      <c r="NFM310" s="37"/>
      <c r="NFN310" s="208"/>
      <c r="NFO310" s="207"/>
      <c r="NFP310" s="204"/>
      <c r="NFQ310" s="35"/>
      <c r="NFR310" s="203"/>
      <c r="NFS310" s="203"/>
      <c r="NFT310" s="36"/>
      <c r="NFU310" s="36"/>
      <c r="NFV310" s="203"/>
      <c r="NFW310" s="33"/>
      <c r="NFX310" s="33"/>
      <c r="NFY310" s="33"/>
      <c r="NFZ310" s="33"/>
      <c r="NGA310" s="33"/>
      <c r="NGB310" s="33"/>
      <c r="NGC310" s="37"/>
      <c r="NGD310" s="208"/>
      <c r="NGE310" s="207"/>
      <c r="NGF310" s="204"/>
      <c r="NGG310" s="35"/>
      <c r="NGH310" s="203"/>
      <c r="NGI310" s="203"/>
      <c r="NGJ310" s="36"/>
      <c r="NGK310" s="36"/>
      <c r="NGL310" s="203"/>
      <c r="NGM310" s="33"/>
      <c r="NGN310" s="33"/>
      <c r="NGO310" s="33"/>
      <c r="NGP310" s="33"/>
      <c r="NGQ310" s="33"/>
      <c r="NGR310" s="33"/>
      <c r="NGS310" s="37"/>
      <c r="NGT310" s="208"/>
      <c r="NGU310" s="207"/>
      <c r="NGV310" s="204"/>
      <c r="NGW310" s="35"/>
      <c r="NGX310" s="203"/>
      <c r="NGY310" s="203"/>
      <c r="NGZ310" s="36"/>
      <c r="NHA310" s="36"/>
      <c r="NHB310" s="203"/>
      <c r="NHC310" s="33"/>
      <c r="NHD310" s="33"/>
      <c r="NHE310" s="33"/>
      <c r="NHF310" s="33"/>
      <c r="NHG310" s="33"/>
      <c r="NHH310" s="33"/>
      <c r="NHI310" s="37"/>
      <c r="NHJ310" s="208"/>
      <c r="NHK310" s="207"/>
      <c r="NHL310" s="204"/>
      <c r="NHM310" s="35"/>
      <c r="NHN310" s="203"/>
      <c r="NHO310" s="203"/>
      <c r="NHP310" s="36"/>
      <c r="NHQ310" s="36"/>
      <c r="NHR310" s="203"/>
      <c r="NHS310" s="33"/>
      <c r="NHT310" s="33"/>
      <c r="NHU310" s="33"/>
      <c r="NHV310" s="33"/>
      <c r="NHW310" s="33"/>
      <c r="NHX310" s="33"/>
      <c r="NHY310" s="37"/>
      <c r="NHZ310" s="208"/>
      <c r="NIA310" s="207"/>
      <c r="NIB310" s="204"/>
      <c r="NIC310" s="35"/>
      <c r="NID310" s="203"/>
      <c r="NIE310" s="203"/>
      <c r="NIF310" s="36"/>
      <c r="NIG310" s="36"/>
      <c r="NIH310" s="203"/>
      <c r="NII310" s="33"/>
      <c r="NIJ310" s="33"/>
      <c r="NIK310" s="33"/>
      <c r="NIL310" s="33"/>
      <c r="NIM310" s="33"/>
      <c r="NIN310" s="33"/>
      <c r="NIO310" s="37"/>
      <c r="NIP310" s="208"/>
      <c r="NIQ310" s="207"/>
      <c r="NIR310" s="204"/>
      <c r="NIS310" s="35"/>
      <c r="NIT310" s="203"/>
      <c r="NIU310" s="203"/>
      <c r="NIV310" s="36"/>
      <c r="NIW310" s="36"/>
      <c r="NIX310" s="203"/>
      <c r="NIY310" s="33"/>
      <c r="NIZ310" s="33"/>
      <c r="NJA310" s="33"/>
      <c r="NJB310" s="33"/>
      <c r="NJC310" s="33"/>
      <c r="NJD310" s="33"/>
      <c r="NJE310" s="37"/>
      <c r="NJF310" s="208"/>
      <c r="NJG310" s="207"/>
      <c r="NJH310" s="204"/>
      <c r="NJI310" s="35"/>
      <c r="NJJ310" s="203"/>
      <c r="NJK310" s="203"/>
      <c r="NJL310" s="36"/>
      <c r="NJM310" s="36"/>
      <c r="NJN310" s="203"/>
      <c r="NJO310" s="33"/>
      <c r="NJP310" s="33"/>
      <c r="NJQ310" s="33"/>
      <c r="NJR310" s="33"/>
      <c r="NJS310" s="33"/>
      <c r="NJT310" s="33"/>
      <c r="NJU310" s="37"/>
      <c r="NJV310" s="208"/>
      <c r="NJW310" s="207"/>
      <c r="NJX310" s="204"/>
      <c r="NJY310" s="35"/>
      <c r="NJZ310" s="203"/>
      <c r="NKA310" s="203"/>
      <c r="NKB310" s="36"/>
      <c r="NKC310" s="36"/>
      <c r="NKD310" s="203"/>
      <c r="NKE310" s="33"/>
      <c r="NKF310" s="33"/>
      <c r="NKG310" s="33"/>
      <c r="NKH310" s="33"/>
      <c r="NKI310" s="33"/>
      <c r="NKJ310" s="33"/>
      <c r="NKK310" s="37"/>
      <c r="NKL310" s="208"/>
      <c r="NKM310" s="207"/>
      <c r="NKN310" s="204"/>
      <c r="NKO310" s="35"/>
      <c r="NKP310" s="203"/>
      <c r="NKQ310" s="203"/>
      <c r="NKR310" s="36"/>
      <c r="NKS310" s="36"/>
      <c r="NKT310" s="203"/>
      <c r="NKU310" s="33"/>
      <c r="NKV310" s="33"/>
      <c r="NKW310" s="33"/>
      <c r="NKX310" s="33"/>
      <c r="NKY310" s="33"/>
      <c r="NKZ310" s="33"/>
      <c r="NLA310" s="37"/>
      <c r="NLB310" s="208"/>
      <c r="NLC310" s="207"/>
      <c r="NLD310" s="204"/>
      <c r="NLE310" s="35"/>
      <c r="NLF310" s="203"/>
      <c r="NLG310" s="203"/>
      <c r="NLH310" s="36"/>
      <c r="NLI310" s="36"/>
      <c r="NLJ310" s="203"/>
      <c r="NLK310" s="33"/>
      <c r="NLL310" s="33"/>
      <c r="NLM310" s="33"/>
      <c r="NLN310" s="33"/>
      <c r="NLO310" s="33"/>
      <c r="NLP310" s="33"/>
      <c r="NLQ310" s="37"/>
      <c r="NLR310" s="208"/>
      <c r="NLS310" s="207"/>
      <c r="NLT310" s="204"/>
      <c r="NLU310" s="35"/>
      <c r="NLV310" s="203"/>
      <c r="NLW310" s="203"/>
      <c r="NLX310" s="36"/>
      <c r="NLY310" s="36"/>
      <c r="NLZ310" s="203"/>
      <c r="NMA310" s="33"/>
      <c r="NMB310" s="33"/>
      <c r="NMC310" s="33"/>
      <c r="NMD310" s="33"/>
      <c r="NME310" s="33"/>
      <c r="NMF310" s="33"/>
      <c r="NMG310" s="37"/>
      <c r="NMH310" s="208"/>
      <c r="NMI310" s="207"/>
      <c r="NMJ310" s="204"/>
      <c r="NMK310" s="35"/>
      <c r="NML310" s="203"/>
      <c r="NMM310" s="203"/>
      <c r="NMN310" s="36"/>
      <c r="NMO310" s="36"/>
      <c r="NMP310" s="203"/>
      <c r="NMQ310" s="33"/>
      <c r="NMR310" s="33"/>
      <c r="NMS310" s="33"/>
      <c r="NMT310" s="33"/>
      <c r="NMU310" s="33"/>
      <c r="NMV310" s="33"/>
      <c r="NMW310" s="37"/>
      <c r="NMX310" s="208"/>
      <c r="NMY310" s="207"/>
      <c r="NMZ310" s="204"/>
      <c r="NNA310" s="35"/>
      <c r="NNB310" s="203"/>
      <c r="NNC310" s="203"/>
      <c r="NND310" s="36"/>
      <c r="NNE310" s="36"/>
      <c r="NNF310" s="203"/>
      <c r="NNG310" s="33"/>
      <c r="NNH310" s="33"/>
      <c r="NNI310" s="33"/>
      <c r="NNJ310" s="33"/>
      <c r="NNK310" s="33"/>
      <c r="NNL310" s="33"/>
      <c r="NNM310" s="37"/>
      <c r="NNN310" s="208"/>
      <c r="NNO310" s="207"/>
      <c r="NNP310" s="204"/>
      <c r="NNQ310" s="35"/>
      <c r="NNR310" s="203"/>
      <c r="NNS310" s="203"/>
      <c r="NNT310" s="36"/>
      <c r="NNU310" s="36"/>
      <c r="NNV310" s="203"/>
      <c r="NNW310" s="33"/>
      <c r="NNX310" s="33"/>
      <c r="NNY310" s="33"/>
      <c r="NNZ310" s="33"/>
      <c r="NOA310" s="33"/>
      <c r="NOB310" s="33"/>
      <c r="NOC310" s="37"/>
      <c r="NOD310" s="208"/>
      <c r="NOE310" s="207"/>
      <c r="NOF310" s="204"/>
      <c r="NOG310" s="35"/>
      <c r="NOH310" s="203"/>
      <c r="NOI310" s="203"/>
      <c r="NOJ310" s="36"/>
      <c r="NOK310" s="36"/>
      <c r="NOL310" s="203"/>
      <c r="NOM310" s="33"/>
      <c r="NON310" s="33"/>
      <c r="NOO310" s="33"/>
      <c r="NOP310" s="33"/>
      <c r="NOQ310" s="33"/>
      <c r="NOR310" s="33"/>
      <c r="NOS310" s="37"/>
      <c r="NOT310" s="208"/>
      <c r="NOU310" s="207"/>
      <c r="NOV310" s="204"/>
      <c r="NOW310" s="35"/>
      <c r="NOX310" s="203"/>
      <c r="NOY310" s="203"/>
      <c r="NOZ310" s="36"/>
      <c r="NPA310" s="36"/>
      <c r="NPB310" s="203"/>
      <c r="NPC310" s="33"/>
      <c r="NPD310" s="33"/>
      <c r="NPE310" s="33"/>
      <c r="NPF310" s="33"/>
      <c r="NPG310" s="33"/>
      <c r="NPH310" s="33"/>
      <c r="NPI310" s="37"/>
      <c r="NPJ310" s="208"/>
      <c r="NPK310" s="207"/>
      <c r="NPL310" s="204"/>
      <c r="NPM310" s="35"/>
      <c r="NPN310" s="203"/>
      <c r="NPO310" s="203"/>
      <c r="NPP310" s="36"/>
      <c r="NPQ310" s="36"/>
      <c r="NPR310" s="203"/>
      <c r="NPS310" s="33"/>
      <c r="NPT310" s="33"/>
      <c r="NPU310" s="33"/>
      <c r="NPV310" s="33"/>
      <c r="NPW310" s="33"/>
      <c r="NPX310" s="33"/>
      <c r="NPY310" s="37"/>
      <c r="NPZ310" s="208"/>
      <c r="NQA310" s="207"/>
      <c r="NQB310" s="204"/>
      <c r="NQC310" s="35"/>
      <c r="NQD310" s="203"/>
      <c r="NQE310" s="203"/>
      <c r="NQF310" s="36"/>
      <c r="NQG310" s="36"/>
      <c r="NQH310" s="203"/>
      <c r="NQI310" s="33"/>
      <c r="NQJ310" s="33"/>
      <c r="NQK310" s="33"/>
      <c r="NQL310" s="33"/>
      <c r="NQM310" s="33"/>
      <c r="NQN310" s="33"/>
      <c r="NQO310" s="37"/>
      <c r="NQP310" s="208"/>
      <c r="NQQ310" s="207"/>
      <c r="NQR310" s="204"/>
      <c r="NQS310" s="35"/>
      <c r="NQT310" s="203"/>
      <c r="NQU310" s="203"/>
      <c r="NQV310" s="36"/>
      <c r="NQW310" s="36"/>
      <c r="NQX310" s="203"/>
      <c r="NQY310" s="33"/>
      <c r="NQZ310" s="33"/>
      <c r="NRA310" s="33"/>
      <c r="NRB310" s="33"/>
      <c r="NRC310" s="33"/>
      <c r="NRD310" s="33"/>
      <c r="NRE310" s="37"/>
      <c r="NRF310" s="208"/>
      <c r="NRG310" s="207"/>
      <c r="NRH310" s="204"/>
      <c r="NRI310" s="35"/>
      <c r="NRJ310" s="203"/>
      <c r="NRK310" s="203"/>
      <c r="NRL310" s="36"/>
      <c r="NRM310" s="36"/>
      <c r="NRN310" s="203"/>
      <c r="NRO310" s="33"/>
      <c r="NRP310" s="33"/>
      <c r="NRQ310" s="33"/>
      <c r="NRR310" s="33"/>
      <c r="NRS310" s="33"/>
      <c r="NRT310" s="33"/>
      <c r="NRU310" s="37"/>
      <c r="NRV310" s="208"/>
      <c r="NRW310" s="207"/>
      <c r="NRX310" s="204"/>
      <c r="NRY310" s="35"/>
      <c r="NRZ310" s="203"/>
      <c r="NSA310" s="203"/>
      <c r="NSB310" s="36"/>
      <c r="NSC310" s="36"/>
      <c r="NSD310" s="203"/>
      <c r="NSE310" s="33"/>
      <c r="NSF310" s="33"/>
      <c r="NSG310" s="33"/>
      <c r="NSH310" s="33"/>
      <c r="NSI310" s="33"/>
      <c r="NSJ310" s="33"/>
      <c r="NSK310" s="37"/>
      <c r="NSL310" s="208"/>
      <c r="NSM310" s="207"/>
      <c r="NSN310" s="204"/>
      <c r="NSO310" s="35"/>
      <c r="NSP310" s="203"/>
      <c r="NSQ310" s="203"/>
      <c r="NSR310" s="36"/>
      <c r="NSS310" s="36"/>
      <c r="NST310" s="203"/>
      <c r="NSU310" s="33"/>
      <c r="NSV310" s="33"/>
      <c r="NSW310" s="33"/>
      <c r="NSX310" s="33"/>
      <c r="NSY310" s="33"/>
      <c r="NSZ310" s="33"/>
      <c r="NTA310" s="37"/>
      <c r="NTB310" s="208"/>
      <c r="NTC310" s="207"/>
      <c r="NTD310" s="204"/>
      <c r="NTE310" s="35"/>
      <c r="NTF310" s="203"/>
      <c r="NTG310" s="203"/>
      <c r="NTH310" s="36"/>
      <c r="NTI310" s="36"/>
      <c r="NTJ310" s="203"/>
      <c r="NTK310" s="33"/>
      <c r="NTL310" s="33"/>
      <c r="NTM310" s="33"/>
      <c r="NTN310" s="33"/>
      <c r="NTO310" s="33"/>
      <c r="NTP310" s="33"/>
      <c r="NTQ310" s="37"/>
      <c r="NTR310" s="208"/>
      <c r="NTS310" s="207"/>
      <c r="NTT310" s="204"/>
      <c r="NTU310" s="35"/>
      <c r="NTV310" s="203"/>
      <c r="NTW310" s="203"/>
      <c r="NTX310" s="36"/>
      <c r="NTY310" s="36"/>
      <c r="NTZ310" s="203"/>
      <c r="NUA310" s="33"/>
      <c r="NUB310" s="33"/>
      <c r="NUC310" s="33"/>
      <c r="NUD310" s="33"/>
      <c r="NUE310" s="33"/>
      <c r="NUF310" s="33"/>
      <c r="NUG310" s="37"/>
      <c r="NUH310" s="208"/>
      <c r="NUI310" s="207"/>
      <c r="NUJ310" s="204"/>
      <c r="NUK310" s="35"/>
      <c r="NUL310" s="203"/>
      <c r="NUM310" s="203"/>
      <c r="NUN310" s="36"/>
      <c r="NUO310" s="36"/>
      <c r="NUP310" s="203"/>
      <c r="NUQ310" s="33"/>
      <c r="NUR310" s="33"/>
      <c r="NUS310" s="33"/>
      <c r="NUT310" s="33"/>
      <c r="NUU310" s="33"/>
      <c r="NUV310" s="33"/>
      <c r="NUW310" s="37"/>
      <c r="NUX310" s="208"/>
      <c r="NUY310" s="207"/>
      <c r="NUZ310" s="204"/>
      <c r="NVA310" s="35"/>
      <c r="NVB310" s="203"/>
      <c r="NVC310" s="203"/>
      <c r="NVD310" s="36"/>
      <c r="NVE310" s="36"/>
      <c r="NVF310" s="203"/>
      <c r="NVG310" s="33"/>
      <c r="NVH310" s="33"/>
      <c r="NVI310" s="33"/>
      <c r="NVJ310" s="33"/>
      <c r="NVK310" s="33"/>
      <c r="NVL310" s="33"/>
      <c r="NVM310" s="37"/>
      <c r="NVN310" s="208"/>
      <c r="NVO310" s="207"/>
      <c r="NVP310" s="204"/>
      <c r="NVQ310" s="35"/>
      <c r="NVR310" s="203"/>
      <c r="NVS310" s="203"/>
      <c r="NVT310" s="36"/>
      <c r="NVU310" s="36"/>
      <c r="NVV310" s="203"/>
      <c r="NVW310" s="33"/>
      <c r="NVX310" s="33"/>
      <c r="NVY310" s="33"/>
      <c r="NVZ310" s="33"/>
      <c r="NWA310" s="33"/>
      <c r="NWB310" s="33"/>
      <c r="NWC310" s="37"/>
      <c r="NWD310" s="208"/>
      <c r="NWE310" s="207"/>
      <c r="NWF310" s="204"/>
      <c r="NWG310" s="35"/>
      <c r="NWH310" s="203"/>
      <c r="NWI310" s="203"/>
      <c r="NWJ310" s="36"/>
      <c r="NWK310" s="36"/>
      <c r="NWL310" s="203"/>
      <c r="NWM310" s="33"/>
      <c r="NWN310" s="33"/>
      <c r="NWO310" s="33"/>
      <c r="NWP310" s="33"/>
      <c r="NWQ310" s="33"/>
      <c r="NWR310" s="33"/>
      <c r="NWS310" s="37"/>
      <c r="NWT310" s="208"/>
      <c r="NWU310" s="207"/>
      <c r="NWV310" s="204"/>
      <c r="NWW310" s="35"/>
      <c r="NWX310" s="203"/>
      <c r="NWY310" s="203"/>
      <c r="NWZ310" s="36"/>
      <c r="NXA310" s="36"/>
      <c r="NXB310" s="203"/>
      <c r="NXC310" s="33"/>
      <c r="NXD310" s="33"/>
      <c r="NXE310" s="33"/>
      <c r="NXF310" s="33"/>
      <c r="NXG310" s="33"/>
      <c r="NXH310" s="33"/>
      <c r="NXI310" s="37"/>
      <c r="NXJ310" s="208"/>
      <c r="NXK310" s="207"/>
      <c r="NXL310" s="204"/>
      <c r="NXM310" s="35"/>
      <c r="NXN310" s="203"/>
      <c r="NXO310" s="203"/>
      <c r="NXP310" s="36"/>
      <c r="NXQ310" s="36"/>
      <c r="NXR310" s="203"/>
      <c r="NXS310" s="33"/>
      <c r="NXT310" s="33"/>
      <c r="NXU310" s="33"/>
      <c r="NXV310" s="33"/>
      <c r="NXW310" s="33"/>
      <c r="NXX310" s="33"/>
      <c r="NXY310" s="37"/>
      <c r="NXZ310" s="208"/>
      <c r="NYA310" s="207"/>
      <c r="NYB310" s="204"/>
      <c r="NYC310" s="35"/>
      <c r="NYD310" s="203"/>
      <c r="NYE310" s="203"/>
      <c r="NYF310" s="36"/>
      <c r="NYG310" s="36"/>
      <c r="NYH310" s="203"/>
      <c r="NYI310" s="33"/>
      <c r="NYJ310" s="33"/>
      <c r="NYK310" s="33"/>
      <c r="NYL310" s="33"/>
      <c r="NYM310" s="33"/>
      <c r="NYN310" s="33"/>
      <c r="NYO310" s="37"/>
      <c r="NYP310" s="208"/>
      <c r="NYQ310" s="207"/>
      <c r="NYR310" s="204"/>
      <c r="NYS310" s="35"/>
      <c r="NYT310" s="203"/>
      <c r="NYU310" s="203"/>
      <c r="NYV310" s="36"/>
      <c r="NYW310" s="36"/>
      <c r="NYX310" s="203"/>
      <c r="NYY310" s="33"/>
      <c r="NYZ310" s="33"/>
      <c r="NZA310" s="33"/>
      <c r="NZB310" s="33"/>
      <c r="NZC310" s="33"/>
      <c r="NZD310" s="33"/>
      <c r="NZE310" s="37"/>
      <c r="NZF310" s="208"/>
      <c r="NZG310" s="207"/>
      <c r="NZH310" s="204"/>
      <c r="NZI310" s="35"/>
      <c r="NZJ310" s="203"/>
      <c r="NZK310" s="203"/>
      <c r="NZL310" s="36"/>
      <c r="NZM310" s="36"/>
      <c r="NZN310" s="203"/>
      <c r="NZO310" s="33"/>
      <c r="NZP310" s="33"/>
      <c r="NZQ310" s="33"/>
      <c r="NZR310" s="33"/>
      <c r="NZS310" s="33"/>
      <c r="NZT310" s="33"/>
      <c r="NZU310" s="37"/>
      <c r="NZV310" s="208"/>
      <c r="NZW310" s="207"/>
      <c r="NZX310" s="204"/>
      <c r="NZY310" s="35"/>
      <c r="NZZ310" s="203"/>
      <c r="OAA310" s="203"/>
      <c r="OAB310" s="36"/>
      <c r="OAC310" s="36"/>
      <c r="OAD310" s="203"/>
      <c r="OAE310" s="33"/>
      <c r="OAF310" s="33"/>
      <c r="OAG310" s="33"/>
      <c r="OAH310" s="33"/>
      <c r="OAI310" s="33"/>
      <c r="OAJ310" s="33"/>
      <c r="OAK310" s="37"/>
      <c r="OAL310" s="208"/>
      <c r="OAM310" s="207"/>
      <c r="OAN310" s="204"/>
      <c r="OAO310" s="35"/>
      <c r="OAP310" s="203"/>
      <c r="OAQ310" s="203"/>
      <c r="OAR310" s="36"/>
      <c r="OAS310" s="36"/>
      <c r="OAT310" s="203"/>
      <c r="OAU310" s="33"/>
      <c r="OAV310" s="33"/>
      <c r="OAW310" s="33"/>
      <c r="OAX310" s="33"/>
      <c r="OAY310" s="33"/>
      <c r="OAZ310" s="33"/>
      <c r="OBA310" s="37"/>
      <c r="OBB310" s="208"/>
      <c r="OBC310" s="207"/>
      <c r="OBD310" s="204"/>
      <c r="OBE310" s="35"/>
      <c r="OBF310" s="203"/>
      <c r="OBG310" s="203"/>
      <c r="OBH310" s="36"/>
      <c r="OBI310" s="36"/>
      <c r="OBJ310" s="203"/>
      <c r="OBK310" s="33"/>
      <c r="OBL310" s="33"/>
      <c r="OBM310" s="33"/>
      <c r="OBN310" s="33"/>
      <c r="OBO310" s="33"/>
      <c r="OBP310" s="33"/>
      <c r="OBQ310" s="37"/>
      <c r="OBR310" s="208"/>
      <c r="OBS310" s="207"/>
      <c r="OBT310" s="204"/>
      <c r="OBU310" s="35"/>
      <c r="OBV310" s="203"/>
      <c r="OBW310" s="203"/>
      <c r="OBX310" s="36"/>
      <c r="OBY310" s="36"/>
      <c r="OBZ310" s="203"/>
      <c r="OCA310" s="33"/>
      <c r="OCB310" s="33"/>
      <c r="OCC310" s="33"/>
      <c r="OCD310" s="33"/>
      <c r="OCE310" s="33"/>
      <c r="OCF310" s="33"/>
      <c r="OCG310" s="37"/>
      <c r="OCH310" s="208"/>
      <c r="OCI310" s="207"/>
      <c r="OCJ310" s="204"/>
      <c r="OCK310" s="35"/>
      <c r="OCL310" s="203"/>
      <c r="OCM310" s="203"/>
      <c r="OCN310" s="36"/>
      <c r="OCO310" s="36"/>
      <c r="OCP310" s="203"/>
      <c r="OCQ310" s="33"/>
      <c r="OCR310" s="33"/>
      <c r="OCS310" s="33"/>
      <c r="OCT310" s="33"/>
      <c r="OCU310" s="33"/>
      <c r="OCV310" s="33"/>
      <c r="OCW310" s="37"/>
      <c r="OCX310" s="208"/>
      <c r="OCY310" s="207"/>
      <c r="OCZ310" s="204"/>
      <c r="ODA310" s="35"/>
      <c r="ODB310" s="203"/>
      <c r="ODC310" s="203"/>
      <c r="ODD310" s="36"/>
      <c r="ODE310" s="36"/>
      <c r="ODF310" s="203"/>
      <c r="ODG310" s="33"/>
      <c r="ODH310" s="33"/>
      <c r="ODI310" s="33"/>
      <c r="ODJ310" s="33"/>
      <c r="ODK310" s="33"/>
      <c r="ODL310" s="33"/>
      <c r="ODM310" s="37"/>
      <c r="ODN310" s="208"/>
      <c r="ODO310" s="207"/>
      <c r="ODP310" s="204"/>
      <c r="ODQ310" s="35"/>
      <c r="ODR310" s="203"/>
      <c r="ODS310" s="203"/>
      <c r="ODT310" s="36"/>
      <c r="ODU310" s="36"/>
      <c r="ODV310" s="203"/>
      <c r="ODW310" s="33"/>
      <c r="ODX310" s="33"/>
      <c r="ODY310" s="33"/>
      <c r="ODZ310" s="33"/>
      <c r="OEA310" s="33"/>
      <c r="OEB310" s="33"/>
      <c r="OEC310" s="37"/>
      <c r="OED310" s="208"/>
      <c r="OEE310" s="207"/>
      <c r="OEF310" s="204"/>
      <c r="OEG310" s="35"/>
      <c r="OEH310" s="203"/>
      <c r="OEI310" s="203"/>
      <c r="OEJ310" s="36"/>
      <c r="OEK310" s="36"/>
      <c r="OEL310" s="203"/>
      <c r="OEM310" s="33"/>
      <c r="OEN310" s="33"/>
      <c r="OEO310" s="33"/>
      <c r="OEP310" s="33"/>
      <c r="OEQ310" s="33"/>
      <c r="OER310" s="33"/>
      <c r="OES310" s="37"/>
      <c r="OET310" s="208"/>
      <c r="OEU310" s="207"/>
      <c r="OEV310" s="204"/>
      <c r="OEW310" s="35"/>
      <c r="OEX310" s="203"/>
      <c r="OEY310" s="203"/>
      <c r="OEZ310" s="36"/>
      <c r="OFA310" s="36"/>
      <c r="OFB310" s="203"/>
      <c r="OFC310" s="33"/>
      <c r="OFD310" s="33"/>
      <c r="OFE310" s="33"/>
      <c r="OFF310" s="33"/>
      <c r="OFG310" s="33"/>
      <c r="OFH310" s="33"/>
      <c r="OFI310" s="37"/>
      <c r="OFJ310" s="208"/>
      <c r="OFK310" s="207"/>
      <c r="OFL310" s="204"/>
      <c r="OFM310" s="35"/>
      <c r="OFN310" s="203"/>
      <c r="OFO310" s="203"/>
      <c r="OFP310" s="36"/>
      <c r="OFQ310" s="36"/>
      <c r="OFR310" s="203"/>
      <c r="OFS310" s="33"/>
      <c r="OFT310" s="33"/>
      <c r="OFU310" s="33"/>
      <c r="OFV310" s="33"/>
      <c r="OFW310" s="33"/>
      <c r="OFX310" s="33"/>
      <c r="OFY310" s="37"/>
      <c r="OFZ310" s="208"/>
      <c r="OGA310" s="207"/>
      <c r="OGB310" s="204"/>
      <c r="OGC310" s="35"/>
      <c r="OGD310" s="203"/>
      <c r="OGE310" s="203"/>
      <c r="OGF310" s="36"/>
      <c r="OGG310" s="36"/>
      <c r="OGH310" s="203"/>
      <c r="OGI310" s="33"/>
      <c r="OGJ310" s="33"/>
      <c r="OGK310" s="33"/>
      <c r="OGL310" s="33"/>
      <c r="OGM310" s="33"/>
      <c r="OGN310" s="33"/>
      <c r="OGO310" s="37"/>
      <c r="OGP310" s="208"/>
      <c r="OGQ310" s="207"/>
      <c r="OGR310" s="204"/>
      <c r="OGS310" s="35"/>
      <c r="OGT310" s="203"/>
      <c r="OGU310" s="203"/>
      <c r="OGV310" s="36"/>
      <c r="OGW310" s="36"/>
      <c r="OGX310" s="203"/>
      <c r="OGY310" s="33"/>
      <c r="OGZ310" s="33"/>
      <c r="OHA310" s="33"/>
      <c r="OHB310" s="33"/>
      <c r="OHC310" s="33"/>
      <c r="OHD310" s="33"/>
      <c r="OHE310" s="37"/>
      <c r="OHF310" s="208"/>
      <c r="OHG310" s="207"/>
      <c r="OHH310" s="204"/>
      <c r="OHI310" s="35"/>
      <c r="OHJ310" s="203"/>
      <c r="OHK310" s="203"/>
      <c r="OHL310" s="36"/>
      <c r="OHM310" s="36"/>
      <c r="OHN310" s="203"/>
      <c r="OHO310" s="33"/>
      <c r="OHP310" s="33"/>
      <c r="OHQ310" s="33"/>
      <c r="OHR310" s="33"/>
      <c r="OHS310" s="33"/>
      <c r="OHT310" s="33"/>
      <c r="OHU310" s="37"/>
      <c r="OHV310" s="208"/>
      <c r="OHW310" s="207"/>
      <c r="OHX310" s="204"/>
      <c r="OHY310" s="35"/>
      <c r="OHZ310" s="203"/>
      <c r="OIA310" s="203"/>
      <c r="OIB310" s="36"/>
      <c r="OIC310" s="36"/>
      <c r="OID310" s="203"/>
      <c r="OIE310" s="33"/>
      <c r="OIF310" s="33"/>
      <c r="OIG310" s="33"/>
      <c r="OIH310" s="33"/>
      <c r="OII310" s="33"/>
      <c r="OIJ310" s="33"/>
      <c r="OIK310" s="37"/>
      <c r="OIL310" s="208"/>
      <c r="OIM310" s="207"/>
      <c r="OIN310" s="204"/>
      <c r="OIO310" s="35"/>
      <c r="OIP310" s="203"/>
      <c r="OIQ310" s="203"/>
      <c r="OIR310" s="36"/>
      <c r="OIS310" s="36"/>
      <c r="OIT310" s="203"/>
      <c r="OIU310" s="33"/>
      <c r="OIV310" s="33"/>
      <c r="OIW310" s="33"/>
      <c r="OIX310" s="33"/>
      <c r="OIY310" s="33"/>
      <c r="OIZ310" s="33"/>
      <c r="OJA310" s="37"/>
      <c r="OJB310" s="208"/>
      <c r="OJC310" s="207"/>
      <c r="OJD310" s="204"/>
      <c r="OJE310" s="35"/>
      <c r="OJF310" s="203"/>
      <c r="OJG310" s="203"/>
      <c r="OJH310" s="36"/>
      <c r="OJI310" s="36"/>
      <c r="OJJ310" s="203"/>
      <c r="OJK310" s="33"/>
      <c r="OJL310" s="33"/>
      <c r="OJM310" s="33"/>
      <c r="OJN310" s="33"/>
      <c r="OJO310" s="33"/>
      <c r="OJP310" s="33"/>
      <c r="OJQ310" s="37"/>
      <c r="OJR310" s="208"/>
      <c r="OJS310" s="207"/>
      <c r="OJT310" s="204"/>
      <c r="OJU310" s="35"/>
      <c r="OJV310" s="203"/>
      <c r="OJW310" s="203"/>
      <c r="OJX310" s="36"/>
      <c r="OJY310" s="36"/>
      <c r="OJZ310" s="203"/>
      <c r="OKA310" s="33"/>
      <c r="OKB310" s="33"/>
      <c r="OKC310" s="33"/>
      <c r="OKD310" s="33"/>
      <c r="OKE310" s="33"/>
      <c r="OKF310" s="33"/>
      <c r="OKG310" s="37"/>
      <c r="OKH310" s="208"/>
      <c r="OKI310" s="207"/>
      <c r="OKJ310" s="204"/>
      <c r="OKK310" s="35"/>
      <c r="OKL310" s="203"/>
      <c r="OKM310" s="203"/>
      <c r="OKN310" s="36"/>
      <c r="OKO310" s="36"/>
      <c r="OKP310" s="203"/>
      <c r="OKQ310" s="33"/>
      <c r="OKR310" s="33"/>
      <c r="OKS310" s="33"/>
      <c r="OKT310" s="33"/>
      <c r="OKU310" s="33"/>
      <c r="OKV310" s="33"/>
      <c r="OKW310" s="37"/>
      <c r="OKX310" s="208"/>
      <c r="OKY310" s="207"/>
      <c r="OKZ310" s="204"/>
      <c r="OLA310" s="35"/>
      <c r="OLB310" s="203"/>
      <c r="OLC310" s="203"/>
      <c r="OLD310" s="36"/>
      <c r="OLE310" s="36"/>
      <c r="OLF310" s="203"/>
      <c r="OLG310" s="33"/>
      <c r="OLH310" s="33"/>
      <c r="OLI310" s="33"/>
      <c r="OLJ310" s="33"/>
      <c r="OLK310" s="33"/>
      <c r="OLL310" s="33"/>
      <c r="OLM310" s="37"/>
      <c r="OLN310" s="208"/>
      <c r="OLO310" s="207"/>
      <c r="OLP310" s="204"/>
      <c r="OLQ310" s="35"/>
      <c r="OLR310" s="203"/>
      <c r="OLS310" s="203"/>
      <c r="OLT310" s="36"/>
      <c r="OLU310" s="36"/>
      <c r="OLV310" s="203"/>
      <c r="OLW310" s="33"/>
      <c r="OLX310" s="33"/>
      <c r="OLY310" s="33"/>
      <c r="OLZ310" s="33"/>
      <c r="OMA310" s="33"/>
      <c r="OMB310" s="33"/>
      <c r="OMC310" s="37"/>
      <c r="OMD310" s="208"/>
      <c r="OME310" s="207"/>
      <c r="OMF310" s="204"/>
      <c r="OMG310" s="35"/>
      <c r="OMH310" s="203"/>
      <c r="OMI310" s="203"/>
      <c r="OMJ310" s="36"/>
      <c r="OMK310" s="36"/>
      <c r="OML310" s="203"/>
      <c r="OMM310" s="33"/>
      <c r="OMN310" s="33"/>
      <c r="OMO310" s="33"/>
      <c r="OMP310" s="33"/>
      <c r="OMQ310" s="33"/>
      <c r="OMR310" s="33"/>
      <c r="OMS310" s="37"/>
      <c r="OMT310" s="208"/>
      <c r="OMU310" s="207"/>
      <c r="OMV310" s="204"/>
      <c r="OMW310" s="35"/>
      <c r="OMX310" s="203"/>
      <c r="OMY310" s="203"/>
      <c r="OMZ310" s="36"/>
      <c r="ONA310" s="36"/>
      <c r="ONB310" s="203"/>
      <c r="ONC310" s="33"/>
      <c r="OND310" s="33"/>
      <c r="ONE310" s="33"/>
      <c r="ONF310" s="33"/>
      <c r="ONG310" s="33"/>
      <c r="ONH310" s="33"/>
      <c r="ONI310" s="37"/>
      <c r="ONJ310" s="208"/>
      <c r="ONK310" s="207"/>
      <c r="ONL310" s="204"/>
      <c r="ONM310" s="35"/>
      <c r="ONN310" s="203"/>
      <c r="ONO310" s="203"/>
      <c r="ONP310" s="36"/>
      <c r="ONQ310" s="36"/>
      <c r="ONR310" s="203"/>
      <c r="ONS310" s="33"/>
      <c r="ONT310" s="33"/>
      <c r="ONU310" s="33"/>
      <c r="ONV310" s="33"/>
      <c r="ONW310" s="33"/>
      <c r="ONX310" s="33"/>
      <c r="ONY310" s="37"/>
      <c r="ONZ310" s="208"/>
      <c r="OOA310" s="207"/>
      <c r="OOB310" s="204"/>
      <c r="OOC310" s="35"/>
      <c r="OOD310" s="203"/>
      <c r="OOE310" s="203"/>
      <c r="OOF310" s="36"/>
      <c r="OOG310" s="36"/>
      <c r="OOH310" s="203"/>
      <c r="OOI310" s="33"/>
      <c r="OOJ310" s="33"/>
      <c r="OOK310" s="33"/>
      <c r="OOL310" s="33"/>
      <c r="OOM310" s="33"/>
      <c r="OON310" s="33"/>
      <c r="OOO310" s="37"/>
      <c r="OOP310" s="208"/>
      <c r="OOQ310" s="207"/>
      <c r="OOR310" s="204"/>
      <c r="OOS310" s="35"/>
      <c r="OOT310" s="203"/>
      <c r="OOU310" s="203"/>
      <c r="OOV310" s="36"/>
      <c r="OOW310" s="36"/>
      <c r="OOX310" s="203"/>
      <c r="OOY310" s="33"/>
      <c r="OOZ310" s="33"/>
      <c r="OPA310" s="33"/>
      <c r="OPB310" s="33"/>
      <c r="OPC310" s="33"/>
      <c r="OPD310" s="33"/>
      <c r="OPE310" s="37"/>
      <c r="OPF310" s="208"/>
      <c r="OPG310" s="207"/>
      <c r="OPH310" s="204"/>
      <c r="OPI310" s="35"/>
      <c r="OPJ310" s="203"/>
      <c r="OPK310" s="203"/>
      <c r="OPL310" s="36"/>
      <c r="OPM310" s="36"/>
      <c r="OPN310" s="203"/>
      <c r="OPO310" s="33"/>
      <c r="OPP310" s="33"/>
      <c r="OPQ310" s="33"/>
      <c r="OPR310" s="33"/>
      <c r="OPS310" s="33"/>
      <c r="OPT310" s="33"/>
      <c r="OPU310" s="37"/>
      <c r="OPV310" s="208"/>
      <c r="OPW310" s="207"/>
      <c r="OPX310" s="204"/>
      <c r="OPY310" s="35"/>
      <c r="OPZ310" s="203"/>
      <c r="OQA310" s="203"/>
      <c r="OQB310" s="36"/>
      <c r="OQC310" s="36"/>
      <c r="OQD310" s="203"/>
      <c r="OQE310" s="33"/>
      <c r="OQF310" s="33"/>
      <c r="OQG310" s="33"/>
      <c r="OQH310" s="33"/>
      <c r="OQI310" s="33"/>
      <c r="OQJ310" s="33"/>
      <c r="OQK310" s="37"/>
      <c r="OQL310" s="208"/>
      <c r="OQM310" s="207"/>
      <c r="OQN310" s="204"/>
      <c r="OQO310" s="35"/>
      <c r="OQP310" s="203"/>
      <c r="OQQ310" s="203"/>
      <c r="OQR310" s="36"/>
      <c r="OQS310" s="36"/>
      <c r="OQT310" s="203"/>
      <c r="OQU310" s="33"/>
      <c r="OQV310" s="33"/>
      <c r="OQW310" s="33"/>
      <c r="OQX310" s="33"/>
      <c r="OQY310" s="33"/>
      <c r="OQZ310" s="33"/>
      <c r="ORA310" s="37"/>
      <c r="ORB310" s="208"/>
      <c r="ORC310" s="207"/>
      <c r="ORD310" s="204"/>
      <c r="ORE310" s="35"/>
      <c r="ORF310" s="203"/>
      <c r="ORG310" s="203"/>
      <c r="ORH310" s="36"/>
      <c r="ORI310" s="36"/>
      <c r="ORJ310" s="203"/>
      <c r="ORK310" s="33"/>
      <c r="ORL310" s="33"/>
      <c r="ORM310" s="33"/>
      <c r="ORN310" s="33"/>
      <c r="ORO310" s="33"/>
      <c r="ORP310" s="33"/>
      <c r="ORQ310" s="37"/>
      <c r="ORR310" s="208"/>
      <c r="ORS310" s="207"/>
      <c r="ORT310" s="204"/>
      <c r="ORU310" s="35"/>
      <c r="ORV310" s="203"/>
      <c r="ORW310" s="203"/>
      <c r="ORX310" s="36"/>
      <c r="ORY310" s="36"/>
      <c r="ORZ310" s="203"/>
      <c r="OSA310" s="33"/>
      <c r="OSB310" s="33"/>
      <c r="OSC310" s="33"/>
      <c r="OSD310" s="33"/>
      <c r="OSE310" s="33"/>
      <c r="OSF310" s="33"/>
      <c r="OSG310" s="37"/>
      <c r="OSH310" s="208"/>
      <c r="OSI310" s="207"/>
      <c r="OSJ310" s="204"/>
      <c r="OSK310" s="35"/>
      <c r="OSL310" s="203"/>
      <c r="OSM310" s="203"/>
      <c r="OSN310" s="36"/>
      <c r="OSO310" s="36"/>
      <c r="OSP310" s="203"/>
      <c r="OSQ310" s="33"/>
      <c r="OSR310" s="33"/>
      <c r="OSS310" s="33"/>
      <c r="OST310" s="33"/>
      <c r="OSU310" s="33"/>
      <c r="OSV310" s="33"/>
      <c r="OSW310" s="37"/>
      <c r="OSX310" s="208"/>
      <c r="OSY310" s="207"/>
      <c r="OSZ310" s="204"/>
      <c r="OTA310" s="35"/>
      <c r="OTB310" s="203"/>
      <c r="OTC310" s="203"/>
      <c r="OTD310" s="36"/>
      <c r="OTE310" s="36"/>
      <c r="OTF310" s="203"/>
      <c r="OTG310" s="33"/>
      <c r="OTH310" s="33"/>
      <c r="OTI310" s="33"/>
      <c r="OTJ310" s="33"/>
      <c r="OTK310" s="33"/>
      <c r="OTL310" s="33"/>
      <c r="OTM310" s="37"/>
      <c r="OTN310" s="208"/>
      <c r="OTO310" s="207"/>
      <c r="OTP310" s="204"/>
      <c r="OTQ310" s="35"/>
      <c r="OTR310" s="203"/>
      <c r="OTS310" s="203"/>
      <c r="OTT310" s="36"/>
      <c r="OTU310" s="36"/>
      <c r="OTV310" s="203"/>
      <c r="OTW310" s="33"/>
      <c r="OTX310" s="33"/>
      <c r="OTY310" s="33"/>
      <c r="OTZ310" s="33"/>
      <c r="OUA310" s="33"/>
      <c r="OUB310" s="33"/>
      <c r="OUC310" s="37"/>
      <c r="OUD310" s="208"/>
      <c r="OUE310" s="207"/>
      <c r="OUF310" s="204"/>
      <c r="OUG310" s="35"/>
      <c r="OUH310" s="203"/>
      <c r="OUI310" s="203"/>
      <c r="OUJ310" s="36"/>
      <c r="OUK310" s="36"/>
      <c r="OUL310" s="203"/>
      <c r="OUM310" s="33"/>
      <c r="OUN310" s="33"/>
      <c r="OUO310" s="33"/>
      <c r="OUP310" s="33"/>
      <c r="OUQ310" s="33"/>
      <c r="OUR310" s="33"/>
      <c r="OUS310" s="37"/>
      <c r="OUT310" s="208"/>
      <c r="OUU310" s="207"/>
      <c r="OUV310" s="204"/>
      <c r="OUW310" s="35"/>
      <c r="OUX310" s="203"/>
      <c r="OUY310" s="203"/>
      <c r="OUZ310" s="36"/>
      <c r="OVA310" s="36"/>
      <c r="OVB310" s="203"/>
      <c r="OVC310" s="33"/>
      <c r="OVD310" s="33"/>
      <c r="OVE310" s="33"/>
      <c r="OVF310" s="33"/>
      <c r="OVG310" s="33"/>
      <c r="OVH310" s="33"/>
      <c r="OVI310" s="37"/>
      <c r="OVJ310" s="208"/>
      <c r="OVK310" s="207"/>
      <c r="OVL310" s="204"/>
      <c r="OVM310" s="35"/>
      <c r="OVN310" s="203"/>
      <c r="OVO310" s="203"/>
      <c r="OVP310" s="36"/>
      <c r="OVQ310" s="36"/>
      <c r="OVR310" s="203"/>
      <c r="OVS310" s="33"/>
      <c r="OVT310" s="33"/>
      <c r="OVU310" s="33"/>
      <c r="OVV310" s="33"/>
      <c r="OVW310" s="33"/>
      <c r="OVX310" s="33"/>
      <c r="OVY310" s="37"/>
      <c r="OVZ310" s="208"/>
      <c r="OWA310" s="207"/>
      <c r="OWB310" s="204"/>
      <c r="OWC310" s="35"/>
      <c r="OWD310" s="203"/>
      <c r="OWE310" s="203"/>
      <c r="OWF310" s="36"/>
      <c r="OWG310" s="36"/>
      <c r="OWH310" s="203"/>
      <c r="OWI310" s="33"/>
      <c r="OWJ310" s="33"/>
      <c r="OWK310" s="33"/>
      <c r="OWL310" s="33"/>
      <c r="OWM310" s="33"/>
      <c r="OWN310" s="33"/>
      <c r="OWO310" s="37"/>
      <c r="OWP310" s="208"/>
      <c r="OWQ310" s="207"/>
      <c r="OWR310" s="204"/>
      <c r="OWS310" s="35"/>
      <c r="OWT310" s="203"/>
      <c r="OWU310" s="203"/>
      <c r="OWV310" s="36"/>
      <c r="OWW310" s="36"/>
      <c r="OWX310" s="203"/>
      <c r="OWY310" s="33"/>
      <c r="OWZ310" s="33"/>
      <c r="OXA310" s="33"/>
      <c r="OXB310" s="33"/>
      <c r="OXC310" s="33"/>
      <c r="OXD310" s="33"/>
      <c r="OXE310" s="37"/>
      <c r="OXF310" s="208"/>
      <c r="OXG310" s="207"/>
      <c r="OXH310" s="204"/>
      <c r="OXI310" s="35"/>
      <c r="OXJ310" s="203"/>
      <c r="OXK310" s="203"/>
      <c r="OXL310" s="36"/>
      <c r="OXM310" s="36"/>
      <c r="OXN310" s="203"/>
      <c r="OXO310" s="33"/>
      <c r="OXP310" s="33"/>
      <c r="OXQ310" s="33"/>
      <c r="OXR310" s="33"/>
      <c r="OXS310" s="33"/>
      <c r="OXT310" s="33"/>
      <c r="OXU310" s="37"/>
      <c r="OXV310" s="208"/>
      <c r="OXW310" s="207"/>
      <c r="OXX310" s="204"/>
      <c r="OXY310" s="35"/>
      <c r="OXZ310" s="203"/>
      <c r="OYA310" s="203"/>
      <c r="OYB310" s="36"/>
      <c r="OYC310" s="36"/>
      <c r="OYD310" s="203"/>
      <c r="OYE310" s="33"/>
      <c r="OYF310" s="33"/>
      <c r="OYG310" s="33"/>
      <c r="OYH310" s="33"/>
      <c r="OYI310" s="33"/>
      <c r="OYJ310" s="33"/>
      <c r="OYK310" s="37"/>
      <c r="OYL310" s="208"/>
      <c r="OYM310" s="207"/>
      <c r="OYN310" s="204"/>
      <c r="OYO310" s="35"/>
      <c r="OYP310" s="203"/>
      <c r="OYQ310" s="203"/>
      <c r="OYR310" s="36"/>
      <c r="OYS310" s="36"/>
      <c r="OYT310" s="203"/>
      <c r="OYU310" s="33"/>
      <c r="OYV310" s="33"/>
      <c r="OYW310" s="33"/>
      <c r="OYX310" s="33"/>
      <c r="OYY310" s="33"/>
      <c r="OYZ310" s="33"/>
      <c r="OZA310" s="37"/>
      <c r="OZB310" s="208"/>
      <c r="OZC310" s="207"/>
      <c r="OZD310" s="204"/>
      <c r="OZE310" s="35"/>
      <c r="OZF310" s="203"/>
      <c r="OZG310" s="203"/>
      <c r="OZH310" s="36"/>
      <c r="OZI310" s="36"/>
      <c r="OZJ310" s="203"/>
      <c r="OZK310" s="33"/>
      <c r="OZL310" s="33"/>
      <c r="OZM310" s="33"/>
      <c r="OZN310" s="33"/>
      <c r="OZO310" s="33"/>
      <c r="OZP310" s="33"/>
      <c r="OZQ310" s="37"/>
      <c r="OZR310" s="208"/>
      <c r="OZS310" s="207"/>
      <c r="OZT310" s="204"/>
      <c r="OZU310" s="35"/>
      <c r="OZV310" s="203"/>
      <c r="OZW310" s="203"/>
      <c r="OZX310" s="36"/>
      <c r="OZY310" s="36"/>
      <c r="OZZ310" s="203"/>
      <c r="PAA310" s="33"/>
      <c r="PAB310" s="33"/>
      <c r="PAC310" s="33"/>
      <c r="PAD310" s="33"/>
      <c r="PAE310" s="33"/>
      <c r="PAF310" s="33"/>
      <c r="PAG310" s="37"/>
      <c r="PAH310" s="208"/>
      <c r="PAI310" s="207"/>
      <c r="PAJ310" s="204"/>
      <c r="PAK310" s="35"/>
      <c r="PAL310" s="203"/>
      <c r="PAM310" s="203"/>
      <c r="PAN310" s="36"/>
      <c r="PAO310" s="36"/>
      <c r="PAP310" s="203"/>
      <c r="PAQ310" s="33"/>
      <c r="PAR310" s="33"/>
      <c r="PAS310" s="33"/>
      <c r="PAT310" s="33"/>
      <c r="PAU310" s="33"/>
      <c r="PAV310" s="33"/>
      <c r="PAW310" s="37"/>
      <c r="PAX310" s="208"/>
      <c r="PAY310" s="207"/>
      <c r="PAZ310" s="204"/>
      <c r="PBA310" s="35"/>
      <c r="PBB310" s="203"/>
      <c r="PBC310" s="203"/>
      <c r="PBD310" s="36"/>
      <c r="PBE310" s="36"/>
      <c r="PBF310" s="203"/>
      <c r="PBG310" s="33"/>
      <c r="PBH310" s="33"/>
      <c r="PBI310" s="33"/>
      <c r="PBJ310" s="33"/>
      <c r="PBK310" s="33"/>
      <c r="PBL310" s="33"/>
      <c r="PBM310" s="37"/>
      <c r="PBN310" s="208"/>
      <c r="PBO310" s="207"/>
      <c r="PBP310" s="204"/>
      <c r="PBQ310" s="35"/>
      <c r="PBR310" s="203"/>
      <c r="PBS310" s="203"/>
      <c r="PBT310" s="36"/>
      <c r="PBU310" s="36"/>
      <c r="PBV310" s="203"/>
      <c r="PBW310" s="33"/>
      <c r="PBX310" s="33"/>
      <c r="PBY310" s="33"/>
      <c r="PBZ310" s="33"/>
      <c r="PCA310" s="33"/>
      <c r="PCB310" s="33"/>
      <c r="PCC310" s="37"/>
      <c r="PCD310" s="208"/>
      <c r="PCE310" s="207"/>
      <c r="PCF310" s="204"/>
      <c r="PCG310" s="35"/>
      <c r="PCH310" s="203"/>
      <c r="PCI310" s="203"/>
      <c r="PCJ310" s="36"/>
      <c r="PCK310" s="36"/>
      <c r="PCL310" s="203"/>
      <c r="PCM310" s="33"/>
      <c r="PCN310" s="33"/>
      <c r="PCO310" s="33"/>
      <c r="PCP310" s="33"/>
      <c r="PCQ310" s="33"/>
      <c r="PCR310" s="33"/>
      <c r="PCS310" s="37"/>
      <c r="PCT310" s="208"/>
      <c r="PCU310" s="207"/>
      <c r="PCV310" s="204"/>
      <c r="PCW310" s="35"/>
      <c r="PCX310" s="203"/>
      <c r="PCY310" s="203"/>
      <c r="PCZ310" s="36"/>
      <c r="PDA310" s="36"/>
      <c r="PDB310" s="203"/>
      <c r="PDC310" s="33"/>
      <c r="PDD310" s="33"/>
      <c r="PDE310" s="33"/>
      <c r="PDF310" s="33"/>
      <c r="PDG310" s="33"/>
      <c r="PDH310" s="33"/>
      <c r="PDI310" s="37"/>
      <c r="PDJ310" s="208"/>
      <c r="PDK310" s="207"/>
      <c r="PDL310" s="204"/>
      <c r="PDM310" s="35"/>
      <c r="PDN310" s="203"/>
      <c r="PDO310" s="203"/>
      <c r="PDP310" s="36"/>
      <c r="PDQ310" s="36"/>
      <c r="PDR310" s="203"/>
      <c r="PDS310" s="33"/>
      <c r="PDT310" s="33"/>
      <c r="PDU310" s="33"/>
      <c r="PDV310" s="33"/>
      <c r="PDW310" s="33"/>
      <c r="PDX310" s="33"/>
      <c r="PDY310" s="37"/>
      <c r="PDZ310" s="208"/>
      <c r="PEA310" s="207"/>
      <c r="PEB310" s="204"/>
      <c r="PEC310" s="35"/>
      <c r="PED310" s="203"/>
      <c r="PEE310" s="203"/>
      <c r="PEF310" s="36"/>
      <c r="PEG310" s="36"/>
      <c r="PEH310" s="203"/>
      <c r="PEI310" s="33"/>
      <c r="PEJ310" s="33"/>
      <c r="PEK310" s="33"/>
      <c r="PEL310" s="33"/>
      <c r="PEM310" s="33"/>
      <c r="PEN310" s="33"/>
      <c r="PEO310" s="37"/>
      <c r="PEP310" s="208"/>
      <c r="PEQ310" s="207"/>
      <c r="PER310" s="204"/>
      <c r="PES310" s="35"/>
      <c r="PET310" s="203"/>
      <c r="PEU310" s="203"/>
      <c r="PEV310" s="36"/>
      <c r="PEW310" s="36"/>
      <c r="PEX310" s="203"/>
      <c r="PEY310" s="33"/>
      <c r="PEZ310" s="33"/>
      <c r="PFA310" s="33"/>
      <c r="PFB310" s="33"/>
      <c r="PFC310" s="33"/>
      <c r="PFD310" s="33"/>
      <c r="PFE310" s="37"/>
      <c r="PFF310" s="208"/>
      <c r="PFG310" s="207"/>
      <c r="PFH310" s="204"/>
      <c r="PFI310" s="35"/>
      <c r="PFJ310" s="203"/>
      <c r="PFK310" s="203"/>
      <c r="PFL310" s="36"/>
      <c r="PFM310" s="36"/>
      <c r="PFN310" s="203"/>
      <c r="PFO310" s="33"/>
      <c r="PFP310" s="33"/>
      <c r="PFQ310" s="33"/>
      <c r="PFR310" s="33"/>
      <c r="PFS310" s="33"/>
      <c r="PFT310" s="33"/>
      <c r="PFU310" s="37"/>
      <c r="PFV310" s="208"/>
      <c r="PFW310" s="207"/>
      <c r="PFX310" s="204"/>
      <c r="PFY310" s="35"/>
      <c r="PFZ310" s="203"/>
      <c r="PGA310" s="203"/>
      <c r="PGB310" s="36"/>
      <c r="PGC310" s="36"/>
      <c r="PGD310" s="203"/>
      <c r="PGE310" s="33"/>
      <c r="PGF310" s="33"/>
      <c r="PGG310" s="33"/>
      <c r="PGH310" s="33"/>
      <c r="PGI310" s="33"/>
      <c r="PGJ310" s="33"/>
      <c r="PGK310" s="37"/>
      <c r="PGL310" s="208"/>
      <c r="PGM310" s="207"/>
      <c r="PGN310" s="204"/>
      <c r="PGO310" s="35"/>
      <c r="PGP310" s="203"/>
      <c r="PGQ310" s="203"/>
      <c r="PGR310" s="36"/>
      <c r="PGS310" s="36"/>
      <c r="PGT310" s="203"/>
      <c r="PGU310" s="33"/>
      <c r="PGV310" s="33"/>
      <c r="PGW310" s="33"/>
      <c r="PGX310" s="33"/>
      <c r="PGY310" s="33"/>
      <c r="PGZ310" s="33"/>
      <c r="PHA310" s="37"/>
      <c r="PHB310" s="208"/>
      <c r="PHC310" s="207"/>
      <c r="PHD310" s="204"/>
      <c r="PHE310" s="35"/>
      <c r="PHF310" s="203"/>
      <c r="PHG310" s="203"/>
      <c r="PHH310" s="36"/>
      <c r="PHI310" s="36"/>
      <c r="PHJ310" s="203"/>
      <c r="PHK310" s="33"/>
      <c r="PHL310" s="33"/>
      <c r="PHM310" s="33"/>
      <c r="PHN310" s="33"/>
      <c r="PHO310" s="33"/>
      <c r="PHP310" s="33"/>
      <c r="PHQ310" s="37"/>
      <c r="PHR310" s="208"/>
      <c r="PHS310" s="207"/>
      <c r="PHT310" s="204"/>
      <c r="PHU310" s="35"/>
      <c r="PHV310" s="203"/>
      <c r="PHW310" s="203"/>
      <c r="PHX310" s="36"/>
      <c r="PHY310" s="36"/>
      <c r="PHZ310" s="203"/>
      <c r="PIA310" s="33"/>
      <c r="PIB310" s="33"/>
      <c r="PIC310" s="33"/>
      <c r="PID310" s="33"/>
      <c r="PIE310" s="33"/>
      <c r="PIF310" s="33"/>
      <c r="PIG310" s="37"/>
      <c r="PIH310" s="208"/>
      <c r="PII310" s="207"/>
      <c r="PIJ310" s="204"/>
      <c r="PIK310" s="35"/>
      <c r="PIL310" s="203"/>
      <c r="PIM310" s="203"/>
      <c r="PIN310" s="36"/>
      <c r="PIO310" s="36"/>
      <c r="PIP310" s="203"/>
      <c r="PIQ310" s="33"/>
      <c r="PIR310" s="33"/>
      <c r="PIS310" s="33"/>
      <c r="PIT310" s="33"/>
      <c r="PIU310" s="33"/>
      <c r="PIV310" s="33"/>
      <c r="PIW310" s="37"/>
      <c r="PIX310" s="208"/>
      <c r="PIY310" s="207"/>
      <c r="PIZ310" s="204"/>
      <c r="PJA310" s="35"/>
      <c r="PJB310" s="203"/>
      <c r="PJC310" s="203"/>
      <c r="PJD310" s="36"/>
      <c r="PJE310" s="36"/>
      <c r="PJF310" s="203"/>
      <c r="PJG310" s="33"/>
      <c r="PJH310" s="33"/>
      <c r="PJI310" s="33"/>
      <c r="PJJ310" s="33"/>
      <c r="PJK310" s="33"/>
      <c r="PJL310" s="33"/>
      <c r="PJM310" s="37"/>
      <c r="PJN310" s="208"/>
      <c r="PJO310" s="207"/>
      <c r="PJP310" s="204"/>
      <c r="PJQ310" s="35"/>
      <c r="PJR310" s="203"/>
      <c r="PJS310" s="203"/>
      <c r="PJT310" s="36"/>
      <c r="PJU310" s="36"/>
      <c r="PJV310" s="203"/>
      <c r="PJW310" s="33"/>
      <c r="PJX310" s="33"/>
      <c r="PJY310" s="33"/>
      <c r="PJZ310" s="33"/>
      <c r="PKA310" s="33"/>
      <c r="PKB310" s="33"/>
      <c r="PKC310" s="37"/>
      <c r="PKD310" s="208"/>
      <c r="PKE310" s="207"/>
      <c r="PKF310" s="204"/>
      <c r="PKG310" s="35"/>
      <c r="PKH310" s="203"/>
      <c r="PKI310" s="203"/>
      <c r="PKJ310" s="36"/>
      <c r="PKK310" s="36"/>
      <c r="PKL310" s="203"/>
      <c r="PKM310" s="33"/>
      <c r="PKN310" s="33"/>
      <c r="PKO310" s="33"/>
      <c r="PKP310" s="33"/>
      <c r="PKQ310" s="33"/>
      <c r="PKR310" s="33"/>
      <c r="PKS310" s="37"/>
      <c r="PKT310" s="208"/>
      <c r="PKU310" s="207"/>
      <c r="PKV310" s="204"/>
      <c r="PKW310" s="35"/>
      <c r="PKX310" s="203"/>
      <c r="PKY310" s="203"/>
      <c r="PKZ310" s="36"/>
      <c r="PLA310" s="36"/>
      <c r="PLB310" s="203"/>
      <c r="PLC310" s="33"/>
      <c r="PLD310" s="33"/>
      <c r="PLE310" s="33"/>
      <c r="PLF310" s="33"/>
      <c r="PLG310" s="33"/>
      <c r="PLH310" s="33"/>
      <c r="PLI310" s="37"/>
      <c r="PLJ310" s="208"/>
      <c r="PLK310" s="207"/>
      <c r="PLL310" s="204"/>
      <c r="PLM310" s="35"/>
      <c r="PLN310" s="203"/>
      <c r="PLO310" s="203"/>
      <c r="PLP310" s="36"/>
      <c r="PLQ310" s="36"/>
      <c r="PLR310" s="203"/>
      <c r="PLS310" s="33"/>
      <c r="PLT310" s="33"/>
      <c r="PLU310" s="33"/>
      <c r="PLV310" s="33"/>
      <c r="PLW310" s="33"/>
      <c r="PLX310" s="33"/>
      <c r="PLY310" s="37"/>
      <c r="PLZ310" s="208"/>
      <c r="PMA310" s="207"/>
      <c r="PMB310" s="204"/>
      <c r="PMC310" s="35"/>
      <c r="PMD310" s="203"/>
      <c r="PME310" s="203"/>
      <c r="PMF310" s="36"/>
      <c r="PMG310" s="36"/>
      <c r="PMH310" s="203"/>
      <c r="PMI310" s="33"/>
      <c r="PMJ310" s="33"/>
      <c r="PMK310" s="33"/>
      <c r="PML310" s="33"/>
      <c r="PMM310" s="33"/>
      <c r="PMN310" s="33"/>
      <c r="PMO310" s="37"/>
      <c r="PMP310" s="208"/>
      <c r="PMQ310" s="207"/>
      <c r="PMR310" s="204"/>
      <c r="PMS310" s="35"/>
      <c r="PMT310" s="203"/>
      <c r="PMU310" s="203"/>
      <c r="PMV310" s="36"/>
      <c r="PMW310" s="36"/>
      <c r="PMX310" s="203"/>
      <c r="PMY310" s="33"/>
      <c r="PMZ310" s="33"/>
      <c r="PNA310" s="33"/>
      <c r="PNB310" s="33"/>
      <c r="PNC310" s="33"/>
      <c r="PND310" s="33"/>
      <c r="PNE310" s="37"/>
      <c r="PNF310" s="208"/>
      <c r="PNG310" s="207"/>
      <c r="PNH310" s="204"/>
      <c r="PNI310" s="35"/>
      <c r="PNJ310" s="203"/>
      <c r="PNK310" s="203"/>
      <c r="PNL310" s="36"/>
      <c r="PNM310" s="36"/>
      <c r="PNN310" s="203"/>
      <c r="PNO310" s="33"/>
      <c r="PNP310" s="33"/>
      <c r="PNQ310" s="33"/>
      <c r="PNR310" s="33"/>
      <c r="PNS310" s="33"/>
      <c r="PNT310" s="33"/>
      <c r="PNU310" s="37"/>
      <c r="PNV310" s="208"/>
      <c r="PNW310" s="207"/>
      <c r="PNX310" s="204"/>
      <c r="PNY310" s="35"/>
      <c r="PNZ310" s="203"/>
      <c r="POA310" s="203"/>
      <c r="POB310" s="36"/>
      <c r="POC310" s="36"/>
      <c r="POD310" s="203"/>
      <c r="POE310" s="33"/>
      <c r="POF310" s="33"/>
      <c r="POG310" s="33"/>
      <c r="POH310" s="33"/>
      <c r="POI310" s="33"/>
      <c r="POJ310" s="33"/>
      <c r="POK310" s="37"/>
      <c r="POL310" s="208"/>
      <c r="POM310" s="207"/>
      <c r="PON310" s="204"/>
      <c r="POO310" s="35"/>
      <c r="POP310" s="203"/>
      <c r="POQ310" s="203"/>
      <c r="POR310" s="36"/>
      <c r="POS310" s="36"/>
      <c r="POT310" s="203"/>
      <c r="POU310" s="33"/>
      <c r="POV310" s="33"/>
      <c r="POW310" s="33"/>
      <c r="POX310" s="33"/>
      <c r="POY310" s="33"/>
      <c r="POZ310" s="33"/>
      <c r="PPA310" s="37"/>
      <c r="PPB310" s="208"/>
      <c r="PPC310" s="207"/>
      <c r="PPD310" s="204"/>
      <c r="PPE310" s="35"/>
      <c r="PPF310" s="203"/>
      <c r="PPG310" s="203"/>
      <c r="PPH310" s="36"/>
      <c r="PPI310" s="36"/>
      <c r="PPJ310" s="203"/>
      <c r="PPK310" s="33"/>
      <c r="PPL310" s="33"/>
      <c r="PPM310" s="33"/>
      <c r="PPN310" s="33"/>
      <c r="PPO310" s="33"/>
      <c r="PPP310" s="33"/>
      <c r="PPQ310" s="37"/>
      <c r="PPR310" s="208"/>
      <c r="PPS310" s="207"/>
      <c r="PPT310" s="204"/>
      <c r="PPU310" s="35"/>
      <c r="PPV310" s="203"/>
      <c r="PPW310" s="203"/>
      <c r="PPX310" s="36"/>
      <c r="PPY310" s="36"/>
      <c r="PPZ310" s="203"/>
      <c r="PQA310" s="33"/>
      <c r="PQB310" s="33"/>
      <c r="PQC310" s="33"/>
      <c r="PQD310" s="33"/>
      <c r="PQE310" s="33"/>
      <c r="PQF310" s="33"/>
      <c r="PQG310" s="37"/>
      <c r="PQH310" s="208"/>
      <c r="PQI310" s="207"/>
      <c r="PQJ310" s="204"/>
      <c r="PQK310" s="35"/>
      <c r="PQL310" s="203"/>
      <c r="PQM310" s="203"/>
      <c r="PQN310" s="36"/>
      <c r="PQO310" s="36"/>
      <c r="PQP310" s="203"/>
      <c r="PQQ310" s="33"/>
      <c r="PQR310" s="33"/>
      <c r="PQS310" s="33"/>
      <c r="PQT310" s="33"/>
      <c r="PQU310" s="33"/>
      <c r="PQV310" s="33"/>
      <c r="PQW310" s="37"/>
      <c r="PQX310" s="208"/>
      <c r="PQY310" s="207"/>
      <c r="PQZ310" s="204"/>
      <c r="PRA310" s="35"/>
      <c r="PRB310" s="203"/>
      <c r="PRC310" s="203"/>
      <c r="PRD310" s="36"/>
      <c r="PRE310" s="36"/>
      <c r="PRF310" s="203"/>
      <c r="PRG310" s="33"/>
      <c r="PRH310" s="33"/>
      <c r="PRI310" s="33"/>
      <c r="PRJ310" s="33"/>
      <c r="PRK310" s="33"/>
      <c r="PRL310" s="33"/>
      <c r="PRM310" s="37"/>
      <c r="PRN310" s="208"/>
      <c r="PRO310" s="207"/>
      <c r="PRP310" s="204"/>
      <c r="PRQ310" s="35"/>
      <c r="PRR310" s="203"/>
      <c r="PRS310" s="203"/>
      <c r="PRT310" s="36"/>
      <c r="PRU310" s="36"/>
      <c r="PRV310" s="203"/>
      <c r="PRW310" s="33"/>
      <c r="PRX310" s="33"/>
      <c r="PRY310" s="33"/>
      <c r="PRZ310" s="33"/>
      <c r="PSA310" s="33"/>
      <c r="PSB310" s="33"/>
      <c r="PSC310" s="37"/>
      <c r="PSD310" s="208"/>
      <c r="PSE310" s="207"/>
      <c r="PSF310" s="204"/>
      <c r="PSG310" s="35"/>
      <c r="PSH310" s="203"/>
      <c r="PSI310" s="203"/>
      <c r="PSJ310" s="36"/>
      <c r="PSK310" s="36"/>
      <c r="PSL310" s="203"/>
      <c r="PSM310" s="33"/>
      <c r="PSN310" s="33"/>
      <c r="PSO310" s="33"/>
      <c r="PSP310" s="33"/>
      <c r="PSQ310" s="33"/>
      <c r="PSR310" s="33"/>
      <c r="PSS310" s="37"/>
      <c r="PST310" s="208"/>
      <c r="PSU310" s="207"/>
      <c r="PSV310" s="204"/>
      <c r="PSW310" s="35"/>
      <c r="PSX310" s="203"/>
      <c r="PSY310" s="203"/>
      <c r="PSZ310" s="36"/>
      <c r="PTA310" s="36"/>
      <c r="PTB310" s="203"/>
      <c r="PTC310" s="33"/>
      <c r="PTD310" s="33"/>
      <c r="PTE310" s="33"/>
      <c r="PTF310" s="33"/>
      <c r="PTG310" s="33"/>
      <c r="PTH310" s="33"/>
      <c r="PTI310" s="37"/>
      <c r="PTJ310" s="208"/>
      <c r="PTK310" s="207"/>
      <c r="PTL310" s="204"/>
      <c r="PTM310" s="35"/>
      <c r="PTN310" s="203"/>
      <c r="PTO310" s="203"/>
      <c r="PTP310" s="36"/>
      <c r="PTQ310" s="36"/>
      <c r="PTR310" s="203"/>
      <c r="PTS310" s="33"/>
      <c r="PTT310" s="33"/>
      <c r="PTU310" s="33"/>
      <c r="PTV310" s="33"/>
      <c r="PTW310" s="33"/>
      <c r="PTX310" s="33"/>
      <c r="PTY310" s="37"/>
      <c r="PTZ310" s="208"/>
      <c r="PUA310" s="207"/>
      <c r="PUB310" s="204"/>
      <c r="PUC310" s="35"/>
      <c r="PUD310" s="203"/>
      <c r="PUE310" s="203"/>
      <c r="PUF310" s="36"/>
      <c r="PUG310" s="36"/>
      <c r="PUH310" s="203"/>
      <c r="PUI310" s="33"/>
      <c r="PUJ310" s="33"/>
      <c r="PUK310" s="33"/>
      <c r="PUL310" s="33"/>
      <c r="PUM310" s="33"/>
      <c r="PUN310" s="33"/>
      <c r="PUO310" s="37"/>
      <c r="PUP310" s="208"/>
      <c r="PUQ310" s="207"/>
      <c r="PUR310" s="204"/>
      <c r="PUS310" s="35"/>
      <c r="PUT310" s="203"/>
      <c r="PUU310" s="203"/>
      <c r="PUV310" s="36"/>
      <c r="PUW310" s="36"/>
      <c r="PUX310" s="203"/>
      <c r="PUY310" s="33"/>
      <c r="PUZ310" s="33"/>
      <c r="PVA310" s="33"/>
      <c r="PVB310" s="33"/>
      <c r="PVC310" s="33"/>
      <c r="PVD310" s="33"/>
      <c r="PVE310" s="37"/>
      <c r="PVF310" s="208"/>
      <c r="PVG310" s="207"/>
      <c r="PVH310" s="204"/>
      <c r="PVI310" s="35"/>
      <c r="PVJ310" s="203"/>
      <c r="PVK310" s="203"/>
      <c r="PVL310" s="36"/>
      <c r="PVM310" s="36"/>
      <c r="PVN310" s="203"/>
      <c r="PVO310" s="33"/>
      <c r="PVP310" s="33"/>
      <c r="PVQ310" s="33"/>
      <c r="PVR310" s="33"/>
      <c r="PVS310" s="33"/>
      <c r="PVT310" s="33"/>
      <c r="PVU310" s="37"/>
      <c r="PVV310" s="208"/>
      <c r="PVW310" s="207"/>
      <c r="PVX310" s="204"/>
      <c r="PVY310" s="35"/>
      <c r="PVZ310" s="203"/>
      <c r="PWA310" s="203"/>
      <c r="PWB310" s="36"/>
      <c r="PWC310" s="36"/>
      <c r="PWD310" s="203"/>
      <c r="PWE310" s="33"/>
      <c r="PWF310" s="33"/>
      <c r="PWG310" s="33"/>
      <c r="PWH310" s="33"/>
      <c r="PWI310" s="33"/>
      <c r="PWJ310" s="33"/>
      <c r="PWK310" s="37"/>
      <c r="PWL310" s="208"/>
      <c r="PWM310" s="207"/>
      <c r="PWN310" s="204"/>
      <c r="PWO310" s="35"/>
      <c r="PWP310" s="203"/>
      <c r="PWQ310" s="203"/>
      <c r="PWR310" s="36"/>
      <c r="PWS310" s="36"/>
      <c r="PWT310" s="203"/>
      <c r="PWU310" s="33"/>
      <c r="PWV310" s="33"/>
      <c r="PWW310" s="33"/>
      <c r="PWX310" s="33"/>
      <c r="PWY310" s="33"/>
      <c r="PWZ310" s="33"/>
      <c r="PXA310" s="37"/>
      <c r="PXB310" s="208"/>
      <c r="PXC310" s="207"/>
      <c r="PXD310" s="204"/>
      <c r="PXE310" s="35"/>
      <c r="PXF310" s="203"/>
      <c r="PXG310" s="203"/>
      <c r="PXH310" s="36"/>
      <c r="PXI310" s="36"/>
      <c r="PXJ310" s="203"/>
      <c r="PXK310" s="33"/>
      <c r="PXL310" s="33"/>
      <c r="PXM310" s="33"/>
      <c r="PXN310" s="33"/>
      <c r="PXO310" s="33"/>
      <c r="PXP310" s="33"/>
      <c r="PXQ310" s="37"/>
      <c r="PXR310" s="208"/>
      <c r="PXS310" s="207"/>
      <c r="PXT310" s="204"/>
      <c r="PXU310" s="35"/>
      <c r="PXV310" s="203"/>
      <c r="PXW310" s="203"/>
      <c r="PXX310" s="36"/>
      <c r="PXY310" s="36"/>
      <c r="PXZ310" s="203"/>
      <c r="PYA310" s="33"/>
      <c r="PYB310" s="33"/>
      <c r="PYC310" s="33"/>
      <c r="PYD310" s="33"/>
      <c r="PYE310" s="33"/>
      <c r="PYF310" s="33"/>
      <c r="PYG310" s="37"/>
      <c r="PYH310" s="208"/>
      <c r="PYI310" s="207"/>
      <c r="PYJ310" s="204"/>
      <c r="PYK310" s="35"/>
      <c r="PYL310" s="203"/>
      <c r="PYM310" s="203"/>
      <c r="PYN310" s="36"/>
      <c r="PYO310" s="36"/>
      <c r="PYP310" s="203"/>
      <c r="PYQ310" s="33"/>
      <c r="PYR310" s="33"/>
      <c r="PYS310" s="33"/>
      <c r="PYT310" s="33"/>
      <c r="PYU310" s="33"/>
      <c r="PYV310" s="33"/>
      <c r="PYW310" s="37"/>
      <c r="PYX310" s="208"/>
      <c r="PYY310" s="207"/>
      <c r="PYZ310" s="204"/>
      <c r="PZA310" s="35"/>
      <c r="PZB310" s="203"/>
      <c r="PZC310" s="203"/>
      <c r="PZD310" s="36"/>
      <c r="PZE310" s="36"/>
      <c r="PZF310" s="203"/>
      <c r="PZG310" s="33"/>
      <c r="PZH310" s="33"/>
      <c r="PZI310" s="33"/>
      <c r="PZJ310" s="33"/>
      <c r="PZK310" s="33"/>
      <c r="PZL310" s="33"/>
      <c r="PZM310" s="37"/>
      <c r="PZN310" s="208"/>
      <c r="PZO310" s="207"/>
      <c r="PZP310" s="204"/>
      <c r="PZQ310" s="35"/>
      <c r="PZR310" s="203"/>
      <c r="PZS310" s="203"/>
      <c r="PZT310" s="36"/>
      <c r="PZU310" s="36"/>
      <c r="PZV310" s="203"/>
      <c r="PZW310" s="33"/>
      <c r="PZX310" s="33"/>
      <c r="PZY310" s="33"/>
      <c r="PZZ310" s="33"/>
      <c r="QAA310" s="33"/>
      <c r="QAB310" s="33"/>
      <c r="QAC310" s="37"/>
      <c r="QAD310" s="208"/>
      <c r="QAE310" s="207"/>
      <c r="QAF310" s="204"/>
      <c r="QAG310" s="35"/>
      <c r="QAH310" s="203"/>
      <c r="QAI310" s="203"/>
      <c r="QAJ310" s="36"/>
      <c r="QAK310" s="36"/>
      <c r="QAL310" s="203"/>
      <c r="QAM310" s="33"/>
      <c r="QAN310" s="33"/>
      <c r="QAO310" s="33"/>
      <c r="QAP310" s="33"/>
      <c r="QAQ310" s="33"/>
      <c r="QAR310" s="33"/>
      <c r="QAS310" s="37"/>
      <c r="QAT310" s="208"/>
      <c r="QAU310" s="207"/>
      <c r="QAV310" s="204"/>
      <c r="QAW310" s="35"/>
      <c r="QAX310" s="203"/>
      <c r="QAY310" s="203"/>
      <c r="QAZ310" s="36"/>
      <c r="QBA310" s="36"/>
      <c r="QBB310" s="203"/>
      <c r="QBC310" s="33"/>
      <c r="QBD310" s="33"/>
      <c r="QBE310" s="33"/>
      <c r="QBF310" s="33"/>
      <c r="QBG310" s="33"/>
      <c r="QBH310" s="33"/>
      <c r="QBI310" s="37"/>
      <c r="QBJ310" s="208"/>
      <c r="QBK310" s="207"/>
      <c r="QBL310" s="204"/>
      <c r="QBM310" s="35"/>
      <c r="QBN310" s="203"/>
      <c r="QBO310" s="203"/>
      <c r="QBP310" s="36"/>
      <c r="QBQ310" s="36"/>
      <c r="QBR310" s="203"/>
      <c r="QBS310" s="33"/>
      <c r="QBT310" s="33"/>
      <c r="QBU310" s="33"/>
      <c r="QBV310" s="33"/>
      <c r="QBW310" s="33"/>
      <c r="QBX310" s="33"/>
      <c r="QBY310" s="37"/>
      <c r="QBZ310" s="208"/>
      <c r="QCA310" s="207"/>
      <c r="QCB310" s="204"/>
      <c r="QCC310" s="35"/>
      <c r="QCD310" s="203"/>
      <c r="QCE310" s="203"/>
      <c r="QCF310" s="36"/>
      <c r="QCG310" s="36"/>
      <c r="QCH310" s="203"/>
      <c r="QCI310" s="33"/>
      <c r="QCJ310" s="33"/>
      <c r="QCK310" s="33"/>
      <c r="QCL310" s="33"/>
      <c r="QCM310" s="33"/>
      <c r="QCN310" s="33"/>
      <c r="QCO310" s="37"/>
      <c r="QCP310" s="208"/>
      <c r="QCQ310" s="207"/>
      <c r="QCR310" s="204"/>
      <c r="QCS310" s="35"/>
      <c r="QCT310" s="203"/>
      <c r="QCU310" s="203"/>
      <c r="QCV310" s="36"/>
      <c r="QCW310" s="36"/>
      <c r="QCX310" s="203"/>
      <c r="QCY310" s="33"/>
      <c r="QCZ310" s="33"/>
      <c r="QDA310" s="33"/>
      <c r="QDB310" s="33"/>
      <c r="QDC310" s="33"/>
      <c r="QDD310" s="33"/>
      <c r="QDE310" s="37"/>
      <c r="QDF310" s="208"/>
      <c r="QDG310" s="207"/>
      <c r="QDH310" s="204"/>
      <c r="QDI310" s="35"/>
      <c r="QDJ310" s="203"/>
      <c r="QDK310" s="203"/>
      <c r="QDL310" s="36"/>
      <c r="QDM310" s="36"/>
      <c r="QDN310" s="203"/>
      <c r="QDO310" s="33"/>
      <c r="QDP310" s="33"/>
      <c r="QDQ310" s="33"/>
      <c r="QDR310" s="33"/>
      <c r="QDS310" s="33"/>
      <c r="QDT310" s="33"/>
      <c r="QDU310" s="37"/>
      <c r="QDV310" s="208"/>
      <c r="QDW310" s="207"/>
      <c r="QDX310" s="204"/>
      <c r="QDY310" s="35"/>
      <c r="QDZ310" s="203"/>
      <c r="QEA310" s="203"/>
      <c r="QEB310" s="36"/>
      <c r="QEC310" s="36"/>
      <c r="QED310" s="203"/>
      <c r="QEE310" s="33"/>
      <c r="QEF310" s="33"/>
      <c r="QEG310" s="33"/>
      <c r="QEH310" s="33"/>
      <c r="QEI310" s="33"/>
      <c r="QEJ310" s="33"/>
      <c r="QEK310" s="37"/>
      <c r="QEL310" s="208"/>
      <c r="QEM310" s="207"/>
      <c r="QEN310" s="204"/>
      <c r="QEO310" s="35"/>
      <c r="QEP310" s="203"/>
      <c r="QEQ310" s="203"/>
      <c r="QER310" s="36"/>
      <c r="QES310" s="36"/>
      <c r="QET310" s="203"/>
      <c r="QEU310" s="33"/>
      <c r="QEV310" s="33"/>
      <c r="QEW310" s="33"/>
      <c r="QEX310" s="33"/>
      <c r="QEY310" s="33"/>
      <c r="QEZ310" s="33"/>
      <c r="QFA310" s="37"/>
      <c r="QFB310" s="208"/>
      <c r="QFC310" s="207"/>
      <c r="QFD310" s="204"/>
      <c r="QFE310" s="35"/>
      <c r="QFF310" s="203"/>
      <c r="QFG310" s="203"/>
      <c r="QFH310" s="36"/>
      <c r="QFI310" s="36"/>
      <c r="QFJ310" s="203"/>
      <c r="QFK310" s="33"/>
      <c r="QFL310" s="33"/>
      <c r="QFM310" s="33"/>
      <c r="QFN310" s="33"/>
      <c r="QFO310" s="33"/>
      <c r="QFP310" s="33"/>
      <c r="QFQ310" s="37"/>
      <c r="QFR310" s="208"/>
      <c r="QFS310" s="207"/>
      <c r="QFT310" s="204"/>
      <c r="QFU310" s="35"/>
      <c r="QFV310" s="203"/>
      <c r="QFW310" s="203"/>
      <c r="QFX310" s="36"/>
      <c r="QFY310" s="36"/>
      <c r="QFZ310" s="203"/>
      <c r="QGA310" s="33"/>
      <c r="QGB310" s="33"/>
      <c r="QGC310" s="33"/>
      <c r="QGD310" s="33"/>
      <c r="QGE310" s="33"/>
      <c r="QGF310" s="33"/>
      <c r="QGG310" s="37"/>
      <c r="QGH310" s="208"/>
      <c r="QGI310" s="207"/>
      <c r="QGJ310" s="204"/>
      <c r="QGK310" s="35"/>
      <c r="QGL310" s="203"/>
      <c r="QGM310" s="203"/>
      <c r="QGN310" s="36"/>
      <c r="QGO310" s="36"/>
      <c r="QGP310" s="203"/>
      <c r="QGQ310" s="33"/>
      <c r="QGR310" s="33"/>
      <c r="QGS310" s="33"/>
      <c r="QGT310" s="33"/>
      <c r="QGU310" s="33"/>
      <c r="QGV310" s="33"/>
      <c r="QGW310" s="37"/>
      <c r="QGX310" s="208"/>
      <c r="QGY310" s="207"/>
      <c r="QGZ310" s="204"/>
      <c r="QHA310" s="35"/>
      <c r="QHB310" s="203"/>
      <c r="QHC310" s="203"/>
      <c r="QHD310" s="36"/>
      <c r="QHE310" s="36"/>
      <c r="QHF310" s="203"/>
      <c r="QHG310" s="33"/>
      <c r="QHH310" s="33"/>
      <c r="QHI310" s="33"/>
      <c r="QHJ310" s="33"/>
      <c r="QHK310" s="33"/>
      <c r="QHL310" s="33"/>
      <c r="QHM310" s="37"/>
      <c r="QHN310" s="208"/>
      <c r="QHO310" s="207"/>
      <c r="QHP310" s="204"/>
      <c r="QHQ310" s="35"/>
      <c r="QHR310" s="203"/>
      <c r="QHS310" s="203"/>
      <c r="QHT310" s="36"/>
      <c r="QHU310" s="36"/>
      <c r="QHV310" s="203"/>
      <c r="QHW310" s="33"/>
      <c r="QHX310" s="33"/>
      <c r="QHY310" s="33"/>
      <c r="QHZ310" s="33"/>
      <c r="QIA310" s="33"/>
      <c r="QIB310" s="33"/>
      <c r="QIC310" s="37"/>
      <c r="QID310" s="208"/>
      <c r="QIE310" s="207"/>
      <c r="QIF310" s="204"/>
      <c r="QIG310" s="35"/>
      <c r="QIH310" s="203"/>
      <c r="QII310" s="203"/>
      <c r="QIJ310" s="36"/>
      <c r="QIK310" s="36"/>
      <c r="QIL310" s="203"/>
      <c r="QIM310" s="33"/>
      <c r="QIN310" s="33"/>
      <c r="QIO310" s="33"/>
      <c r="QIP310" s="33"/>
      <c r="QIQ310" s="33"/>
      <c r="QIR310" s="33"/>
      <c r="QIS310" s="37"/>
      <c r="QIT310" s="208"/>
      <c r="QIU310" s="207"/>
      <c r="QIV310" s="204"/>
      <c r="QIW310" s="35"/>
      <c r="QIX310" s="203"/>
      <c r="QIY310" s="203"/>
      <c r="QIZ310" s="36"/>
      <c r="QJA310" s="36"/>
      <c r="QJB310" s="203"/>
      <c r="QJC310" s="33"/>
      <c r="QJD310" s="33"/>
      <c r="QJE310" s="33"/>
      <c r="QJF310" s="33"/>
      <c r="QJG310" s="33"/>
      <c r="QJH310" s="33"/>
      <c r="QJI310" s="37"/>
      <c r="QJJ310" s="208"/>
      <c r="QJK310" s="207"/>
      <c r="QJL310" s="204"/>
      <c r="QJM310" s="35"/>
      <c r="QJN310" s="203"/>
      <c r="QJO310" s="203"/>
      <c r="QJP310" s="36"/>
      <c r="QJQ310" s="36"/>
      <c r="QJR310" s="203"/>
      <c r="QJS310" s="33"/>
      <c r="QJT310" s="33"/>
      <c r="QJU310" s="33"/>
      <c r="QJV310" s="33"/>
      <c r="QJW310" s="33"/>
      <c r="QJX310" s="33"/>
      <c r="QJY310" s="37"/>
      <c r="QJZ310" s="208"/>
      <c r="QKA310" s="207"/>
      <c r="QKB310" s="204"/>
      <c r="QKC310" s="35"/>
      <c r="QKD310" s="203"/>
      <c r="QKE310" s="203"/>
      <c r="QKF310" s="36"/>
      <c r="QKG310" s="36"/>
      <c r="QKH310" s="203"/>
      <c r="QKI310" s="33"/>
      <c r="QKJ310" s="33"/>
      <c r="QKK310" s="33"/>
      <c r="QKL310" s="33"/>
      <c r="QKM310" s="33"/>
      <c r="QKN310" s="33"/>
      <c r="QKO310" s="37"/>
      <c r="QKP310" s="208"/>
      <c r="QKQ310" s="207"/>
      <c r="QKR310" s="204"/>
      <c r="QKS310" s="35"/>
      <c r="QKT310" s="203"/>
      <c r="QKU310" s="203"/>
      <c r="QKV310" s="36"/>
      <c r="QKW310" s="36"/>
      <c r="QKX310" s="203"/>
      <c r="QKY310" s="33"/>
      <c r="QKZ310" s="33"/>
      <c r="QLA310" s="33"/>
      <c r="QLB310" s="33"/>
      <c r="QLC310" s="33"/>
      <c r="QLD310" s="33"/>
      <c r="QLE310" s="37"/>
      <c r="QLF310" s="208"/>
      <c r="QLG310" s="207"/>
      <c r="QLH310" s="204"/>
      <c r="QLI310" s="35"/>
      <c r="QLJ310" s="203"/>
      <c r="QLK310" s="203"/>
      <c r="QLL310" s="36"/>
      <c r="QLM310" s="36"/>
      <c r="QLN310" s="203"/>
      <c r="QLO310" s="33"/>
      <c r="QLP310" s="33"/>
      <c r="QLQ310" s="33"/>
      <c r="QLR310" s="33"/>
      <c r="QLS310" s="33"/>
      <c r="QLT310" s="33"/>
      <c r="QLU310" s="37"/>
      <c r="QLV310" s="208"/>
      <c r="QLW310" s="207"/>
      <c r="QLX310" s="204"/>
      <c r="QLY310" s="35"/>
      <c r="QLZ310" s="203"/>
      <c r="QMA310" s="203"/>
      <c r="QMB310" s="36"/>
      <c r="QMC310" s="36"/>
      <c r="QMD310" s="203"/>
      <c r="QME310" s="33"/>
      <c r="QMF310" s="33"/>
      <c r="QMG310" s="33"/>
      <c r="QMH310" s="33"/>
      <c r="QMI310" s="33"/>
      <c r="QMJ310" s="33"/>
      <c r="QMK310" s="37"/>
      <c r="QML310" s="208"/>
      <c r="QMM310" s="207"/>
      <c r="QMN310" s="204"/>
      <c r="QMO310" s="35"/>
      <c r="QMP310" s="203"/>
      <c r="QMQ310" s="203"/>
      <c r="QMR310" s="36"/>
      <c r="QMS310" s="36"/>
      <c r="QMT310" s="203"/>
      <c r="QMU310" s="33"/>
      <c r="QMV310" s="33"/>
      <c r="QMW310" s="33"/>
      <c r="QMX310" s="33"/>
      <c r="QMY310" s="33"/>
      <c r="QMZ310" s="33"/>
      <c r="QNA310" s="37"/>
      <c r="QNB310" s="208"/>
      <c r="QNC310" s="207"/>
      <c r="QND310" s="204"/>
      <c r="QNE310" s="35"/>
      <c r="QNF310" s="203"/>
      <c r="QNG310" s="203"/>
      <c r="QNH310" s="36"/>
      <c r="QNI310" s="36"/>
      <c r="QNJ310" s="203"/>
      <c r="QNK310" s="33"/>
      <c r="QNL310" s="33"/>
      <c r="QNM310" s="33"/>
      <c r="QNN310" s="33"/>
      <c r="QNO310" s="33"/>
      <c r="QNP310" s="33"/>
      <c r="QNQ310" s="37"/>
      <c r="QNR310" s="208"/>
      <c r="QNS310" s="207"/>
      <c r="QNT310" s="204"/>
      <c r="QNU310" s="35"/>
      <c r="QNV310" s="203"/>
      <c r="QNW310" s="203"/>
      <c r="QNX310" s="36"/>
      <c r="QNY310" s="36"/>
      <c r="QNZ310" s="203"/>
      <c r="QOA310" s="33"/>
      <c r="QOB310" s="33"/>
      <c r="QOC310" s="33"/>
      <c r="QOD310" s="33"/>
      <c r="QOE310" s="33"/>
      <c r="QOF310" s="33"/>
      <c r="QOG310" s="37"/>
      <c r="QOH310" s="208"/>
      <c r="QOI310" s="207"/>
      <c r="QOJ310" s="204"/>
      <c r="QOK310" s="35"/>
      <c r="QOL310" s="203"/>
      <c r="QOM310" s="203"/>
      <c r="QON310" s="36"/>
      <c r="QOO310" s="36"/>
      <c r="QOP310" s="203"/>
      <c r="QOQ310" s="33"/>
      <c r="QOR310" s="33"/>
      <c r="QOS310" s="33"/>
      <c r="QOT310" s="33"/>
      <c r="QOU310" s="33"/>
      <c r="QOV310" s="33"/>
      <c r="QOW310" s="37"/>
      <c r="QOX310" s="208"/>
      <c r="QOY310" s="207"/>
      <c r="QOZ310" s="204"/>
      <c r="QPA310" s="35"/>
      <c r="QPB310" s="203"/>
      <c r="QPC310" s="203"/>
      <c r="QPD310" s="36"/>
      <c r="QPE310" s="36"/>
      <c r="QPF310" s="203"/>
      <c r="QPG310" s="33"/>
      <c r="QPH310" s="33"/>
      <c r="QPI310" s="33"/>
      <c r="QPJ310" s="33"/>
      <c r="QPK310" s="33"/>
      <c r="QPL310" s="33"/>
      <c r="QPM310" s="37"/>
      <c r="QPN310" s="208"/>
      <c r="QPO310" s="207"/>
      <c r="QPP310" s="204"/>
      <c r="QPQ310" s="35"/>
      <c r="QPR310" s="203"/>
      <c r="QPS310" s="203"/>
      <c r="QPT310" s="36"/>
      <c r="QPU310" s="36"/>
      <c r="QPV310" s="203"/>
      <c r="QPW310" s="33"/>
      <c r="QPX310" s="33"/>
      <c r="QPY310" s="33"/>
      <c r="QPZ310" s="33"/>
      <c r="QQA310" s="33"/>
      <c r="QQB310" s="33"/>
      <c r="QQC310" s="37"/>
      <c r="QQD310" s="208"/>
      <c r="QQE310" s="207"/>
      <c r="QQF310" s="204"/>
      <c r="QQG310" s="35"/>
      <c r="QQH310" s="203"/>
      <c r="QQI310" s="203"/>
      <c r="QQJ310" s="36"/>
      <c r="QQK310" s="36"/>
      <c r="QQL310" s="203"/>
      <c r="QQM310" s="33"/>
      <c r="QQN310" s="33"/>
      <c r="QQO310" s="33"/>
      <c r="QQP310" s="33"/>
      <c r="QQQ310" s="33"/>
      <c r="QQR310" s="33"/>
      <c r="QQS310" s="37"/>
      <c r="QQT310" s="208"/>
      <c r="QQU310" s="207"/>
      <c r="QQV310" s="204"/>
      <c r="QQW310" s="35"/>
      <c r="QQX310" s="203"/>
      <c r="QQY310" s="203"/>
      <c r="QQZ310" s="36"/>
      <c r="QRA310" s="36"/>
      <c r="QRB310" s="203"/>
      <c r="QRC310" s="33"/>
      <c r="QRD310" s="33"/>
      <c r="QRE310" s="33"/>
      <c r="QRF310" s="33"/>
      <c r="QRG310" s="33"/>
      <c r="QRH310" s="33"/>
      <c r="QRI310" s="37"/>
      <c r="QRJ310" s="208"/>
      <c r="QRK310" s="207"/>
      <c r="QRL310" s="204"/>
      <c r="QRM310" s="35"/>
      <c r="QRN310" s="203"/>
      <c r="QRO310" s="203"/>
      <c r="QRP310" s="36"/>
      <c r="QRQ310" s="36"/>
      <c r="QRR310" s="203"/>
      <c r="QRS310" s="33"/>
      <c r="QRT310" s="33"/>
      <c r="QRU310" s="33"/>
      <c r="QRV310" s="33"/>
      <c r="QRW310" s="33"/>
      <c r="QRX310" s="33"/>
      <c r="QRY310" s="37"/>
      <c r="QRZ310" s="208"/>
      <c r="QSA310" s="207"/>
      <c r="QSB310" s="204"/>
      <c r="QSC310" s="35"/>
      <c r="QSD310" s="203"/>
      <c r="QSE310" s="203"/>
      <c r="QSF310" s="36"/>
      <c r="QSG310" s="36"/>
      <c r="QSH310" s="203"/>
      <c r="QSI310" s="33"/>
      <c r="QSJ310" s="33"/>
      <c r="QSK310" s="33"/>
      <c r="QSL310" s="33"/>
      <c r="QSM310" s="33"/>
      <c r="QSN310" s="33"/>
      <c r="QSO310" s="37"/>
      <c r="QSP310" s="208"/>
      <c r="QSQ310" s="207"/>
      <c r="QSR310" s="204"/>
      <c r="QSS310" s="35"/>
      <c r="QST310" s="203"/>
      <c r="QSU310" s="203"/>
      <c r="QSV310" s="36"/>
      <c r="QSW310" s="36"/>
      <c r="QSX310" s="203"/>
      <c r="QSY310" s="33"/>
      <c r="QSZ310" s="33"/>
      <c r="QTA310" s="33"/>
      <c r="QTB310" s="33"/>
      <c r="QTC310" s="33"/>
      <c r="QTD310" s="33"/>
      <c r="QTE310" s="37"/>
      <c r="QTF310" s="208"/>
      <c r="QTG310" s="207"/>
      <c r="QTH310" s="204"/>
      <c r="QTI310" s="35"/>
      <c r="QTJ310" s="203"/>
      <c r="QTK310" s="203"/>
      <c r="QTL310" s="36"/>
      <c r="QTM310" s="36"/>
      <c r="QTN310" s="203"/>
      <c r="QTO310" s="33"/>
      <c r="QTP310" s="33"/>
      <c r="QTQ310" s="33"/>
      <c r="QTR310" s="33"/>
      <c r="QTS310" s="33"/>
      <c r="QTT310" s="33"/>
      <c r="QTU310" s="37"/>
      <c r="QTV310" s="208"/>
      <c r="QTW310" s="207"/>
      <c r="QTX310" s="204"/>
      <c r="QTY310" s="35"/>
      <c r="QTZ310" s="203"/>
      <c r="QUA310" s="203"/>
      <c r="QUB310" s="36"/>
      <c r="QUC310" s="36"/>
      <c r="QUD310" s="203"/>
      <c r="QUE310" s="33"/>
      <c r="QUF310" s="33"/>
      <c r="QUG310" s="33"/>
      <c r="QUH310" s="33"/>
      <c r="QUI310" s="33"/>
      <c r="QUJ310" s="33"/>
      <c r="QUK310" s="37"/>
      <c r="QUL310" s="208"/>
      <c r="QUM310" s="207"/>
      <c r="QUN310" s="204"/>
      <c r="QUO310" s="35"/>
      <c r="QUP310" s="203"/>
      <c r="QUQ310" s="203"/>
      <c r="QUR310" s="36"/>
      <c r="QUS310" s="36"/>
      <c r="QUT310" s="203"/>
      <c r="QUU310" s="33"/>
      <c r="QUV310" s="33"/>
      <c r="QUW310" s="33"/>
      <c r="QUX310" s="33"/>
      <c r="QUY310" s="33"/>
      <c r="QUZ310" s="33"/>
      <c r="QVA310" s="37"/>
      <c r="QVB310" s="208"/>
      <c r="QVC310" s="207"/>
      <c r="QVD310" s="204"/>
      <c r="QVE310" s="35"/>
      <c r="QVF310" s="203"/>
      <c r="QVG310" s="203"/>
      <c r="QVH310" s="36"/>
      <c r="QVI310" s="36"/>
      <c r="QVJ310" s="203"/>
      <c r="QVK310" s="33"/>
      <c r="QVL310" s="33"/>
      <c r="QVM310" s="33"/>
      <c r="QVN310" s="33"/>
      <c r="QVO310" s="33"/>
      <c r="QVP310" s="33"/>
      <c r="QVQ310" s="37"/>
      <c r="QVR310" s="208"/>
      <c r="QVS310" s="207"/>
      <c r="QVT310" s="204"/>
      <c r="QVU310" s="35"/>
      <c r="QVV310" s="203"/>
      <c r="QVW310" s="203"/>
      <c r="QVX310" s="36"/>
      <c r="QVY310" s="36"/>
      <c r="QVZ310" s="203"/>
      <c r="QWA310" s="33"/>
      <c r="QWB310" s="33"/>
      <c r="QWC310" s="33"/>
      <c r="QWD310" s="33"/>
      <c r="QWE310" s="33"/>
      <c r="QWF310" s="33"/>
      <c r="QWG310" s="37"/>
      <c r="QWH310" s="208"/>
      <c r="QWI310" s="207"/>
      <c r="QWJ310" s="204"/>
      <c r="QWK310" s="35"/>
      <c r="QWL310" s="203"/>
      <c r="QWM310" s="203"/>
      <c r="QWN310" s="36"/>
      <c r="QWO310" s="36"/>
      <c r="QWP310" s="203"/>
      <c r="QWQ310" s="33"/>
      <c r="QWR310" s="33"/>
      <c r="QWS310" s="33"/>
      <c r="QWT310" s="33"/>
      <c r="QWU310" s="33"/>
      <c r="QWV310" s="33"/>
      <c r="QWW310" s="37"/>
      <c r="QWX310" s="208"/>
      <c r="QWY310" s="207"/>
      <c r="QWZ310" s="204"/>
      <c r="QXA310" s="35"/>
      <c r="QXB310" s="203"/>
      <c r="QXC310" s="203"/>
      <c r="QXD310" s="36"/>
      <c r="QXE310" s="36"/>
      <c r="QXF310" s="203"/>
      <c r="QXG310" s="33"/>
      <c r="QXH310" s="33"/>
      <c r="QXI310" s="33"/>
      <c r="QXJ310" s="33"/>
      <c r="QXK310" s="33"/>
      <c r="QXL310" s="33"/>
      <c r="QXM310" s="37"/>
      <c r="QXN310" s="208"/>
      <c r="QXO310" s="207"/>
      <c r="QXP310" s="204"/>
      <c r="QXQ310" s="35"/>
      <c r="QXR310" s="203"/>
      <c r="QXS310" s="203"/>
      <c r="QXT310" s="36"/>
      <c r="QXU310" s="36"/>
      <c r="QXV310" s="203"/>
      <c r="QXW310" s="33"/>
      <c r="QXX310" s="33"/>
      <c r="QXY310" s="33"/>
      <c r="QXZ310" s="33"/>
      <c r="QYA310" s="33"/>
      <c r="QYB310" s="33"/>
      <c r="QYC310" s="37"/>
      <c r="QYD310" s="208"/>
      <c r="QYE310" s="207"/>
      <c r="QYF310" s="204"/>
      <c r="QYG310" s="35"/>
      <c r="QYH310" s="203"/>
      <c r="QYI310" s="203"/>
      <c r="QYJ310" s="36"/>
      <c r="QYK310" s="36"/>
      <c r="QYL310" s="203"/>
      <c r="QYM310" s="33"/>
      <c r="QYN310" s="33"/>
      <c r="QYO310" s="33"/>
      <c r="QYP310" s="33"/>
      <c r="QYQ310" s="33"/>
      <c r="QYR310" s="33"/>
      <c r="QYS310" s="37"/>
      <c r="QYT310" s="208"/>
      <c r="QYU310" s="207"/>
      <c r="QYV310" s="204"/>
      <c r="QYW310" s="35"/>
      <c r="QYX310" s="203"/>
      <c r="QYY310" s="203"/>
      <c r="QYZ310" s="36"/>
      <c r="QZA310" s="36"/>
      <c r="QZB310" s="203"/>
      <c r="QZC310" s="33"/>
      <c r="QZD310" s="33"/>
      <c r="QZE310" s="33"/>
      <c r="QZF310" s="33"/>
      <c r="QZG310" s="33"/>
      <c r="QZH310" s="33"/>
      <c r="QZI310" s="37"/>
      <c r="QZJ310" s="208"/>
      <c r="QZK310" s="207"/>
      <c r="QZL310" s="204"/>
      <c r="QZM310" s="35"/>
      <c r="QZN310" s="203"/>
      <c r="QZO310" s="203"/>
      <c r="QZP310" s="36"/>
      <c r="QZQ310" s="36"/>
      <c r="QZR310" s="203"/>
      <c r="QZS310" s="33"/>
      <c r="QZT310" s="33"/>
      <c r="QZU310" s="33"/>
      <c r="QZV310" s="33"/>
      <c r="QZW310" s="33"/>
      <c r="QZX310" s="33"/>
      <c r="QZY310" s="37"/>
      <c r="QZZ310" s="208"/>
      <c r="RAA310" s="207"/>
      <c r="RAB310" s="204"/>
      <c r="RAC310" s="35"/>
      <c r="RAD310" s="203"/>
      <c r="RAE310" s="203"/>
      <c r="RAF310" s="36"/>
      <c r="RAG310" s="36"/>
      <c r="RAH310" s="203"/>
      <c r="RAI310" s="33"/>
      <c r="RAJ310" s="33"/>
      <c r="RAK310" s="33"/>
      <c r="RAL310" s="33"/>
      <c r="RAM310" s="33"/>
      <c r="RAN310" s="33"/>
      <c r="RAO310" s="37"/>
      <c r="RAP310" s="208"/>
      <c r="RAQ310" s="207"/>
      <c r="RAR310" s="204"/>
      <c r="RAS310" s="35"/>
      <c r="RAT310" s="203"/>
      <c r="RAU310" s="203"/>
      <c r="RAV310" s="36"/>
      <c r="RAW310" s="36"/>
      <c r="RAX310" s="203"/>
      <c r="RAY310" s="33"/>
      <c r="RAZ310" s="33"/>
      <c r="RBA310" s="33"/>
      <c r="RBB310" s="33"/>
      <c r="RBC310" s="33"/>
      <c r="RBD310" s="33"/>
      <c r="RBE310" s="37"/>
      <c r="RBF310" s="208"/>
      <c r="RBG310" s="207"/>
      <c r="RBH310" s="204"/>
      <c r="RBI310" s="35"/>
      <c r="RBJ310" s="203"/>
      <c r="RBK310" s="203"/>
      <c r="RBL310" s="36"/>
      <c r="RBM310" s="36"/>
      <c r="RBN310" s="203"/>
      <c r="RBO310" s="33"/>
      <c r="RBP310" s="33"/>
      <c r="RBQ310" s="33"/>
      <c r="RBR310" s="33"/>
      <c r="RBS310" s="33"/>
      <c r="RBT310" s="33"/>
      <c r="RBU310" s="37"/>
      <c r="RBV310" s="208"/>
      <c r="RBW310" s="207"/>
      <c r="RBX310" s="204"/>
      <c r="RBY310" s="35"/>
      <c r="RBZ310" s="203"/>
      <c r="RCA310" s="203"/>
      <c r="RCB310" s="36"/>
      <c r="RCC310" s="36"/>
      <c r="RCD310" s="203"/>
      <c r="RCE310" s="33"/>
      <c r="RCF310" s="33"/>
      <c r="RCG310" s="33"/>
      <c r="RCH310" s="33"/>
      <c r="RCI310" s="33"/>
      <c r="RCJ310" s="33"/>
      <c r="RCK310" s="37"/>
      <c r="RCL310" s="208"/>
      <c r="RCM310" s="207"/>
      <c r="RCN310" s="204"/>
      <c r="RCO310" s="35"/>
      <c r="RCP310" s="203"/>
      <c r="RCQ310" s="203"/>
      <c r="RCR310" s="36"/>
      <c r="RCS310" s="36"/>
      <c r="RCT310" s="203"/>
      <c r="RCU310" s="33"/>
      <c r="RCV310" s="33"/>
      <c r="RCW310" s="33"/>
      <c r="RCX310" s="33"/>
      <c r="RCY310" s="33"/>
      <c r="RCZ310" s="33"/>
      <c r="RDA310" s="37"/>
      <c r="RDB310" s="208"/>
      <c r="RDC310" s="207"/>
      <c r="RDD310" s="204"/>
      <c r="RDE310" s="35"/>
      <c r="RDF310" s="203"/>
      <c r="RDG310" s="203"/>
      <c r="RDH310" s="36"/>
      <c r="RDI310" s="36"/>
      <c r="RDJ310" s="203"/>
      <c r="RDK310" s="33"/>
      <c r="RDL310" s="33"/>
      <c r="RDM310" s="33"/>
      <c r="RDN310" s="33"/>
      <c r="RDO310" s="33"/>
      <c r="RDP310" s="33"/>
      <c r="RDQ310" s="37"/>
      <c r="RDR310" s="208"/>
      <c r="RDS310" s="207"/>
      <c r="RDT310" s="204"/>
      <c r="RDU310" s="35"/>
      <c r="RDV310" s="203"/>
      <c r="RDW310" s="203"/>
      <c r="RDX310" s="36"/>
      <c r="RDY310" s="36"/>
      <c r="RDZ310" s="203"/>
      <c r="REA310" s="33"/>
      <c r="REB310" s="33"/>
      <c r="REC310" s="33"/>
      <c r="RED310" s="33"/>
      <c r="REE310" s="33"/>
      <c r="REF310" s="33"/>
      <c r="REG310" s="37"/>
      <c r="REH310" s="208"/>
      <c r="REI310" s="207"/>
      <c r="REJ310" s="204"/>
      <c r="REK310" s="35"/>
      <c r="REL310" s="203"/>
      <c r="REM310" s="203"/>
      <c r="REN310" s="36"/>
      <c r="REO310" s="36"/>
      <c r="REP310" s="203"/>
      <c r="REQ310" s="33"/>
      <c r="RER310" s="33"/>
      <c r="RES310" s="33"/>
      <c r="RET310" s="33"/>
      <c r="REU310" s="33"/>
      <c r="REV310" s="33"/>
      <c r="REW310" s="37"/>
      <c r="REX310" s="208"/>
      <c r="REY310" s="207"/>
      <c r="REZ310" s="204"/>
      <c r="RFA310" s="35"/>
      <c r="RFB310" s="203"/>
      <c r="RFC310" s="203"/>
      <c r="RFD310" s="36"/>
      <c r="RFE310" s="36"/>
      <c r="RFF310" s="203"/>
      <c r="RFG310" s="33"/>
      <c r="RFH310" s="33"/>
      <c r="RFI310" s="33"/>
      <c r="RFJ310" s="33"/>
      <c r="RFK310" s="33"/>
      <c r="RFL310" s="33"/>
      <c r="RFM310" s="37"/>
      <c r="RFN310" s="208"/>
      <c r="RFO310" s="207"/>
      <c r="RFP310" s="204"/>
      <c r="RFQ310" s="35"/>
      <c r="RFR310" s="203"/>
      <c r="RFS310" s="203"/>
      <c r="RFT310" s="36"/>
      <c r="RFU310" s="36"/>
      <c r="RFV310" s="203"/>
      <c r="RFW310" s="33"/>
      <c r="RFX310" s="33"/>
      <c r="RFY310" s="33"/>
      <c r="RFZ310" s="33"/>
      <c r="RGA310" s="33"/>
      <c r="RGB310" s="33"/>
      <c r="RGC310" s="37"/>
      <c r="RGD310" s="208"/>
      <c r="RGE310" s="207"/>
      <c r="RGF310" s="204"/>
      <c r="RGG310" s="35"/>
      <c r="RGH310" s="203"/>
      <c r="RGI310" s="203"/>
      <c r="RGJ310" s="36"/>
      <c r="RGK310" s="36"/>
      <c r="RGL310" s="203"/>
      <c r="RGM310" s="33"/>
      <c r="RGN310" s="33"/>
      <c r="RGO310" s="33"/>
      <c r="RGP310" s="33"/>
      <c r="RGQ310" s="33"/>
      <c r="RGR310" s="33"/>
      <c r="RGS310" s="37"/>
      <c r="RGT310" s="208"/>
      <c r="RGU310" s="207"/>
      <c r="RGV310" s="204"/>
      <c r="RGW310" s="35"/>
      <c r="RGX310" s="203"/>
      <c r="RGY310" s="203"/>
      <c r="RGZ310" s="36"/>
      <c r="RHA310" s="36"/>
      <c r="RHB310" s="203"/>
      <c r="RHC310" s="33"/>
      <c r="RHD310" s="33"/>
      <c r="RHE310" s="33"/>
      <c r="RHF310" s="33"/>
      <c r="RHG310" s="33"/>
      <c r="RHH310" s="33"/>
      <c r="RHI310" s="37"/>
      <c r="RHJ310" s="208"/>
      <c r="RHK310" s="207"/>
      <c r="RHL310" s="204"/>
      <c r="RHM310" s="35"/>
      <c r="RHN310" s="203"/>
      <c r="RHO310" s="203"/>
      <c r="RHP310" s="36"/>
      <c r="RHQ310" s="36"/>
      <c r="RHR310" s="203"/>
      <c r="RHS310" s="33"/>
      <c r="RHT310" s="33"/>
      <c r="RHU310" s="33"/>
      <c r="RHV310" s="33"/>
      <c r="RHW310" s="33"/>
      <c r="RHX310" s="33"/>
      <c r="RHY310" s="37"/>
      <c r="RHZ310" s="208"/>
      <c r="RIA310" s="207"/>
      <c r="RIB310" s="204"/>
      <c r="RIC310" s="35"/>
      <c r="RID310" s="203"/>
      <c r="RIE310" s="203"/>
      <c r="RIF310" s="36"/>
      <c r="RIG310" s="36"/>
      <c r="RIH310" s="203"/>
      <c r="RII310" s="33"/>
      <c r="RIJ310" s="33"/>
      <c r="RIK310" s="33"/>
      <c r="RIL310" s="33"/>
      <c r="RIM310" s="33"/>
      <c r="RIN310" s="33"/>
      <c r="RIO310" s="37"/>
      <c r="RIP310" s="208"/>
      <c r="RIQ310" s="207"/>
      <c r="RIR310" s="204"/>
      <c r="RIS310" s="35"/>
      <c r="RIT310" s="203"/>
      <c r="RIU310" s="203"/>
      <c r="RIV310" s="36"/>
      <c r="RIW310" s="36"/>
      <c r="RIX310" s="203"/>
      <c r="RIY310" s="33"/>
      <c r="RIZ310" s="33"/>
      <c r="RJA310" s="33"/>
      <c r="RJB310" s="33"/>
      <c r="RJC310" s="33"/>
      <c r="RJD310" s="33"/>
      <c r="RJE310" s="37"/>
      <c r="RJF310" s="208"/>
      <c r="RJG310" s="207"/>
      <c r="RJH310" s="204"/>
      <c r="RJI310" s="35"/>
      <c r="RJJ310" s="203"/>
      <c r="RJK310" s="203"/>
      <c r="RJL310" s="36"/>
      <c r="RJM310" s="36"/>
      <c r="RJN310" s="203"/>
      <c r="RJO310" s="33"/>
      <c r="RJP310" s="33"/>
      <c r="RJQ310" s="33"/>
      <c r="RJR310" s="33"/>
      <c r="RJS310" s="33"/>
      <c r="RJT310" s="33"/>
      <c r="RJU310" s="37"/>
      <c r="RJV310" s="208"/>
      <c r="RJW310" s="207"/>
      <c r="RJX310" s="204"/>
      <c r="RJY310" s="35"/>
      <c r="RJZ310" s="203"/>
      <c r="RKA310" s="203"/>
      <c r="RKB310" s="36"/>
      <c r="RKC310" s="36"/>
      <c r="RKD310" s="203"/>
      <c r="RKE310" s="33"/>
      <c r="RKF310" s="33"/>
      <c r="RKG310" s="33"/>
      <c r="RKH310" s="33"/>
      <c r="RKI310" s="33"/>
      <c r="RKJ310" s="33"/>
      <c r="RKK310" s="37"/>
      <c r="RKL310" s="208"/>
      <c r="RKM310" s="207"/>
      <c r="RKN310" s="204"/>
      <c r="RKO310" s="35"/>
      <c r="RKP310" s="203"/>
      <c r="RKQ310" s="203"/>
      <c r="RKR310" s="36"/>
      <c r="RKS310" s="36"/>
      <c r="RKT310" s="203"/>
      <c r="RKU310" s="33"/>
      <c r="RKV310" s="33"/>
      <c r="RKW310" s="33"/>
      <c r="RKX310" s="33"/>
      <c r="RKY310" s="33"/>
      <c r="RKZ310" s="33"/>
      <c r="RLA310" s="37"/>
      <c r="RLB310" s="208"/>
      <c r="RLC310" s="207"/>
      <c r="RLD310" s="204"/>
      <c r="RLE310" s="35"/>
      <c r="RLF310" s="203"/>
      <c r="RLG310" s="203"/>
      <c r="RLH310" s="36"/>
      <c r="RLI310" s="36"/>
      <c r="RLJ310" s="203"/>
      <c r="RLK310" s="33"/>
      <c r="RLL310" s="33"/>
      <c r="RLM310" s="33"/>
      <c r="RLN310" s="33"/>
      <c r="RLO310" s="33"/>
      <c r="RLP310" s="33"/>
      <c r="RLQ310" s="37"/>
      <c r="RLR310" s="208"/>
      <c r="RLS310" s="207"/>
      <c r="RLT310" s="204"/>
      <c r="RLU310" s="35"/>
      <c r="RLV310" s="203"/>
      <c r="RLW310" s="203"/>
      <c r="RLX310" s="36"/>
      <c r="RLY310" s="36"/>
      <c r="RLZ310" s="203"/>
      <c r="RMA310" s="33"/>
      <c r="RMB310" s="33"/>
      <c r="RMC310" s="33"/>
      <c r="RMD310" s="33"/>
      <c r="RME310" s="33"/>
      <c r="RMF310" s="33"/>
      <c r="RMG310" s="37"/>
      <c r="RMH310" s="208"/>
      <c r="RMI310" s="207"/>
      <c r="RMJ310" s="204"/>
      <c r="RMK310" s="35"/>
      <c r="RML310" s="203"/>
      <c r="RMM310" s="203"/>
      <c r="RMN310" s="36"/>
      <c r="RMO310" s="36"/>
      <c r="RMP310" s="203"/>
      <c r="RMQ310" s="33"/>
      <c r="RMR310" s="33"/>
      <c r="RMS310" s="33"/>
      <c r="RMT310" s="33"/>
      <c r="RMU310" s="33"/>
      <c r="RMV310" s="33"/>
      <c r="RMW310" s="37"/>
      <c r="RMX310" s="208"/>
      <c r="RMY310" s="207"/>
      <c r="RMZ310" s="204"/>
      <c r="RNA310" s="35"/>
      <c r="RNB310" s="203"/>
      <c r="RNC310" s="203"/>
      <c r="RND310" s="36"/>
      <c r="RNE310" s="36"/>
      <c r="RNF310" s="203"/>
      <c r="RNG310" s="33"/>
      <c r="RNH310" s="33"/>
      <c r="RNI310" s="33"/>
      <c r="RNJ310" s="33"/>
      <c r="RNK310" s="33"/>
      <c r="RNL310" s="33"/>
      <c r="RNM310" s="37"/>
      <c r="RNN310" s="208"/>
      <c r="RNO310" s="207"/>
      <c r="RNP310" s="204"/>
      <c r="RNQ310" s="35"/>
      <c r="RNR310" s="203"/>
      <c r="RNS310" s="203"/>
      <c r="RNT310" s="36"/>
      <c r="RNU310" s="36"/>
      <c r="RNV310" s="203"/>
      <c r="RNW310" s="33"/>
      <c r="RNX310" s="33"/>
      <c r="RNY310" s="33"/>
      <c r="RNZ310" s="33"/>
      <c r="ROA310" s="33"/>
      <c r="ROB310" s="33"/>
      <c r="ROC310" s="37"/>
      <c r="ROD310" s="208"/>
      <c r="ROE310" s="207"/>
      <c r="ROF310" s="204"/>
      <c r="ROG310" s="35"/>
      <c r="ROH310" s="203"/>
      <c r="ROI310" s="203"/>
      <c r="ROJ310" s="36"/>
      <c r="ROK310" s="36"/>
      <c r="ROL310" s="203"/>
      <c r="ROM310" s="33"/>
      <c r="RON310" s="33"/>
      <c r="ROO310" s="33"/>
      <c r="ROP310" s="33"/>
      <c r="ROQ310" s="33"/>
      <c r="ROR310" s="33"/>
      <c r="ROS310" s="37"/>
      <c r="ROT310" s="208"/>
      <c r="ROU310" s="207"/>
      <c r="ROV310" s="204"/>
      <c r="ROW310" s="35"/>
      <c r="ROX310" s="203"/>
      <c r="ROY310" s="203"/>
      <c r="ROZ310" s="36"/>
      <c r="RPA310" s="36"/>
      <c r="RPB310" s="203"/>
      <c r="RPC310" s="33"/>
      <c r="RPD310" s="33"/>
      <c r="RPE310" s="33"/>
      <c r="RPF310" s="33"/>
      <c r="RPG310" s="33"/>
      <c r="RPH310" s="33"/>
      <c r="RPI310" s="37"/>
      <c r="RPJ310" s="208"/>
      <c r="RPK310" s="207"/>
      <c r="RPL310" s="204"/>
      <c r="RPM310" s="35"/>
      <c r="RPN310" s="203"/>
      <c r="RPO310" s="203"/>
      <c r="RPP310" s="36"/>
      <c r="RPQ310" s="36"/>
      <c r="RPR310" s="203"/>
      <c r="RPS310" s="33"/>
      <c r="RPT310" s="33"/>
      <c r="RPU310" s="33"/>
      <c r="RPV310" s="33"/>
      <c r="RPW310" s="33"/>
      <c r="RPX310" s="33"/>
      <c r="RPY310" s="37"/>
      <c r="RPZ310" s="208"/>
      <c r="RQA310" s="207"/>
      <c r="RQB310" s="204"/>
      <c r="RQC310" s="35"/>
      <c r="RQD310" s="203"/>
      <c r="RQE310" s="203"/>
      <c r="RQF310" s="36"/>
      <c r="RQG310" s="36"/>
      <c r="RQH310" s="203"/>
      <c r="RQI310" s="33"/>
      <c r="RQJ310" s="33"/>
      <c r="RQK310" s="33"/>
      <c r="RQL310" s="33"/>
      <c r="RQM310" s="33"/>
      <c r="RQN310" s="33"/>
      <c r="RQO310" s="37"/>
      <c r="RQP310" s="208"/>
      <c r="RQQ310" s="207"/>
      <c r="RQR310" s="204"/>
      <c r="RQS310" s="35"/>
      <c r="RQT310" s="203"/>
      <c r="RQU310" s="203"/>
      <c r="RQV310" s="36"/>
      <c r="RQW310" s="36"/>
      <c r="RQX310" s="203"/>
      <c r="RQY310" s="33"/>
      <c r="RQZ310" s="33"/>
      <c r="RRA310" s="33"/>
      <c r="RRB310" s="33"/>
      <c r="RRC310" s="33"/>
      <c r="RRD310" s="33"/>
      <c r="RRE310" s="37"/>
      <c r="RRF310" s="208"/>
      <c r="RRG310" s="207"/>
      <c r="RRH310" s="204"/>
      <c r="RRI310" s="35"/>
      <c r="RRJ310" s="203"/>
      <c r="RRK310" s="203"/>
      <c r="RRL310" s="36"/>
      <c r="RRM310" s="36"/>
      <c r="RRN310" s="203"/>
      <c r="RRO310" s="33"/>
      <c r="RRP310" s="33"/>
      <c r="RRQ310" s="33"/>
      <c r="RRR310" s="33"/>
      <c r="RRS310" s="33"/>
      <c r="RRT310" s="33"/>
      <c r="RRU310" s="37"/>
      <c r="RRV310" s="208"/>
      <c r="RRW310" s="207"/>
      <c r="RRX310" s="204"/>
      <c r="RRY310" s="35"/>
      <c r="RRZ310" s="203"/>
      <c r="RSA310" s="203"/>
      <c r="RSB310" s="36"/>
      <c r="RSC310" s="36"/>
      <c r="RSD310" s="203"/>
      <c r="RSE310" s="33"/>
      <c r="RSF310" s="33"/>
      <c r="RSG310" s="33"/>
      <c r="RSH310" s="33"/>
      <c r="RSI310" s="33"/>
      <c r="RSJ310" s="33"/>
      <c r="RSK310" s="37"/>
      <c r="RSL310" s="208"/>
      <c r="RSM310" s="207"/>
      <c r="RSN310" s="204"/>
      <c r="RSO310" s="35"/>
      <c r="RSP310" s="203"/>
      <c r="RSQ310" s="203"/>
      <c r="RSR310" s="36"/>
      <c r="RSS310" s="36"/>
      <c r="RST310" s="203"/>
      <c r="RSU310" s="33"/>
      <c r="RSV310" s="33"/>
      <c r="RSW310" s="33"/>
      <c r="RSX310" s="33"/>
      <c r="RSY310" s="33"/>
      <c r="RSZ310" s="33"/>
      <c r="RTA310" s="37"/>
      <c r="RTB310" s="208"/>
      <c r="RTC310" s="207"/>
      <c r="RTD310" s="204"/>
      <c r="RTE310" s="35"/>
      <c r="RTF310" s="203"/>
      <c r="RTG310" s="203"/>
      <c r="RTH310" s="36"/>
      <c r="RTI310" s="36"/>
      <c r="RTJ310" s="203"/>
      <c r="RTK310" s="33"/>
      <c r="RTL310" s="33"/>
      <c r="RTM310" s="33"/>
      <c r="RTN310" s="33"/>
      <c r="RTO310" s="33"/>
      <c r="RTP310" s="33"/>
      <c r="RTQ310" s="37"/>
      <c r="RTR310" s="208"/>
      <c r="RTS310" s="207"/>
      <c r="RTT310" s="204"/>
      <c r="RTU310" s="35"/>
      <c r="RTV310" s="203"/>
      <c r="RTW310" s="203"/>
      <c r="RTX310" s="36"/>
      <c r="RTY310" s="36"/>
      <c r="RTZ310" s="203"/>
      <c r="RUA310" s="33"/>
      <c r="RUB310" s="33"/>
      <c r="RUC310" s="33"/>
      <c r="RUD310" s="33"/>
      <c r="RUE310" s="33"/>
      <c r="RUF310" s="33"/>
      <c r="RUG310" s="37"/>
      <c r="RUH310" s="208"/>
      <c r="RUI310" s="207"/>
      <c r="RUJ310" s="204"/>
      <c r="RUK310" s="35"/>
      <c r="RUL310" s="203"/>
      <c r="RUM310" s="203"/>
      <c r="RUN310" s="36"/>
      <c r="RUO310" s="36"/>
      <c r="RUP310" s="203"/>
      <c r="RUQ310" s="33"/>
      <c r="RUR310" s="33"/>
      <c r="RUS310" s="33"/>
      <c r="RUT310" s="33"/>
      <c r="RUU310" s="33"/>
      <c r="RUV310" s="33"/>
      <c r="RUW310" s="37"/>
      <c r="RUX310" s="208"/>
      <c r="RUY310" s="207"/>
      <c r="RUZ310" s="204"/>
      <c r="RVA310" s="35"/>
      <c r="RVB310" s="203"/>
      <c r="RVC310" s="203"/>
      <c r="RVD310" s="36"/>
      <c r="RVE310" s="36"/>
      <c r="RVF310" s="203"/>
      <c r="RVG310" s="33"/>
      <c r="RVH310" s="33"/>
      <c r="RVI310" s="33"/>
      <c r="RVJ310" s="33"/>
      <c r="RVK310" s="33"/>
      <c r="RVL310" s="33"/>
      <c r="RVM310" s="37"/>
      <c r="RVN310" s="208"/>
      <c r="RVO310" s="207"/>
      <c r="RVP310" s="204"/>
      <c r="RVQ310" s="35"/>
      <c r="RVR310" s="203"/>
      <c r="RVS310" s="203"/>
      <c r="RVT310" s="36"/>
      <c r="RVU310" s="36"/>
      <c r="RVV310" s="203"/>
      <c r="RVW310" s="33"/>
      <c r="RVX310" s="33"/>
      <c r="RVY310" s="33"/>
      <c r="RVZ310" s="33"/>
      <c r="RWA310" s="33"/>
      <c r="RWB310" s="33"/>
      <c r="RWC310" s="37"/>
      <c r="RWD310" s="208"/>
      <c r="RWE310" s="207"/>
      <c r="RWF310" s="204"/>
      <c r="RWG310" s="35"/>
      <c r="RWH310" s="203"/>
      <c r="RWI310" s="203"/>
      <c r="RWJ310" s="36"/>
      <c r="RWK310" s="36"/>
      <c r="RWL310" s="203"/>
      <c r="RWM310" s="33"/>
      <c r="RWN310" s="33"/>
      <c r="RWO310" s="33"/>
      <c r="RWP310" s="33"/>
      <c r="RWQ310" s="33"/>
      <c r="RWR310" s="33"/>
      <c r="RWS310" s="37"/>
      <c r="RWT310" s="208"/>
      <c r="RWU310" s="207"/>
      <c r="RWV310" s="204"/>
      <c r="RWW310" s="35"/>
      <c r="RWX310" s="203"/>
      <c r="RWY310" s="203"/>
      <c r="RWZ310" s="36"/>
      <c r="RXA310" s="36"/>
      <c r="RXB310" s="203"/>
      <c r="RXC310" s="33"/>
      <c r="RXD310" s="33"/>
      <c r="RXE310" s="33"/>
      <c r="RXF310" s="33"/>
      <c r="RXG310" s="33"/>
      <c r="RXH310" s="33"/>
      <c r="RXI310" s="37"/>
      <c r="RXJ310" s="208"/>
      <c r="RXK310" s="207"/>
      <c r="RXL310" s="204"/>
      <c r="RXM310" s="35"/>
      <c r="RXN310" s="203"/>
      <c r="RXO310" s="203"/>
      <c r="RXP310" s="36"/>
      <c r="RXQ310" s="36"/>
      <c r="RXR310" s="203"/>
      <c r="RXS310" s="33"/>
      <c r="RXT310" s="33"/>
      <c r="RXU310" s="33"/>
      <c r="RXV310" s="33"/>
      <c r="RXW310" s="33"/>
      <c r="RXX310" s="33"/>
      <c r="RXY310" s="37"/>
      <c r="RXZ310" s="208"/>
      <c r="RYA310" s="207"/>
      <c r="RYB310" s="204"/>
      <c r="RYC310" s="35"/>
      <c r="RYD310" s="203"/>
      <c r="RYE310" s="203"/>
      <c r="RYF310" s="36"/>
      <c r="RYG310" s="36"/>
      <c r="RYH310" s="203"/>
      <c r="RYI310" s="33"/>
      <c r="RYJ310" s="33"/>
      <c r="RYK310" s="33"/>
      <c r="RYL310" s="33"/>
      <c r="RYM310" s="33"/>
      <c r="RYN310" s="33"/>
      <c r="RYO310" s="37"/>
      <c r="RYP310" s="208"/>
      <c r="RYQ310" s="207"/>
      <c r="RYR310" s="204"/>
      <c r="RYS310" s="35"/>
      <c r="RYT310" s="203"/>
      <c r="RYU310" s="203"/>
      <c r="RYV310" s="36"/>
      <c r="RYW310" s="36"/>
      <c r="RYX310" s="203"/>
      <c r="RYY310" s="33"/>
      <c r="RYZ310" s="33"/>
      <c r="RZA310" s="33"/>
      <c r="RZB310" s="33"/>
      <c r="RZC310" s="33"/>
      <c r="RZD310" s="33"/>
      <c r="RZE310" s="37"/>
      <c r="RZF310" s="208"/>
      <c r="RZG310" s="207"/>
      <c r="RZH310" s="204"/>
      <c r="RZI310" s="35"/>
      <c r="RZJ310" s="203"/>
      <c r="RZK310" s="203"/>
      <c r="RZL310" s="36"/>
      <c r="RZM310" s="36"/>
      <c r="RZN310" s="203"/>
      <c r="RZO310" s="33"/>
      <c r="RZP310" s="33"/>
      <c r="RZQ310" s="33"/>
      <c r="RZR310" s="33"/>
      <c r="RZS310" s="33"/>
      <c r="RZT310" s="33"/>
      <c r="RZU310" s="37"/>
      <c r="RZV310" s="208"/>
      <c r="RZW310" s="207"/>
      <c r="RZX310" s="204"/>
      <c r="RZY310" s="35"/>
      <c r="RZZ310" s="203"/>
      <c r="SAA310" s="203"/>
      <c r="SAB310" s="36"/>
      <c r="SAC310" s="36"/>
      <c r="SAD310" s="203"/>
      <c r="SAE310" s="33"/>
      <c r="SAF310" s="33"/>
      <c r="SAG310" s="33"/>
      <c r="SAH310" s="33"/>
      <c r="SAI310" s="33"/>
      <c r="SAJ310" s="33"/>
      <c r="SAK310" s="37"/>
      <c r="SAL310" s="208"/>
      <c r="SAM310" s="207"/>
      <c r="SAN310" s="204"/>
      <c r="SAO310" s="35"/>
      <c r="SAP310" s="203"/>
      <c r="SAQ310" s="203"/>
      <c r="SAR310" s="36"/>
      <c r="SAS310" s="36"/>
      <c r="SAT310" s="203"/>
      <c r="SAU310" s="33"/>
      <c r="SAV310" s="33"/>
      <c r="SAW310" s="33"/>
      <c r="SAX310" s="33"/>
      <c r="SAY310" s="33"/>
      <c r="SAZ310" s="33"/>
      <c r="SBA310" s="37"/>
      <c r="SBB310" s="208"/>
      <c r="SBC310" s="207"/>
      <c r="SBD310" s="204"/>
      <c r="SBE310" s="35"/>
      <c r="SBF310" s="203"/>
      <c r="SBG310" s="203"/>
      <c r="SBH310" s="36"/>
      <c r="SBI310" s="36"/>
      <c r="SBJ310" s="203"/>
      <c r="SBK310" s="33"/>
      <c r="SBL310" s="33"/>
      <c r="SBM310" s="33"/>
      <c r="SBN310" s="33"/>
      <c r="SBO310" s="33"/>
      <c r="SBP310" s="33"/>
      <c r="SBQ310" s="37"/>
      <c r="SBR310" s="208"/>
      <c r="SBS310" s="207"/>
      <c r="SBT310" s="204"/>
      <c r="SBU310" s="35"/>
      <c r="SBV310" s="203"/>
      <c r="SBW310" s="203"/>
      <c r="SBX310" s="36"/>
      <c r="SBY310" s="36"/>
      <c r="SBZ310" s="203"/>
      <c r="SCA310" s="33"/>
      <c r="SCB310" s="33"/>
      <c r="SCC310" s="33"/>
      <c r="SCD310" s="33"/>
      <c r="SCE310" s="33"/>
      <c r="SCF310" s="33"/>
      <c r="SCG310" s="37"/>
      <c r="SCH310" s="208"/>
      <c r="SCI310" s="207"/>
      <c r="SCJ310" s="204"/>
      <c r="SCK310" s="35"/>
      <c r="SCL310" s="203"/>
      <c r="SCM310" s="203"/>
      <c r="SCN310" s="36"/>
      <c r="SCO310" s="36"/>
      <c r="SCP310" s="203"/>
      <c r="SCQ310" s="33"/>
      <c r="SCR310" s="33"/>
      <c r="SCS310" s="33"/>
      <c r="SCT310" s="33"/>
      <c r="SCU310" s="33"/>
      <c r="SCV310" s="33"/>
      <c r="SCW310" s="37"/>
      <c r="SCX310" s="208"/>
      <c r="SCY310" s="207"/>
      <c r="SCZ310" s="204"/>
      <c r="SDA310" s="35"/>
      <c r="SDB310" s="203"/>
      <c r="SDC310" s="203"/>
      <c r="SDD310" s="36"/>
      <c r="SDE310" s="36"/>
      <c r="SDF310" s="203"/>
      <c r="SDG310" s="33"/>
      <c r="SDH310" s="33"/>
      <c r="SDI310" s="33"/>
      <c r="SDJ310" s="33"/>
      <c r="SDK310" s="33"/>
      <c r="SDL310" s="33"/>
      <c r="SDM310" s="37"/>
      <c r="SDN310" s="208"/>
      <c r="SDO310" s="207"/>
      <c r="SDP310" s="204"/>
      <c r="SDQ310" s="35"/>
      <c r="SDR310" s="203"/>
      <c r="SDS310" s="203"/>
      <c r="SDT310" s="36"/>
      <c r="SDU310" s="36"/>
      <c r="SDV310" s="203"/>
      <c r="SDW310" s="33"/>
      <c r="SDX310" s="33"/>
      <c r="SDY310" s="33"/>
      <c r="SDZ310" s="33"/>
      <c r="SEA310" s="33"/>
      <c r="SEB310" s="33"/>
      <c r="SEC310" s="37"/>
      <c r="SED310" s="208"/>
      <c r="SEE310" s="207"/>
      <c r="SEF310" s="204"/>
      <c r="SEG310" s="35"/>
      <c r="SEH310" s="203"/>
      <c r="SEI310" s="203"/>
      <c r="SEJ310" s="36"/>
      <c r="SEK310" s="36"/>
      <c r="SEL310" s="203"/>
      <c r="SEM310" s="33"/>
      <c r="SEN310" s="33"/>
      <c r="SEO310" s="33"/>
      <c r="SEP310" s="33"/>
      <c r="SEQ310" s="33"/>
      <c r="SER310" s="33"/>
      <c r="SES310" s="37"/>
      <c r="SET310" s="208"/>
      <c r="SEU310" s="207"/>
      <c r="SEV310" s="204"/>
      <c r="SEW310" s="35"/>
      <c r="SEX310" s="203"/>
      <c r="SEY310" s="203"/>
      <c r="SEZ310" s="36"/>
      <c r="SFA310" s="36"/>
      <c r="SFB310" s="203"/>
      <c r="SFC310" s="33"/>
      <c r="SFD310" s="33"/>
      <c r="SFE310" s="33"/>
      <c r="SFF310" s="33"/>
      <c r="SFG310" s="33"/>
      <c r="SFH310" s="33"/>
      <c r="SFI310" s="37"/>
      <c r="SFJ310" s="208"/>
      <c r="SFK310" s="207"/>
      <c r="SFL310" s="204"/>
      <c r="SFM310" s="35"/>
      <c r="SFN310" s="203"/>
      <c r="SFO310" s="203"/>
      <c r="SFP310" s="36"/>
      <c r="SFQ310" s="36"/>
      <c r="SFR310" s="203"/>
      <c r="SFS310" s="33"/>
      <c r="SFT310" s="33"/>
      <c r="SFU310" s="33"/>
      <c r="SFV310" s="33"/>
      <c r="SFW310" s="33"/>
      <c r="SFX310" s="33"/>
      <c r="SFY310" s="37"/>
      <c r="SFZ310" s="208"/>
      <c r="SGA310" s="207"/>
      <c r="SGB310" s="204"/>
      <c r="SGC310" s="35"/>
      <c r="SGD310" s="203"/>
      <c r="SGE310" s="203"/>
      <c r="SGF310" s="36"/>
      <c r="SGG310" s="36"/>
      <c r="SGH310" s="203"/>
      <c r="SGI310" s="33"/>
      <c r="SGJ310" s="33"/>
      <c r="SGK310" s="33"/>
      <c r="SGL310" s="33"/>
      <c r="SGM310" s="33"/>
      <c r="SGN310" s="33"/>
      <c r="SGO310" s="37"/>
      <c r="SGP310" s="208"/>
      <c r="SGQ310" s="207"/>
      <c r="SGR310" s="204"/>
      <c r="SGS310" s="35"/>
      <c r="SGT310" s="203"/>
      <c r="SGU310" s="203"/>
      <c r="SGV310" s="36"/>
      <c r="SGW310" s="36"/>
      <c r="SGX310" s="203"/>
      <c r="SGY310" s="33"/>
      <c r="SGZ310" s="33"/>
      <c r="SHA310" s="33"/>
      <c r="SHB310" s="33"/>
      <c r="SHC310" s="33"/>
      <c r="SHD310" s="33"/>
      <c r="SHE310" s="37"/>
      <c r="SHF310" s="208"/>
      <c r="SHG310" s="207"/>
      <c r="SHH310" s="204"/>
      <c r="SHI310" s="35"/>
      <c r="SHJ310" s="203"/>
      <c r="SHK310" s="203"/>
      <c r="SHL310" s="36"/>
      <c r="SHM310" s="36"/>
      <c r="SHN310" s="203"/>
      <c r="SHO310" s="33"/>
      <c r="SHP310" s="33"/>
      <c r="SHQ310" s="33"/>
      <c r="SHR310" s="33"/>
      <c r="SHS310" s="33"/>
      <c r="SHT310" s="33"/>
      <c r="SHU310" s="37"/>
      <c r="SHV310" s="208"/>
      <c r="SHW310" s="207"/>
      <c r="SHX310" s="204"/>
      <c r="SHY310" s="35"/>
      <c r="SHZ310" s="203"/>
      <c r="SIA310" s="203"/>
      <c r="SIB310" s="36"/>
      <c r="SIC310" s="36"/>
      <c r="SID310" s="203"/>
      <c r="SIE310" s="33"/>
      <c r="SIF310" s="33"/>
      <c r="SIG310" s="33"/>
      <c r="SIH310" s="33"/>
      <c r="SII310" s="33"/>
      <c r="SIJ310" s="33"/>
      <c r="SIK310" s="37"/>
      <c r="SIL310" s="208"/>
      <c r="SIM310" s="207"/>
      <c r="SIN310" s="204"/>
      <c r="SIO310" s="35"/>
      <c r="SIP310" s="203"/>
      <c r="SIQ310" s="203"/>
      <c r="SIR310" s="36"/>
      <c r="SIS310" s="36"/>
      <c r="SIT310" s="203"/>
      <c r="SIU310" s="33"/>
      <c r="SIV310" s="33"/>
      <c r="SIW310" s="33"/>
      <c r="SIX310" s="33"/>
      <c r="SIY310" s="33"/>
      <c r="SIZ310" s="33"/>
      <c r="SJA310" s="37"/>
      <c r="SJB310" s="208"/>
      <c r="SJC310" s="207"/>
      <c r="SJD310" s="204"/>
      <c r="SJE310" s="35"/>
      <c r="SJF310" s="203"/>
      <c r="SJG310" s="203"/>
      <c r="SJH310" s="36"/>
      <c r="SJI310" s="36"/>
      <c r="SJJ310" s="203"/>
      <c r="SJK310" s="33"/>
      <c r="SJL310" s="33"/>
      <c r="SJM310" s="33"/>
      <c r="SJN310" s="33"/>
      <c r="SJO310" s="33"/>
      <c r="SJP310" s="33"/>
      <c r="SJQ310" s="37"/>
      <c r="SJR310" s="208"/>
      <c r="SJS310" s="207"/>
      <c r="SJT310" s="204"/>
      <c r="SJU310" s="35"/>
      <c r="SJV310" s="203"/>
      <c r="SJW310" s="203"/>
      <c r="SJX310" s="36"/>
      <c r="SJY310" s="36"/>
      <c r="SJZ310" s="203"/>
      <c r="SKA310" s="33"/>
      <c r="SKB310" s="33"/>
      <c r="SKC310" s="33"/>
      <c r="SKD310" s="33"/>
      <c r="SKE310" s="33"/>
      <c r="SKF310" s="33"/>
      <c r="SKG310" s="37"/>
      <c r="SKH310" s="208"/>
      <c r="SKI310" s="207"/>
      <c r="SKJ310" s="204"/>
      <c r="SKK310" s="35"/>
      <c r="SKL310" s="203"/>
      <c r="SKM310" s="203"/>
      <c r="SKN310" s="36"/>
      <c r="SKO310" s="36"/>
      <c r="SKP310" s="203"/>
      <c r="SKQ310" s="33"/>
      <c r="SKR310" s="33"/>
      <c r="SKS310" s="33"/>
      <c r="SKT310" s="33"/>
      <c r="SKU310" s="33"/>
      <c r="SKV310" s="33"/>
      <c r="SKW310" s="37"/>
      <c r="SKX310" s="208"/>
      <c r="SKY310" s="207"/>
      <c r="SKZ310" s="204"/>
      <c r="SLA310" s="35"/>
      <c r="SLB310" s="203"/>
      <c r="SLC310" s="203"/>
      <c r="SLD310" s="36"/>
      <c r="SLE310" s="36"/>
      <c r="SLF310" s="203"/>
      <c r="SLG310" s="33"/>
      <c r="SLH310" s="33"/>
      <c r="SLI310" s="33"/>
      <c r="SLJ310" s="33"/>
      <c r="SLK310" s="33"/>
      <c r="SLL310" s="33"/>
      <c r="SLM310" s="37"/>
      <c r="SLN310" s="208"/>
      <c r="SLO310" s="207"/>
      <c r="SLP310" s="204"/>
      <c r="SLQ310" s="35"/>
      <c r="SLR310" s="203"/>
      <c r="SLS310" s="203"/>
      <c r="SLT310" s="36"/>
      <c r="SLU310" s="36"/>
      <c r="SLV310" s="203"/>
      <c r="SLW310" s="33"/>
      <c r="SLX310" s="33"/>
      <c r="SLY310" s="33"/>
      <c r="SLZ310" s="33"/>
      <c r="SMA310" s="33"/>
      <c r="SMB310" s="33"/>
      <c r="SMC310" s="37"/>
      <c r="SMD310" s="208"/>
      <c r="SME310" s="207"/>
      <c r="SMF310" s="204"/>
      <c r="SMG310" s="35"/>
      <c r="SMH310" s="203"/>
      <c r="SMI310" s="203"/>
      <c r="SMJ310" s="36"/>
      <c r="SMK310" s="36"/>
      <c r="SML310" s="203"/>
      <c r="SMM310" s="33"/>
      <c r="SMN310" s="33"/>
      <c r="SMO310" s="33"/>
      <c r="SMP310" s="33"/>
      <c r="SMQ310" s="33"/>
      <c r="SMR310" s="33"/>
      <c r="SMS310" s="37"/>
      <c r="SMT310" s="208"/>
      <c r="SMU310" s="207"/>
      <c r="SMV310" s="204"/>
      <c r="SMW310" s="35"/>
      <c r="SMX310" s="203"/>
      <c r="SMY310" s="203"/>
      <c r="SMZ310" s="36"/>
      <c r="SNA310" s="36"/>
      <c r="SNB310" s="203"/>
      <c r="SNC310" s="33"/>
      <c r="SND310" s="33"/>
      <c r="SNE310" s="33"/>
      <c r="SNF310" s="33"/>
      <c r="SNG310" s="33"/>
      <c r="SNH310" s="33"/>
      <c r="SNI310" s="37"/>
      <c r="SNJ310" s="208"/>
      <c r="SNK310" s="207"/>
      <c r="SNL310" s="204"/>
      <c r="SNM310" s="35"/>
      <c r="SNN310" s="203"/>
      <c r="SNO310" s="203"/>
      <c r="SNP310" s="36"/>
      <c r="SNQ310" s="36"/>
      <c r="SNR310" s="203"/>
      <c r="SNS310" s="33"/>
      <c r="SNT310" s="33"/>
      <c r="SNU310" s="33"/>
      <c r="SNV310" s="33"/>
      <c r="SNW310" s="33"/>
      <c r="SNX310" s="33"/>
      <c r="SNY310" s="37"/>
      <c r="SNZ310" s="208"/>
      <c r="SOA310" s="207"/>
      <c r="SOB310" s="204"/>
      <c r="SOC310" s="35"/>
      <c r="SOD310" s="203"/>
      <c r="SOE310" s="203"/>
      <c r="SOF310" s="36"/>
      <c r="SOG310" s="36"/>
      <c r="SOH310" s="203"/>
      <c r="SOI310" s="33"/>
      <c r="SOJ310" s="33"/>
      <c r="SOK310" s="33"/>
      <c r="SOL310" s="33"/>
      <c r="SOM310" s="33"/>
      <c r="SON310" s="33"/>
      <c r="SOO310" s="37"/>
      <c r="SOP310" s="208"/>
      <c r="SOQ310" s="207"/>
      <c r="SOR310" s="204"/>
      <c r="SOS310" s="35"/>
      <c r="SOT310" s="203"/>
      <c r="SOU310" s="203"/>
      <c r="SOV310" s="36"/>
      <c r="SOW310" s="36"/>
      <c r="SOX310" s="203"/>
      <c r="SOY310" s="33"/>
      <c r="SOZ310" s="33"/>
      <c r="SPA310" s="33"/>
      <c r="SPB310" s="33"/>
      <c r="SPC310" s="33"/>
      <c r="SPD310" s="33"/>
      <c r="SPE310" s="37"/>
      <c r="SPF310" s="208"/>
      <c r="SPG310" s="207"/>
      <c r="SPH310" s="204"/>
      <c r="SPI310" s="35"/>
      <c r="SPJ310" s="203"/>
      <c r="SPK310" s="203"/>
      <c r="SPL310" s="36"/>
      <c r="SPM310" s="36"/>
      <c r="SPN310" s="203"/>
      <c r="SPO310" s="33"/>
      <c r="SPP310" s="33"/>
      <c r="SPQ310" s="33"/>
      <c r="SPR310" s="33"/>
      <c r="SPS310" s="33"/>
      <c r="SPT310" s="33"/>
      <c r="SPU310" s="37"/>
      <c r="SPV310" s="208"/>
      <c r="SPW310" s="207"/>
      <c r="SPX310" s="204"/>
      <c r="SPY310" s="35"/>
      <c r="SPZ310" s="203"/>
      <c r="SQA310" s="203"/>
      <c r="SQB310" s="36"/>
      <c r="SQC310" s="36"/>
      <c r="SQD310" s="203"/>
      <c r="SQE310" s="33"/>
      <c r="SQF310" s="33"/>
      <c r="SQG310" s="33"/>
      <c r="SQH310" s="33"/>
      <c r="SQI310" s="33"/>
      <c r="SQJ310" s="33"/>
      <c r="SQK310" s="37"/>
      <c r="SQL310" s="208"/>
      <c r="SQM310" s="207"/>
      <c r="SQN310" s="204"/>
      <c r="SQO310" s="35"/>
      <c r="SQP310" s="203"/>
      <c r="SQQ310" s="203"/>
      <c r="SQR310" s="36"/>
      <c r="SQS310" s="36"/>
      <c r="SQT310" s="203"/>
      <c r="SQU310" s="33"/>
      <c r="SQV310" s="33"/>
      <c r="SQW310" s="33"/>
      <c r="SQX310" s="33"/>
      <c r="SQY310" s="33"/>
      <c r="SQZ310" s="33"/>
      <c r="SRA310" s="37"/>
      <c r="SRB310" s="208"/>
      <c r="SRC310" s="207"/>
      <c r="SRD310" s="204"/>
      <c r="SRE310" s="35"/>
      <c r="SRF310" s="203"/>
      <c r="SRG310" s="203"/>
      <c r="SRH310" s="36"/>
      <c r="SRI310" s="36"/>
      <c r="SRJ310" s="203"/>
      <c r="SRK310" s="33"/>
      <c r="SRL310" s="33"/>
      <c r="SRM310" s="33"/>
      <c r="SRN310" s="33"/>
      <c r="SRO310" s="33"/>
      <c r="SRP310" s="33"/>
      <c r="SRQ310" s="37"/>
      <c r="SRR310" s="208"/>
      <c r="SRS310" s="207"/>
      <c r="SRT310" s="204"/>
      <c r="SRU310" s="35"/>
      <c r="SRV310" s="203"/>
      <c r="SRW310" s="203"/>
      <c r="SRX310" s="36"/>
      <c r="SRY310" s="36"/>
      <c r="SRZ310" s="203"/>
      <c r="SSA310" s="33"/>
      <c r="SSB310" s="33"/>
      <c r="SSC310" s="33"/>
      <c r="SSD310" s="33"/>
      <c r="SSE310" s="33"/>
      <c r="SSF310" s="33"/>
      <c r="SSG310" s="37"/>
      <c r="SSH310" s="208"/>
      <c r="SSI310" s="207"/>
      <c r="SSJ310" s="204"/>
      <c r="SSK310" s="35"/>
      <c r="SSL310" s="203"/>
      <c r="SSM310" s="203"/>
      <c r="SSN310" s="36"/>
      <c r="SSO310" s="36"/>
      <c r="SSP310" s="203"/>
      <c r="SSQ310" s="33"/>
      <c r="SSR310" s="33"/>
      <c r="SSS310" s="33"/>
      <c r="SST310" s="33"/>
      <c r="SSU310" s="33"/>
      <c r="SSV310" s="33"/>
      <c r="SSW310" s="37"/>
      <c r="SSX310" s="208"/>
      <c r="SSY310" s="207"/>
      <c r="SSZ310" s="204"/>
      <c r="STA310" s="35"/>
      <c r="STB310" s="203"/>
      <c r="STC310" s="203"/>
      <c r="STD310" s="36"/>
      <c r="STE310" s="36"/>
      <c r="STF310" s="203"/>
      <c r="STG310" s="33"/>
      <c r="STH310" s="33"/>
      <c r="STI310" s="33"/>
      <c r="STJ310" s="33"/>
      <c r="STK310" s="33"/>
      <c r="STL310" s="33"/>
      <c r="STM310" s="37"/>
      <c r="STN310" s="208"/>
      <c r="STO310" s="207"/>
      <c r="STP310" s="204"/>
      <c r="STQ310" s="35"/>
      <c r="STR310" s="203"/>
      <c r="STS310" s="203"/>
      <c r="STT310" s="36"/>
      <c r="STU310" s="36"/>
      <c r="STV310" s="203"/>
      <c r="STW310" s="33"/>
      <c r="STX310" s="33"/>
      <c r="STY310" s="33"/>
      <c r="STZ310" s="33"/>
      <c r="SUA310" s="33"/>
      <c r="SUB310" s="33"/>
      <c r="SUC310" s="37"/>
      <c r="SUD310" s="208"/>
      <c r="SUE310" s="207"/>
      <c r="SUF310" s="204"/>
      <c r="SUG310" s="35"/>
      <c r="SUH310" s="203"/>
      <c r="SUI310" s="203"/>
      <c r="SUJ310" s="36"/>
      <c r="SUK310" s="36"/>
      <c r="SUL310" s="203"/>
      <c r="SUM310" s="33"/>
      <c r="SUN310" s="33"/>
      <c r="SUO310" s="33"/>
      <c r="SUP310" s="33"/>
      <c r="SUQ310" s="33"/>
      <c r="SUR310" s="33"/>
      <c r="SUS310" s="37"/>
      <c r="SUT310" s="208"/>
      <c r="SUU310" s="207"/>
      <c r="SUV310" s="204"/>
      <c r="SUW310" s="35"/>
      <c r="SUX310" s="203"/>
      <c r="SUY310" s="203"/>
      <c r="SUZ310" s="36"/>
      <c r="SVA310" s="36"/>
      <c r="SVB310" s="203"/>
      <c r="SVC310" s="33"/>
      <c r="SVD310" s="33"/>
      <c r="SVE310" s="33"/>
      <c r="SVF310" s="33"/>
      <c r="SVG310" s="33"/>
      <c r="SVH310" s="33"/>
      <c r="SVI310" s="37"/>
      <c r="SVJ310" s="208"/>
      <c r="SVK310" s="207"/>
      <c r="SVL310" s="204"/>
      <c r="SVM310" s="35"/>
      <c r="SVN310" s="203"/>
      <c r="SVO310" s="203"/>
      <c r="SVP310" s="36"/>
      <c r="SVQ310" s="36"/>
      <c r="SVR310" s="203"/>
      <c r="SVS310" s="33"/>
      <c r="SVT310" s="33"/>
      <c r="SVU310" s="33"/>
      <c r="SVV310" s="33"/>
      <c r="SVW310" s="33"/>
      <c r="SVX310" s="33"/>
      <c r="SVY310" s="37"/>
      <c r="SVZ310" s="208"/>
      <c r="SWA310" s="207"/>
      <c r="SWB310" s="204"/>
      <c r="SWC310" s="35"/>
      <c r="SWD310" s="203"/>
      <c r="SWE310" s="203"/>
      <c r="SWF310" s="36"/>
      <c r="SWG310" s="36"/>
      <c r="SWH310" s="203"/>
      <c r="SWI310" s="33"/>
      <c r="SWJ310" s="33"/>
      <c r="SWK310" s="33"/>
      <c r="SWL310" s="33"/>
      <c r="SWM310" s="33"/>
      <c r="SWN310" s="33"/>
      <c r="SWO310" s="37"/>
      <c r="SWP310" s="208"/>
      <c r="SWQ310" s="207"/>
      <c r="SWR310" s="204"/>
      <c r="SWS310" s="35"/>
      <c r="SWT310" s="203"/>
      <c r="SWU310" s="203"/>
      <c r="SWV310" s="36"/>
      <c r="SWW310" s="36"/>
      <c r="SWX310" s="203"/>
      <c r="SWY310" s="33"/>
      <c r="SWZ310" s="33"/>
      <c r="SXA310" s="33"/>
      <c r="SXB310" s="33"/>
      <c r="SXC310" s="33"/>
      <c r="SXD310" s="33"/>
      <c r="SXE310" s="37"/>
      <c r="SXF310" s="208"/>
      <c r="SXG310" s="207"/>
      <c r="SXH310" s="204"/>
      <c r="SXI310" s="35"/>
      <c r="SXJ310" s="203"/>
      <c r="SXK310" s="203"/>
      <c r="SXL310" s="36"/>
      <c r="SXM310" s="36"/>
      <c r="SXN310" s="203"/>
      <c r="SXO310" s="33"/>
      <c r="SXP310" s="33"/>
      <c r="SXQ310" s="33"/>
      <c r="SXR310" s="33"/>
      <c r="SXS310" s="33"/>
      <c r="SXT310" s="33"/>
      <c r="SXU310" s="37"/>
      <c r="SXV310" s="208"/>
      <c r="SXW310" s="207"/>
      <c r="SXX310" s="204"/>
      <c r="SXY310" s="35"/>
      <c r="SXZ310" s="203"/>
      <c r="SYA310" s="203"/>
      <c r="SYB310" s="36"/>
      <c r="SYC310" s="36"/>
      <c r="SYD310" s="203"/>
      <c r="SYE310" s="33"/>
      <c r="SYF310" s="33"/>
      <c r="SYG310" s="33"/>
      <c r="SYH310" s="33"/>
      <c r="SYI310" s="33"/>
      <c r="SYJ310" s="33"/>
      <c r="SYK310" s="37"/>
      <c r="SYL310" s="208"/>
      <c r="SYM310" s="207"/>
      <c r="SYN310" s="204"/>
      <c r="SYO310" s="35"/>
      <c r="SYP310" s="203"/>
      <c r="SYQ310" s="203"/>
      <c r="SYR310" s="36"/>
      <c r="SYS310" s="36"/>
      <c r="SYT310" s="203"/>
      <c r="SYU310" s="33"/>
      <c r="SYV310" s="33"/>
      <c r="SYW310" s="33"/>
      <c r="SYX310" s="33"/>
      <c r="SYY310" s="33"/>
      <c r="SYZ310" s="33"/>
      <c r="SZA310" s="37"/>
      <c r="SZB310" s="208"/>
      <c r="SZC310" s="207"/>
      <c r="SZD310" s="204"/>
      <c r="SZE310" s="35"/>
      <c r="SZF310" s="203"/>
      <c r="SZG310" s="203"/>
      <c r="SZH310" s="36"/>
      <c r="SZI310" s="36"/>
      <c r="SZJ310" s="203"/>
      <c r="SZK310" s="33"/>
      <c r="SZL310" s="33"/>
      <c r="SZM310" s="33"/>
      <c r="SZN310" s="33"/>
      <c r="SZO310" s="33"/>
      <c r="SZP310" s="33"/>
      <c r="SZQ310" s="37"/>
      <c r="SZR310" s="208"/>
      <c r="SZS310" s="207"/>
      <c r="SZT310" s="204"/>
      <c r="SZU310" s="35"/>
      <c r="SZV310" s="203"/>
      <c r="SZW310" s="203"/>
      <c r="SZX310" s="36"/>
      <c r="SZY310" s="36"/>
      <c r="SZZ310" s="203"/>
      <c r="TAA310" s="33"/>
      <c r="TAB310" s="33"/>
      <c r="TAC310" s="33"/>
      <c r="TAD310" s="33"/>
      <c r="TAE310" s="33"/>
      <c r="TAF310" s="33"/>
      <c r="TAG310" s="37"/>
      <c r="TAH310" s="208"/>
      <c r="TAI310" s="207"/>
      <c r="TAJ310" s="204"/>
      <c r="TAK310" s="35"/>
      <c r="TAL310" s="203"/>
      <c r="TAM310" s="203"/>
      <c r="TAN310" s="36"/>
      <c r="TAO310" s="36"/>
      <c r="TAP310" s="203"/>
      <c r="TAQ310" s="33"/>
      <c r="TAR310" s="33"/>
      <c r="TAS310" s="33"/>
      <c r="TAT310" s="33"/>
      <c r="TAU310" s="33"/>
      <c r="TAV310" s="33"/>
      <c r="TAW310" s="37"/>
      <c r="TAX310" s="208"/>
      <c r="TAY310" s="207"/>
      <c r="TAZ310" s="204"/>
      <c r="TBA310" s="35"/>
      <c r="TBB310" s="203"/>
      <c r="TBC310" s="203"/>
      <c r="TBD310" s="36"/>
      <c r="TBE310" s="36"/>
      <c r="TBF310" s="203"/>
      <c r="TBG310" s="33"/>
      <c r="TBH310" s="33"/>
      <c r="TBI310" s="33"/>
      <c r="TBJ310" s="33"/>
      <c r="TBK310" s="33"/>
      <c r="TBL310" s="33"/>
      <c r="TBM310" s="37"/>
      <c r="TBN310" s="208"/>
      <c r="TBO310" s="207"/>
      <c r="TBP310" s="204"/>
      <c r="TBQ310" s="35"/>
      <c r="TBR310" s="203"/>
      <c r="TBS310" s="203"/>
      <c r="TBT310" s="36"/>
      <c r="TBU310" s="36"/>
      <c r="TBV310" s="203"/>
      <c r="TBW310" s="33"/>
      <c r="TBX310" s="33"/>
      <c r="TBY310" s="33"/>
      <c r="TBZ310" s="33"/>
      <c r="TCA310" s="33"/>
      <c r="TCB310" s="33"/>
      <c r="TCC310" s="37"/>
      <c r="TCD310" s="208"/>
      <c r="TCE310" s="207"/>
      <c r="TCF310" s="204"/>
      <c r="TCG310" s="35"/>
      <c r="TCH310" s="203"/>
      <c r="TCI310" s="203"/>
      <c r="TCJ310" s="36"/>
      <c r="TCK310" s="36"/>
      <c r="TCL310" s="203"/>
      <c r="TCM310" s="33"/>
      <c r="TCN310" s="33"/>
      <c r="TCO310" s="33"/>
      <c r="TCP310" s="33"/>
      <c r="TCQ310" s="33"/>
      <c r="TCR310" s="33"/>
      <c r="TCS310" s="37"/>
      <c r="TCT310" s="208"/>
      <c r="TCU310" s="207"/>
      <c r="TCV310" s="204"/>
      <c r="TCW310" s="35"/>
      <c r="TCX310" s="203"/>
      <c r="TCY310" s="203"/>
      <c r="TCZ310" s="36"/>
      <c r="TDA310" s="36"/>
      <c r="TDB310" s="203"/>
      <c r="TDC310" s="33"/>
      <c r="TDD310" s="33"/>
      <c r="TDE310" s="33"/>
      <c r="TDF310" s="33"/>
      <c r="TDG310" s="33"/>
      <c r="TDH310" s="33"/>
      <c r="TDI310" s="37"/>
      <c r="TDJ310" s="208"/>
      <c r="TDK310" s="207"/>
      <c r="TDL310" s="204"/>
      <c r="TDM310" s="35"/>
      <c r="TDN310" s="203"/>
      <c r="TDO310" s="203"/>
      <c r="TDP310" s="36"/>
      <c r="TDQ310" s="36"/>
      <c r="TDR310" s="203"/>
      <c r="TDS310" s="33"/>
      <c r="TDT310" s="33"/>
      <c r="TDU310" s="33"/>
      <c r="TDV310" s="33"/>
      <c r="TDW310" s="33"/>
      <c r="TDX310" s="33"/>
      <c r="TDY310" s="37"/>
      <c r="TDZ310" s="208"/>
      <c r="TEA310" s="207"/>
      <c r="TEB310" s="204"/>
      <c r="TEC310" s="35"/>
      <c r="TED310" s="203"/>
      <c r="TEE310" s="203"/>
      <c r="TEF310" s="36"/>
      <c r="TEG310" s="36"/>
      <c r="TEH310" s="203"/>
      <c r="TEI310" s="33"/>
      <c r="TEJ310" s="33"/>
      <c r="TEK310" s="33"/>
      <c r="TEL310" s="33"/>
      <c r="TEM310" s="33"/>
      <c r="TEN310" s="33"/>
      <c r="TEO310" s="37"/>
      <c r="TEP310" s="208"/>
      <c r="TEQ310" s="207"/>
      <c r="TER310" s="204"/>
      <c r="TES310" s="35"/>
      <c r="TET310" s="203"/>
      <c r="TEU310" s="203"/>
      <c r="TEV310" s="36"/>
      <c r="TEW310" s="36"/>
      <c r="TEX310" s="203"/>
      <c r="TEY310" s="33"/>
      <c r="TEZ310" s="33"/>
      <c r="TFA310" s="33"/>
      <c r="TFB310" s="33"/>
      <c r="TFC310" s="33"/>
      <c r="TFD310" s="33"/>
      <c r="TFE310" s="37"/>
      <c r="TFF310" s="208"/>
      <c r="TFG310" s="207"/>
      <c r="TFH310" s="204"/>
      <c r="TFI310" s="35"/>
      <c r="TFJ310" s="203"/>
      <c r="TFK310" s="203"/>
      <c r="TFL310" s="36"/>
      <c r="TFM310" s="36"/>
      <c r="TFN310" s="203"/>
      <c r="TFO310" s="33"/>
      <c r="TFP310" s="33"/>
      <c r="TFQ310" s="33"/>
      <c r="TFR310" s="33"/>
      <c r="TFS310" s="33"/>
      <c r="TFT310" s="33"/>
      <c r="TFU310" s="37"/>
      <c r="TFV310" s="208"/>
      <c r="TFW310" s="207"/>
      <c r="TFX310" s="204"/>
      <c r="TFY310" s="35"/>
      <c r="TFZ310" s="203"/>
      <c r="TGA310" s="203"/>
      <c r="TGB310" s="36"/>
      <c r="TGC310" s="36"/>
      <c r="TGD310" s="203"/>
      <c r="TGE310" s="33"/>
      <c r="TGF310" s="33"/>
      <c r="TGG310" s="33"/>
      <c r="TGH310" s="33"/>
      <c r="TGI310" s="33"/>
      <c r="TGJ310" s="33"/>
      <c r="TGK310" s="37"/>
      <c r="TGL310" s="208"/>
      <c r="TGM310" s="207"/>
      <c r="TGN310" s="204"/>
      <c r="TGO310" s="35"/>
      <c r="TGP310" s="203"/>
      <c r="TGQ310" s="203"/>
      <c r="TGR310" s="36"/>
      <c r="TGS310" s="36"/>
      <c r="TGT310" s="203"/>
      <c r="TGU310" s="33"/>
      <c r="TGV310" s="33"/>
      <c r="TGW310" s="33"/>
      <c r="TGX310" s="33"/>
      <c r="TGY310" s="33"/>
      <c r="TGZ310" s="33"/>
      <c r="THA310" s="37"/>
      <c r="THB310" s="208"/>
      <c r="THC310" s="207"/>
      <c r="THD310" s="204"/>
      <c r="THE310" s="35"/>
      <c r="THF310" s="203"/>
      <c r="THG310" s="203"/>
      <c r="THH310" s="36"/>
      <c r="THI310" s="36"/>
      <c r="THJ310" s="203"/>
      <c r="THK310" s="33"/>
      <c r="THL310" s="33"/>
      <c r="THM310" s="33"/>
      <c r="THN310" s="33"/>
      <c r="THO310" s="33"/>
      <c r="THP310" s="33"/>
      <c r="THQ310" s="37"/>
      <c r="THR310" s="208"/>
      <c r="THS310" s="207"/>
      <c r="THT310" s="204"/>
      <c r="THU310" s="35"/>
      <c r="THV310" s="203"/>
      <c r="THW310" s="203"/>
      <c r="THX310" s="36"/>
      <c r="THY310" s="36"/>
      <c r="THZ310" s="203"/>
      <c r="TIA310" s="33"/>
      <c r="TIB310" s="33"/>
      <c r="TIC310" s="33"/>
      <c r="TID310" s="33"/>
      <c r="TIE310" s="33"/>
      <c r="TIF310" s="33"/>
      <c r="TIG310" s="37"/>
      <c r="TIH310" s="208"/>
      <c r="TII310" s="207"/>
      <c r="TIJ310" s="204"/>
      <c r="TIK310" s="35"/>
      <c r="TIL310" s="203"/>
      <c r="TIM310" s="203"/>
      <c r="TIN310" s="36"/>
      <c r="TIO310" s="36"/>
      <c r="TIP310" s="203"/>
      <c r="TIQ310" s="33"/>
      <c r="TIR310" s="33"/>
      <c r="TIS310" s="33"/>
      <c r="TIT310" s="33"/>
      <c r="TIU310" s="33"/>
      <c r="TIV310" s="33"/>
      <c r="TIW310" s="37"/>
      <c r="TIX310" s="208"/>
      <c r="TIY310" s="207"/>
      <c r="TIZ310" s="204"/>
      <c r="TJA310" s="35"/>
      <c r="TJB310" s="203"/>
      <c r="TJC310" s="203"/>
      <c r="TJD310" s="36"/>
      <c r="TJE310" s="36"/>
      <c r="TJF310" s="203"/>
      <c r="TJG310" s="33"/>
      <c r="TJH310" s="33"/>
      <c r="TJI310" s="33"/>
      <c r="TJJ310" s="33"/>
      <c r="TJK310" s="33"/>
      <c r="TJL310" s="33"/>
      <c r="TJM310" s="37"/>
      <c r="TJN310" s="208"/>
      <c r="TJO310" s="207"/>
      <c r="TJP310" s="204"/>
      <c r="TJQ310" s="35"/>
      <c r="TJR310" s="203"/>
      <c r="TJS310" s="203"/>
      <c r="TJT310" s="36"/>
      <c r="TJU310" s="36"/>
      <c r="TJV310" s="203"/>
      <c r="TJW310" s="33"/>
      <c r="TJX310" s="33"/>
      <c r="TJY310" s="33"/>
      <c r="TJZ310" s="33"/>
      <c r="TKA310" s="33"/>
      <c r="TKB310" s="33"/>
      <c r="TKC310" s="37"/>
      <c r="TKD310" s="208"/>
      <c r="TKE310" s="207"/>
      <c r="TKF310" s="204"/>
      <c r="TKG310" s="35"/>
      <c r="TKH310" s="203"/>
      <c r="TKI310" s="203"/>
      <c r="TKJ310" s="36"/>
      <c r="TKK310" s="36"/>
      <c r="TKL310" s="203"/>
      <c r="TKM310" s="33"/>
      <c r="TKN310" s="33"/>
      <c r="TKO310" s="33"/>
      <c r="TKP310" s="33"/>
      <c r="TKQ310" s="33"/>
      <c r="TKR310" s="33"/>
      <c r="TKS310" s="37"/>
      <c r="TKT310" s="208"/>
      <c r="TKU310" s="207"/>
      <c r="TKV310" s="204"/>
      <c r="TKW310" s="35"/>
      <c r="TKX310" s="203"/>
      <c r="TKY310" s="203"/>
      <c r="TKZ310" s="36"/>
      <c r="TLA310" s="36"/>
      <c r="TLB310" s="203"/>
      <c r="TLC310" s="33"/>
      <c r="TLD310" s="33"/>
      <c r="TLE310" s="33"/>
      <c r="TLF310" s="33"/>
      <c r="TLG310" s="33"/>
      <c r="TLH310" s="33"/>
      <c r="TLI310" s="37"/>
      <c r="TLJ310" s="208"/>
      <c r="TLK310" s="207"/>
      <c r="TLL310" s="204"/>
      <c r="TLM310" s="35"/>
      <c r="TLN310" s="203"/>
      <c r="TLO310" s="203"/>
      <c r="TLP310" s="36"/>
      <c r="TLQ310" s="36"/>
      <c r="TLR310" s="203"/>
      <c r="TLS310" s="33"/>
      <c r="TLT310" s="33"/>
      <c r="TLU310" s="33"/>
      <c r="TLV310" s="33"/>
      <c r="TLW310" s="33"/>
      <c r="TLX310" s="33"/>
      <c r="TLY310" s="37"/>
      <c r="TLZ310" s="208"/>
      <c r="TMA310" s="207"/>
      <c r="TMB310" s="204"/>
      <c r="TMC310" s="35"/>
      <c r="TMD310" s="203"/>
      <c r="TME310" s="203"/>
      <c r="TMF310" s="36"/>
      <c r="TMG310" s="36"/>
      <c r="TMH310" s="203"/>
      <c r="TMI310" s="33"/>
      <c r="TMJ310" s="33"/>
      <c r="TMK310" s="33"/>
      <c r="TML310" s="33"/>
      <c r="TMM310" s="33"/>
      <c r="TMN310" s="33"/>
      <c r="TMO310" s="37"/>
      <c r="TMP310" s="208"/>
      <c r="TMQ310" s="207"/>
      <c r="TMR310" s="204"/>
      <c r="TMS310" s="35"/>
      <c r="TMT310" s="203"/>
      <c r="TMU310" s="203"/>
      <c r="TMV310" s="36"/>
      <c r="TMW310" s="36"/>
      <c r="TMX310" s="203"/>
      <c r="TMY310" s="33"/>
      <c r="TMZ310" s="33"/>
      <c r="TNA310" s="33"/>
      <c r="TNB310" s="33"/>
      <c r="TNC310" s="33"/>
      <c r="TND310" s="33"/>
      <c r="TNE310" s="37"/>
      <c r="TNF310" s="208"/>
      <c r="TNG310" s="207"/>
      <c r="TNH310" s="204"/>
      <c r="TNI310" s="35"/>
      <c r="TNJ310" s="203"/>
      <c r="TNK310" s="203"/>
      <c r="TNL310" s="36"/>
      <c r="TNM310" s="36"/>
      <c r="TNN310" s="203"/>
      <c r="TNO310" s="33"/>
      <c r="TNP310" s="33"/>
      <c r="TNQ310" s="33"/>
      <c r="TNR310" s="33"/>
      <c r="TNS310" s="33"/>
      <c r="TNT310" s="33"/>
      <c r="TNU310" s="37"/>
      <c r="TNV310" s="208"/>
      <c r="TNW310" s="207"/>
      <c r="TNX310" s="204"/>
      <c r="TNY310" s="35"/>
      <c r="TNZ310" s="203"/>
      <c r="TOA310" s="203"/>
      <c r="TOB310" s="36"/>
      <c r="TOC310" s="36"/>
      <c r="TOD310" s="203"/>
      <c r="TOE310" s="33"/>
      <c r="TOF310" s="33"/>
      <c r="TOG310" s="33"/>
      <c r="TOH310" s="33"/>
      <c r="TOI310" s="33"/>
      <c r="TOJ310" s="33"/>
      <c r="TOK310" s="37"/>
      <c r="TOL310" s="208"/>
      <c r="TOM310" s="207"/>
      <c r="TON310" s="204"/>
      <c r="TOO310" s="35"/>
      <c r="TOP310" s="203"/>
      <c r="TOQ310" s="203"/>
      <c r="TOR310" s="36"/>
      <c r="TOS310" s="36"/>
      <c r="TOT310" s="203"/>
      <c r="TOU310" s="33"/>
      <c r="TOV310" s="33"/>
      <c r="TOW310" s="33"/>
      <c r="TOX310" s="33"/>
      <c r="TOY310" s="33"/>
      <c r="TOZ310" s="33"/>
      <c r="TPA310" s="37"/>
      <c r="TPB310" s="208"/>
      <c r="TPC310" s="207"/>
      <c r="TPD310" s="204"/>
      <c r="TPE310" s="35"/>
      <c r="TPF310" s="203"/>
      <c r="TPG310" s="203"/>
      <c r="TPH310" s="36"/>
      <c r="TPI310" s="36"/>
      <c r="TPJ310" s="203"/>
      <c r="TPK310" s="33"/>
      <c r="TPL310" s="33"/>
      <c r="TPM310" s="33"/>
      <c r="TPN310" s="33"/>
      <c r="TPO310" s="33"/>
      <c r="TPP310" s="33"/>
      <c r="TPQ310" s="37"/>
      <c r="TPR310" s="208"/>
      <c r="TPS310" s="207"/>
      <c r="TPT310" s="204"/>
      <c r="TPU310" s="35"/>
      <c r="TPV310" s="203"/>
      <c r="TPW310" s="203"/>
      <c r="TPX310" s="36"/>
      <c r="TPY310" s="36"/>
      <c r="TPZ310" s="203"/>
      <c r="TQA310" s="33"/>
      <c r="TQB310" s="33"/>
      <c r="TQC310" s="33"/>
      <c r="TQD310" s="33"/>
      <c r="TQE310" s="33"/>
      <c r="TQF310" s="33"/>
      <c r="TQG310" s="37"/>
      <c r="TQH310" s="208"/>
      <c r="TQI310" s="207"/>
      <c r="TQJ310" s="204"/>
      <c r="TQK310" s="35"/>
      <c r="TQL310" s="203"/>
      <c r="TQM310" s="203"/>
      <c r="TQN310" s="36"/>
      <c r="TQO310" s="36"/>
      <c r="TQP310" s="203"/>
      <c r="TQQ310" s="33"/>
      <c r="TQR310" s="33"/>
      <c r="TQS310" s="33"/>
      <c r="TQT310" s="33"/>
      <c r="TQU310" s="33"/>
      <c r="TQV310" s="33"/>
      <c r="TQW310" s="37"/>
      <c r="TQX310" s="208"/>
      <c r="TQY310" s="207"/>
      <c r="TQZ310" s="204"/>
      <c r="TRA310" s="35"/>
      <c r="TRB310" s="203"/>
      <c r="TRC310" s="203"/>
      <c r="TRD310" s="36"/>
      <c r="TRE310" s="36"/>
      <c r="TRF310" s="203"/>
      <c r="TRG310" s="33"/>
      <c r="TRH310" s="33"/>
      <c r="TRI310" s="33"/>
      <c r="TRJ310" s="33"/>
      <c r="TRK310" s="33"/>
      <c r="TRL310" s="33"/>
      <c r="TRM310" s="37"/>
      <c r="TRN310" s="208"/>
      <c r="TRO310" s="207"/>
      <c r="TRP310" s="204"/>
      <c r="TRQ310" s="35"/>
      <c r="TRR310" s="203"/>
      <c r="TRS310" s="203"/>
      <c r="TRT310" s="36"/>
      <c r="TRU310" s="36"/>
      <c r="TRV310" s="203"/>
      <c r="TRW310" s="33"/>
      <c r="TRX310" s="33"/>
      <c r="TRY310" s="33"/>
      <c r="TRZ310" s="33"/>
      <c r="TSA310" s="33"/>
      <c r="TSB310" s="33"/>
      <c r="TSC310" s="37"/>
      <c r="TSD310" s="208"/>
      <c r="TSE310" s="207"/>
      <c r="TSF310" s="204"/>
      <c r="TSG310" s="35"/>
      <c r="TSH310" s="203"/>
      <c r="TSI310" s="203"/>
      <c r="TSJ310" s="36"/>
      <c r="TSK310" s="36"/>
      <c r="TSL310" s="203"/>
      <c r="TSM310" s="33"/>
      <c r="TSN310" s="33"/>
      <c r="TSO310" s="33"/>
      <c r="TSP310" s="33"/>
      <c r="TSQ310" s="33"/>
      <c r="TSR310" s="33"/>
      <c r="TSS310" s="37"/>
      <c r="TST310" s="208"/>
      <c r="TSU310" s="207"/>
      <c r="TSV310" s="204"/>
      <c r="TSW310" s="35"/>
      <c r="TSX310" s="203"/>
      <c r="TSY310" s="203"/>
      <c r="TSZ310" s="36"/>
      <c r="TTA310" s="36"/>
      <c r="TTB310" s="203"/>
      <c r="TTC310" s="33"/>
      <c r="TTD310" s="33"/>
      <c r="TTE310" s="33"/>
      <c r="TTF310" s="33"/>
      <c r="TTG310" s="33"/>
      <c r="TTH310" s="33"/>
      <c r="TTI310" s="37"/>
      <c r="TTJ310" s="208"/>
      <c r="TTK310" s="207"/>
      <c r="TTL310" s="204"/>
      <c r="TTM310" s="35"/>
      <c r="TTN310" s="203"/>
      <c r="TTO310" s="203"/>
      <c r="TTP310" s="36"/>
      <c r="TTQ310" s="36"/>
      <c r="TTR310" s="203"/>
      <c r="TTS310" s="33"/>
      <c r="TTT310" s="33"/>
      <c r="TTU310" s="33"/>
      <c r="TTV310" s="33"/>
      <c r="TTW310" s="33"/>
      <c r="TTX310" s="33"/>
      <c r="TTY310" s="37"/>
      <c r="TTZ310" s="208"/>
      <c r="TUA310" s="207"/>
      <c r="TUB310" s="204"/>
      <c r="TUC310" s="35"/>
      <c r="TUD310" s="203"/>
      <c r="TUE310" s="203"/>
      <c r="TUF310" s="36"/>
      <c r="TUG310" s="36"/>
      <c r="TUH310" s="203"/>
      <c r="TUI310" s="33"/>
      <c r="TUJ310" s="33"/>
      <c r="TUK310" s="33"/>
      <c r="TUL310" s="33"/>
      <c r="TUM310" s="33"/>
      <c r="TUN310" s="33"/>
      <c r="TUO310" s="37"/>
      <c r="TUP310" s="208"/>
      <c r="TUQ310" s="207"/>
      <c r="TUR310" s="204"/>
      <c r="TUS310" s="35"/>
      <c r="TUT310" s="203"/>
      <c r="TUU310" s="203"/>
      <c r="TUV310" s="36"/>
      <c r="TUW310" s="36"/>
      <c r="TUX310" s="203"/>
      <c r="TUY310" s="33"/>
      <c r="TUZ310" s="33"/>
      <c r="TVA310" s="33"/>
      <c r="TVB310" s="33"/>
      <c r="TVC310" s="33"/>
      <c r="TVD310" s="33"/>
      <c r="TVE310" s="37"/>
      <c r="TVF310" s="208"/>
      <c r="TVG310" s="207"/>
      <c r="TVH310" s="204"/>
      <c r="TVI310" s="35"/>
      <c r="TVJ310" s="203"/>
      <c r="TVK310" s="203"/>
      <c r="TVL310" s="36"/>
      <c r="TVM310" s="36"/>
      <c r="TVN310" s="203"/>
      <c r="TVO310" s="33"/>
      <c r="TVP310" s="33"/>
      <c r="TVQ310" s="33"/>
      <c r="TVR310" s="33"/>
      <c r="TVS310" s="33"/>
      <c r="TVT310" s="33"/>
      <c r="TVU310" s="37"/>
      <c r="TVV310" s="208"/>
      <c r="TVW310" s="207"/>
      <c r="TVX310" s="204"/>
      <c r="TVY310" s="35"/>
      <c r="TVZ310" s="203"/>
      <c r="TWA310" s="203"/>
      <c r="TWB310" s="36"/>
      <c r="TWC310" s="36"/>
      <c r="TWD310" s="203"/>
      <c r="TWE310" s="33"/>
      <c r="TWF310" s="33"/>
      <c r="TWG310" s="33"/>
      <c r="TWH310" s="33"/>
      <c r="TWI310" s="33"/>
      <c r="TWJ310" s="33"/>
      <c r="TWK310" s="37"/>
      <c r="TWL310" s="208"/>
      <c r="TWM310" s="207"/>
      <c r="TWN310" s="204"/>
      <c r="TWO310" s="35"/>
      <c r="TWP310" s="203"/>
      <c r="TWQ310" s="203"/>
      <c r="TWR310" s="36"/>
      <c r="TWS310" s="36"/>
      <c r="TWT310" s="203"/>
      <c r="TWU310" s="33"/>
      <c r="TWV310" s="33"/>
      <c r="TWW310" s="33"/>
      <c r="TWX310" s="33"/>
      <c r="TWY310" s="33"/>
      <c r="TWZ310" s="33"/>
      <c r="TXA310" s="37"/>
      <c r="TXB310" s="208"/>
      <c r="TXC310" s="207"/>
      <c r="TXD310" s="204"/>
      <c r="TXE310" s="35"/>
      <c r="TXF310" s="203"/>
      <c r="TXG310" s="203"/>
      <c r="TXH310" s="36"/>
      <c r="TXI310" s="36"/>
      <c r="TXJ310" s="203"/>
      <c r="TXK310" s="33"/>
      <c r="TXL310" s="33"/>
      <c r="TXM310" s="33"/>
      <c r="TXN310" s="33"/>
      <c r="TXO310" s="33"/>
      <c r="TXP310" s="33"/>
      <c r="TXQ310" s="37"/>
      <c r="TXR310" s="208"/>
      <c r="TXS310" s="207"/>
      <c r="TXT310" s="204"/>
      <c r="TXU310" s="35"/>
      <c r="TXV310" s="203"/>
      <c r="TXW310" s="203"/>
      <c r="TXX310" s="36"/>
      <c r="TXY310" s="36"/>
      <c r="TXZ310" s="203"/>
      <c r="TYA310" s="33"/>
      <c r="TYB310" s="33"/>
      <c r="TYC310" s="33"/>
      <c r="TYD310" s="33"/>
      <c r="TYE310" s="33"/>
      <c r="TYF310" s="33"/>
      <c r="TYG310" s="37"/>
      <c r="TYH310" s="208"/>
      <c r="TYI310" s="207"/>
      <c r="TYJ310" s="204"/>
      <c r="TYK310" s="35"/>
      <c r="TYL310" s="203"/>
      <c r="TYM310" s="203"/>
      <c r="TYN310" s="36"/>
      <c r="TYO310" s="36"/>
      <c r="TYP310" s="203"/>
      <c r="TYQ310" s="33"/>
      <c r="TYR310" s="33"/>
      <c r="TYS310" s="33"/>
      <c r="TYT310" s="33"/>
      <c r="TYU310" s="33"/>
      <c r="TYV310" s="33"/>
      <c r="TYW310" s="37"/>
      <c r="TYX310" s="208"/>
      <c r="TYY310" s="207"/>
      <c r="TYZ310" s="204"/>
      <c r="TZA310" s="35"/>
      <c r="TZB310" s="203"/>
      <c r="TZC310" s="203"/>
      <c r="TZD310" s="36"/>
      <c r="TZE310" s="36"/>
      <c r="TZF310" s="203"/>
      <c r="TZG310" s="33"/>
      <c r="TZH310" s="33"/>
      <c r="TZI310" s="33"/>
      <c r="TZJ310" s="33"/>
      <c r="TZK310" s="33"/>
      <c r="TZL310" s="33"/>
      <c r="TZM310" s="37"/>
      <c r="TZN310" s="208"/>
      <c r="TZO310" s="207"/>
      <c r="TZP310" s="204"/>
      <c r="TZQ310" s="35"/>
      <c r="TZR310" s="203"/>
      <c r="TZS310" s="203"/>
      <c r="TZT310" s="36"/>
      <c r="TZU310" s="36"/>
      <c r="TZV310" s="203"/>
      <c r="TZW310" s="33"/>
      <c r="TZX310" s="33"/>
      <c r="TZY310" s="33"/>
      <c r="TZZ310" s="33"/>
      <c r="UAA310" s="33"/>
      <c r="UAB310" s="33"/>
      <c r="UAC310" s="37"/>
      <c r="UAD310" s="208"/>
      <c r="UAE310" s="207"/>
      <c r="UAF310" s="204"/>
      <c r="UAG310" s="35"/>
      <c r="UAH310" s="203"/>
      <c r="UAI310" s="203"/>
      <c r="UAJ310" s="36"/>
      <c r="UAK310" s="36"/>
      <c r="UAL310" s="203"/>
      <c r="UAM310" s="33"/>
      <c r="UAN310" s="33"/>
      <c r="UAO310" s="33"/>
      <c r="UAP310" s="33"/>
      <c r="UAQ310" s="33"/>
      <c r="UAR310" s="33"/>
      <c r="UAS310" s="37"/>
      <c r="UAT310" s="208"/>
      <c r="UAU310" s="207"/>
      <c r="UAV310" s="204"/>
      <c r="UAW310" s="35"/>
      <c r="UAX310" s="203"/>
      <c r="UAY310" s="203"/>
      <c r="UAZ310" s="36"/>
      <c r="UBA310" s="36"/>
      <c r="UBB310" s="203"/>
      <c r="UBC310" s="33"/>
      <c r="UBD310" s="33"/>
      <c r="UBE310" s="33"/>
      <c r="UBF310" s="33"/>
      <c r="UBG310" s="33"/>
      <c r="UBH310" s="33"/>
      <c r="UBI310" s="37"/>
      <c r="UBJ310" s="208"/>
      <c r="UBK310" s="207"/>
      <c r="UBL310" s="204"/>
      <c r="UBM310" s="35"/>
      <c r="UBN310" s="203"/>
      <c r="UBO310" s="203"/>
      <c r="UBP310" s="36"/>
      <c r="UBQ310" s="36"/>
      <c r="UBR310" s="203"/>
      <c r="UBS310" s="33"/>
      <c r="UBT310" s="33"/>
      <c r="UBU310" s="33"/>
      <c r="UBV310" s="33"/>
      <c r="UBW310" s="33"/>
      <c r="UBX310" s="33"/>
      <c r="UBY310" s="37"/>
      <c r="UBZ310" s="208"/>
      <c r="UCA310" s="207"/>
      <c r="UCB310" s="204"/>
      <c r="UCC310" s="35"/>
      <c r="UCD310" s="203"/>
      <c r="UCE310" s="203"/>
      <c r="UCF310" s="36"/>
      <c r="UCG310" s="36"/>
      <c r="UCH310" s="203"/>
      <c r="UCI310" s="33"/>
      <c r="UCJ310" s="33"/>
      <c r="UCK310" s="33"/>
      <c r="UCL310" s="33"/>
      <c r="UCM310" s="33"/>
      <c r="UCN310" s="33"/>
      <c r="UCO310" s="37"/>
      <c r="UCP310" s="208"/>
      <c r="UCQ310" s="207"/>
      <c r="UCR310" s="204"/>
      <c r="UCS310" s="35"/>
      <c r="UCT310" s="203"/>
      <c r="UCU310" s="203"/>
      <c r="UCV310" s="36"/>
      <c r="UCW310" s="36"/>
      <c r="UCX310" s="203"/>
      <c r="UCY310" s="33"/>
      <c r="UCZ310" s="33"/>
      <c r="UDA310" s="33"/>
      <c r="UDB310" s="33"/>
      <c r="UDC310" s="33"/>
      <c r="UDD310" s="33"/>
      <c r="UDE310" s="37"/>
      <c r="UDF310" s="208"/>
      <c r="UDG310" s="207"/>
      <c r="UDH310" s="204"/>
      <c r="UDI310" s="35"/>
      <c r="UDJ310" s="203"/>
      <c r="UDK310" s="203"/>
      <c r="UDL310" s="36"/>
      <c r="UDM310" s="36"/>
      <c r="UDN310" s="203"/>
      <c r="UDO310" s="33"/>
      <c r="UDP310" s="33"/>
      <c r="UDQ310" s="33"/>
      <c r="UDR310" s="33"/>
      <c r="UDS310" s="33"/>
      <c r="UDT310" s="33"/>
      <c r="UDU310" s="37"/>
      <c r="UDV310" s="208"/>
      <c r="UDW310" s="207"/>
      <c r="UDX310" s="204"/>
      <c r="UDY310" s="35"/>
      <c r="UDZ310" s="203"/>
      <c r="UEA310" s="203"/>
      <c r="UEB310" s="36"/>
      <c r="UEC310" s="36"/>
      <c r="UED310" s="203"/>
      <c r="UEE310" s="33"/>
      <c r="UEF310" s="33"/>
      <c r="UEG310" s="33"/>
      <c r="UEH310" s="33"/>
      <c r="UEI310" s="33"/>
      <c r="UEJ310" s="33"/>
      <c r="UEK310" s="37"/>
      <c r="UEL310" s="208"/>
      <c r="UEM310" s="207"/>
      <c r="UEN310" s="204"/>
      <c r="UEO310" s="35"/>
      <c r="UEP310" s="203"/>
      <c r="UEQ310" s="203"/>
      <c r="UER310" s="36"/>
      <c r="UES310" s="36"/>
      <c r="UET310" s="203"/>
      <c r="UEU310" s="33"/>
      <c r="UEV310" s="33"/>
      <c r="UEW310" s="33"/>
      <c r="UEX310" s="33"/>
      <c r="UEY310" s="33"/>
      <c r="UEZ310" s="33"/>
      <c r="UFA310" s="37"/>
      <c r="UFB310" s="208"/>
      <c r="UFC310" s="207"/>
      <c r="UFD310" s="204"/>
      <c r="UFE310" s="35"/>
      <c r="UFF310" s="203"/>
      <c r="UFG310" s="203"/>
      <c r="UFH310" s="36"/>
      <c r="UFI310" s="36"/>
      <c r="UFJ310" s="203"/>
      <c r="UFK310" s="33"/>
      <c r="UFL310" s="33"/>
      <c r="UFM310" s="33"/>
      <c r="UFN310" s="33"/>
      <c r="UFO310" s="33"/>
      <c r="UFP310" s="33"/>
      <c r="UFQ310" s="37"/>
      <c r="UFR310" s="208"/>
      <c r="UFS310" s="207"/>
      <c r="UFT310" s="204"/>
      <c r="UFU310" s="35"/>
      <c r="UFV310" s="203"/>
      <c r="UFW310" s="203"/>
      <c r="UFX310" s="36"/>
      <c r="UFY310" s="36"/>
      <c r="UFZ310" s="203"/>
      <c r="UGA310" s="33"/>
      <c r="UGB310" s="33"/>
      <c r="UGC310" s="33"/>
      <c r="UGD310" s="33"/>
      <c r="UGE310" s="33"/>
      <c r="UGF310" s="33"/>
      <c r="UGG310" s="37"/>
      <c r="UGH310" s="208"/>
      <c r="UGI310" s="207"/>
      <c r="UGJ310" s="204"/>
      <c r="UGK310" s="35"/>
      <c r="UGL310" s="203"/>
      <c r="UGM310" s="203"/>
      <c r="UGN310" s="36"/>
      <c r="UGO310" s="36"/>
      <c r="UGP310" s="203"/>
      <c r="UGQ310" s="33"/>
      <c r="UGR310" s="33"/>
      <c r="UGS310" s="33"/>
      <c r="UGT310" s="33"/>
      <c r="UGU310" s="33"/>
      <c r="UGV310" s="33"/>
      <c r="UGW310" s="37"/>
      <c r="UGX310" s="208"/>
      <c r="UGY310" s="207"/>
      <c r="UGZ310" s="204"/>
      <c r="UHA310" s="35"/>
      <c r="UHB310" s="203"/>
      <c r="UHC310" s="203"/>
      <c r="UHD310" s="36"/>
      <c r="UHE310" s="36"/>
      <c r="UHF310" s="203"/>
      <c r="UHG310" s="33"/>
      <c r="UHH310" s="33"/>
      <c r="UHI310" s="33"/>
      <c r="UHJ310" s="33"/>
      <c r="UHK310" s="33"/>
      <c r="UHL310" s="33"/>
      <c r="UHM310" s="37"/>
      <c r="UHN310" s="208"/>
      <c r="UHO310" s="207"/>
      <c r="UHP310" s="204"/>
      <c r="UHQ310" s="35"/>
      <c r="UHR310" s="203"/>
      <c r="UHS310" s="203"/>
      <c r="UHT310" s="36"/>
      <c r="UHU310" s="36"/>
      <c r="UHV310" s="203"/>
      <c r="UHW310" s="33"/>
      <c r="UHX310" s="33"/>
      <c r="UHY310" s="33"/>
      <c r="UHZ310" s="33"/>
      <c r="UIA310" s="33"/>
      <c r="UIB310" s="33"/>
      <c r="UIC310" s="37"/>
      <c r="UID310" s="208"/>
      <c r="UIE310" s="207"/>
      <c r="UIF310" s="204"/>
      <c r="UIG310" s="35"/>
      <c r="UIH310" s="203"/>
      <c r="UII310" s="203"/>
      <c r="UIJ310" s="36"/>
      <c r="UIK310" s="36"/>
      <c r="UIL310" s="203"/>
      <c r="UIM310" s="33"/>
      <c r="UIN310" s="33"/>
      <c r="UIO310" s="33"/>
      <c r="UIP310" s="33"/>
      <c r="UIQ310" s="33"/>
      <c r="UIR310" s="33"/>
      <c r="UIS310" s="37"/>
      <c r="UIT310" s="208"/>
      <c r="UIU310" s="207"/>
      <c r="UIV310" s="204"/>
      <c r="UIW310" s="35"/>
      <c r="UIX310" s="203"/>
      <c r="UIY310" s="203"/>
      <c r="UIZ310" s="36"/>
      <c r="UJA310" s="36"/>
      <c r="UJB310" s="203"/>
      <c r="UJC310" s="33"/>
      <c r="UJD310" s="33"/>
      <c r="UJE310" s="33"/>
      <c r="UJF310" s="33"/>
      <c r="UJG310" s="33"/>
      <c r="UJH310" s="33"/>
      <c r="UJI310" s="37"/>
      <c r="UJJ310" s="208"/>
      <c r="UJK310" s="207"/>
      <c r="UJL310" s="204"/>
      <c r="UJM310" s="35"/>
      <c r="UJN310" s="203"/>
      <c r="UJO310" s="203"/>
      <c r="UJP310" s="36"/>
      <c r="UJQ310" s="36"/>
      <c r="UJR310" s="203"/>
      <c r="UJS310" s="33"/>
      <c r="UJT310" s="33"/>
      <c r="UJU310" s="33"/>
      <c r="UJV310" s="33"/>
      <c r="UJW310" s="33"/>
      <c r="UJX310" s="33"/>
      <c r="UJY310" s="37"/>
      <c r="UJZ310" s="208"/>
      <c r="UKA310" s="207"/>
      <c r="UKB310" s="204"/>
      <c r="UKC310" s="35"/>
      <c r="UKD310" s="203"/>
      <c r="UKE310" s="203"/>
      <c r="UKF310" s="36"/>
      <c r="UKG310" s="36"/>
      <c r="UKH310" s="203"/>
      <c r="UKI310" s="33"/>
      <c r="UKJ310" s="33"/>
      <c r="UKK310" s="33"/>
      <c r="UKL310" s="33"/>
      <c r="UKM310" s="33"/>
      <c r="UKN310" s="33"/>
      <c r="UKO310" s="37"/>
      <c r="UKP310" s="208"/>
      <c r="UKQ310" s="207"/>
      <c r="UKR310" s="204"/>
      <c r="UKS310" s="35"/>
      <c r="UKT310" s="203"/>
      <c r="UKU310" s="203"/>
      <c r="UKV310" s="36"/>
      <c r="UKW310" s="36"/>
      <c r="UKX310" s="203"/>
      <c r="UKY310" s="33"/>
      <c r="UKZ310" s="33"/>
      <c r="ULA310" s="33"/>
      <c r="ULB310" s="33"/>
      <c r="ULC310" s="33"/>
      <c r="ULD310" s="33"/>
      <c r="ULE310" s="37"/>
      <c r="ULF310" s="208"/>
      <c r="ULG310" s="207"/>
      <c r="ULH310" s="204"/>
      <c r="ULI310" s="35"/>
      <c r="ULJ310" s="203"/>
      <c r="ULK310" s="203"/>
      <c r="ULL310" s="36"/>
      <c r="ULM310" s="36"/>
      <c r="ULN310" s="203"/>
      <c r="ULO310" s="33"/>
      <c r="ULP310" s="33"/>
      <c r="ULQ310" s="33"/>
      <c r="ULR310" s="33"/>
      <c r="ULS310" s="33"/>
      <c r="ULT310" s="33"/>
      <c r="ULU310" s="37"/>
      <c r="ULV310" s="208"/>
      <c r="ULW310" s="207"/>
      <c r="ULX310" s="204"/>
      <c r="ULY310" s="35"/>
      <c r="ULZ310" s="203"/>
      <c r="UMA310" s="203"/>
      <c r="UMB310" s="36"/>
      <c r="UMC310" s="36"/>
      <c r="UMD310" s="203"/>
      <c r="UME310" s="33"/>
      <c r="UMF310" s="33"/>
      <c r="UMG310" s="33"/>
      <c r="UMH310" s="33"/>
      <c r="UMI310" s="33"/>
      <c r="UMJ310" s="33"/>
      <c r="UMK310" s="37"/>
      <c r="UML310" s="208"/>
      <c r="UMM310" s="207"/>
      <c r="UMN310" s="204"/>
      <c r="UMO310" s="35"/>
      <c r="UMP310" s="203"/>
      <c r="UMQ310" s="203"/>
      <c r="UMR310" s="36"/>
      <c r="UMS310" s="36"/>
      <c r="UMT310" s="203"/>
      <c r="UMU310" s="33"/>
      <c r="UMV310" s="33"/>
      <c r="UMW310" s="33"/>
      <c r="UMX310" s="33"/>
      <c r="UMY310" s="33"/>
      <c r="UMZ310" s="33"/>
      <c r="UNA310" s="37"/>
      <c r="UNB310" s="208"/>
      <c r="UNC310" s="207"/>
      <c r="UND310" s="204"/>
      <c r="UNE310" s="35"/>
      <c r="UNF310" s="203"/>
      <c r="UNG310" s="203"/>
      <c r="UNH310" s="36"/>
      <c r="UNI310" s="36"/>
      <c r="UNJ310" s="203"/>
      <c r="UNK310" s="33"/>
      <c r="UNL310" s="33"/>
      <c r="UNM310" s="33"/>
      <c r="UNN310" s="33"/>
      <c r="UNO310" s="33"/>
      <c r="UNP310" s="33"/>
      <c r="UNQ310" s="37"/>
      <c r="UNR310" s="208"/>
      <c r="UNS310" s="207"/>
      <c r="UNT310" s="204"/>
      <c r="UNU310" s="35"/>
      <c r="UNV310" s="203"/>
      <c r="UNW310" s="203"/>
      <c r="UNX310" s="36"/>
      <c r="UNY310" s="36"/>
      <c r="UNZ310" s="203"/>
      <c r="UOA310" s="33"/>
      <c r="UOB310" s="33"/>
      <c r="UOC310" s="33"/>
      <c r="UOD310" s="33"/>
      <c r="UOE310" s="33"/>
      <c r="UOF310" s="33"/>
      <c r="UOG310" s="37"/>
      <c r="UOH310" s="208"/>
      <c r="UOI310" s="207"/>
      <c r="UOJ310" s="204"/>
      <c r="UOK310" s="35"/>
      <c r="UOL310" s="203"/>
      <c r="UOM310" s="203"/>
      <c r="UON310" s="36"/>
      <c r="UOO310" s="36"/>
      <c r="UOP310" s="203"/>
      <c r="UOQ310" s="33"/>
      <c r="UOR310" s="33"/>
      <c r="UOS310" s="33"/>
      <c r="UOT310" s="33"/>
      <c r="UOU310" s="33"/>
      <c r="UOV310" s="33"/>
      <c r="UOW310" s="37"/>
      <c r="UOX310" s="208"/>
      <c r="UOY310" s="207"/>
      <c r="UOZ310" s="204"/>
      <c r="UPA310" s="35"/>
      <c r="UPB310" s="203"/>
      <c r="UPC310" s="203"/>
      <c r="UPD310" s="36"/>
      <c r="UPE310" s="36"/>
      <c r="UPF310" s="203"/>
      <c r="UPG310" s="33"/>
      <c r="UPH310" s="33"/>
      <c r="UPI310" s="33"/>
      <c r="UPJ310" s="33"/>
      <c r="UPK310" s="33"/>
      <c r="UPL310" s="33"/>
      <c r="UPM310" s="37"/>
      <c r="UPN310" s="208"/>
      <c r="UPO310" s="207"/>
      <c r="UPP310" s="204"/>
      <c r="UPQ310" s="35"/>
      <c r="UPR310" s="203"/>
      <c r="UPS310" s="203"/>
      <c r="UPT310" s="36"/>
      <c r="UPU310" s="36"/>
      <c r="UPV310" s="203"/>
      <c r="UPW310" s="33"/>
      <c r="UPX310" s="33"/>
      <c r="UPY310" s="33"/>
      <c r="UPZ310" s="33"/>
      <c r="UQA310" s="33"/>
      <c r="UQB310" s="33"/>
      <c r="UQC310" s="37"/>
      <c r="UQD310" s="208"/>
      <c r="UQE310" s="207"/>
      <c r="UQF310" s="204"/>
      <c r="UQG310" s="35"/>
      <c r="UQH310" s="203"/>
      <c r="UQI310" s="203"/>
      <c r="UQJ310" s="36"/>
      <c r="UQK310" s="36"/>
      <c r="UQL310" s="203"/>
      <c r="UQM310" s="33"/>
      <c r="UQN310" s="33"/>
      <c r="UQO310" s="33"/>
      <c r="UQP310" s="33"/>
      <c r="UQQ310" s="33"/>
      <c r="UQR310" s="33"/>
      <c r="UQS310" s="37"/>
      <c r="UQT310" s="208"/>
      <c r="UQU310" s="207"/>
      <c r="UQV310" s="204"/>
      <c r="UQW310" s="35"/>
      <c r="UQX310" s="203"/>
      <c r="UQY310" s="203"/>
      <c r="UQZ310" s="36"/>
      <c r="URA310" s="36"/>
      <c r="URB310" s="203"/>
      <c r="URC310" s="33"/>
      <c r="URD310" s="33"/>
      <c r="URE310" s="33"/>
      <c r="URF310" s="33"/>
      <c r="URG310" s="33"/>
      <c r="URH310" s="33"/>
      <c r="URI310" s="37"/>
      <c r="URJ310" s="208"/>
      <c r="URK310" s="207"/>
      <c r="URL310" s="204"/>
      <c r="URM310" s="35"/>
      <c r="URN310" s="203"/>
      <c r="URO310" s="203"/>
      <c r="URP310" s="36"/>
      <c r="URQ310" s="36"/>
      <c r="URR310" s="203"/>
      <c r="URS310" s="33"/>
      <c r="URT310" s="33"/>
      <c r="URU310" s="33"/>
      <c r="URV310" s="33"/>
      <c r="URW310" s="33"/>
      <c r="URX310" s="33"/>
      <c r="URY310" s="37"/>
      <c r="URZ310" s="208"/>
      <c r="USA310" s="207"/>
      <c r="USB310" s="204"/>
      <c r="USC310" s="35"/>
      <c r="USD310" s="203"/>
      <c r="USE310" s="203"/>
      <c r="USF310" s="36"/>
      <c r="USG310" s="36"/>
      <c r="USH310" s="203"/>
      <c r="USI310" s="33"/>
      <c r="USJ310" s="33"/>
      <c r="USK310" s="33"/>
      <c r="USL310" s="33"/>
      <c r="USM310" s="33"/>
      <c r="USN310" s="33"/>
      <c r="USO310" s="37"/>
      <c r="USP310" s="208"/>
      <c r="USQ310" s="207"/>
      <c r="USR310" s="204"/>
      <c r="USS310" s="35"/>
      <c r="UST310" s="203"/>
      <c r="USU310" s="203"/>
      <c r="USV310" s="36"/>
      <c r="USW310" s="36"/>
      <c r="USX310" s="203"/>
      <c r="USY310" s="33"/>
      <c r="USZ310" s="33"/>
      <c r="UTA310" s="33"/>
      <c r="UTB310" s="33"/>
      <c r="UTC310" s="33"/>
      <c r="UTD310" s="33"/>
      <c r="UTE310" s="37"/>
      <c r="UTF310" s="208"/>
      <c r="UTG310" s="207"/>
      <c r="UTH310" s="204"/>
      <c r="UTI310" s="35"/>
      <c r="UTJ310" s="203"/>
      <c r="UTK310" s="203"/>
      <c r="UTL310" s="36"/>
      <c r="UTM310" s="36"/>
      <c r="UTN310" s="203"/>
      <c r="UTO310" s="33"/>
      <c r="UTP310" s="33"/>
      <c r="UTQ310" s="33"/>
      <c r="UTR310" s="33"/>
      <c r="UTS310" s="33"/>
      <c r="UTT310" s="33"/>
      <c r="UTU310" s="37"/>
      <c r="UTV310" s="208"/>
      <c r="UTW310" s="207"/>
      <c r="UTX310" s="204"/>
      <c r="UTY310" s="35"/>
      <c r="UTZ310" s="203"/>
      <c r="UUA310" s="203"/>
      <c r="UUB310" s="36"/>
      <c r="UUC310" s="36"/>
      <c r="UUD310" s="203"/>
      <c r="UUE310" s="33"/>
      <c r="UUF310" s="33"/>
      <c r="UUG310" s="33"/>
      <c r="UUH310" s="33"/>
      <c r="UUI310" s="33"/>
      <c r="UUJ310" s="33"/>
      <c r="UUK310" s="37"/>
      <c r="UUL310" s="208"/>
      <c r="UUM310" s="207"/>
      <c r="UUN310" s="204"/>
      <c r="UUO310" s="35"/>
      <c r="UUP310" s="203"/>
      <c r="UUQ310" s="203"/>
      <c r="UUR310" s="36"/>
      <c r="UUS310" s="36"/>
      <c r="UUT310" s="203"/>
      <c r="UUU310" s="33"/>
      <c r="UUV310" s="33"/>
      <c r="UUW310" s="33"/>
      <c r="UUX310" s="33"/>
      <c r="UUY310" s="33"/>
      <c r="UUZ310" s="33"/>
      <c r="UVA310" s="37"/>
      <c r="UVB310" s="208"/>
      <c r="UVC310" s="207"/>
      <c r="UVD310" s="204"/>
      <c r="UVE310" s="35"/>
      <c r="UVF310" s="203"/>
      <c r="UVG310" s="203"/>
      <c r="UVH310" s="36"/>
      <c r="UVI310" s="36"/>
      <c r="UVJ310" s="203"/>
      <c r="UVK310" s="33"/>
      <c r="UVL310" s="33"/>
      <c r="UVM310" s="33"/>
      <c r="UVN310" s="33"/>
      <c r="UVO310" s="33"/>
      <c r="UVP310" s="33"/>
      <c r="UVQ310" s="37"/>
      <c r="UVR310" s="208"/>
      <c r="UVS310" s="207"/>
      <c r="UVT310" s="204"/>
      <c r="UVU310" s="35"/>
      <c r="UVV310" s="203"/>
      <c r="UVW310" s="203"/>
      <c r="UVX310" s="36"/>
      <c r="UVY310" s="36"/>
      <c r="UVZ310" s="203"/>
      <c r="UWA310" s="33"/>
      <c r="UWB310" s="33"/>
      <c r="UWC310" s="33"/>
      <c r="UWD310" s="33"/>
      <c r="UWE310" s="33"/>
      <c r="UWF310" s="33"/>
      <c r="UWG310" s="37"/>
      <c r="UWH310" s="208"/>
      <c r="UWI310" s="207"/>
      <c r="UWJ310" s="204"/>
      <c r="UWK310" s="35"/>
      <c r="UWL310" s="203"/>
      <c r="UWM310" s="203"/>
      <c r="UWN310" s="36"/>
      <c r="UWO310" s="36"/>
      <c r="UWP310" s="203"/>
      <c r="UWQ310" s="33"/>
      <c r="UWR310" s="33"/>
      <c r="UWS310" s="33"/>
      <c r="UWT310" s="33"/>
      <c r="UWU310" s="33"/>
      <c r="UWV310" s="33"/>
      <c r="UWW310" s="37"/>
      <c r="UWX310" s="208"/>
      <c r="UWY310" s="207"/>
      <c r="UWZ310" s="204"/>
      <c r="UXA310" s="35"/>
      <c r="UXB310" s="203"/>
      <c r="UXC310" s="203"/>
      <c r="UXD310" s="36"/>
      <c r="UXE310" s="36"/>
      <c r="UXF310" s="203"/>
      <c r="UXG310" s="33"/>
      <c r="UXH310" s="33"/>
      <c r="UXI310" s="33"/>
      <c r="UXJ310" s="33"/>
      <c r="UXK310" s="33"/>
      <c r="UXL310" s="33"/>
      <c r="UXM310" s="37"/>
      <c r="UXN310" s="208"/>
      <c r="UXO310" s="207"/>
      <c r="UXP310" s="204"/>
      <c r="UXQ310" s="35"/>
      <c r="UXR310" s="203"/>
      <c r="UXS310" s="203"/>
      <c r="UXT310" s="36"/>
      <c r="UXU310" s="36"/>
      <c r="UXV310" s="203"/>
      <c r="UXW310" s="33"/>
      <c r="UXX310" s="33"/>
      <c r="UXY310" s="33"/>
      <c r="UXZ310" s="33"/>
      <c r="UYA310" s="33"/>
      <c r="UYB310" s="33"/>
      <c r="UYC310" s="37"/>
      <c r="UYD310" s="208"/>
      <c r="UYE310" s="207"/>
      <c r="UYF310" s="204"/>
      <c r="UYG310" s="35"/>
      <c r="UYH310" s="203"/>
      <c r="UYI310" s="203"/>
      <c r="UYJ310" s="36"/>
      <c r="UYK310" s="36"/>
      <c r="UYL310" s="203"/>
      <c r="UYM310" s="33"/>
      <c r="UYN310" s="33"/>
      <c r="UYO310" s="33"/>
      <c r="UYP310" s="33"/>
      <c r="UYQ310" s="33"/>
      <c r="UYR310" s="33"/>
      <c r="UYS310" s="37"/>
      <c r="UYT310" s="208"/>
      <c r="UYU310" s="207"/>
      <c r="UYV310" s="204"/>
      <c r="UYW310" s="35"/>
      <c r="UYX310" s="203"/>
      <c r="UYY310" s="203"/>
      <c r="UYZ310" s="36"/>
      <c r="UZA310" s="36"/>
      <c r="UZB310" s="203"/>
      <c r="UZC310" s="33"/>
      <c r="UZD310" s="33"/>
      <c r="UZE310" s="33"/>
      <c r="UZF310" s="33"/>
      <c r="UZG310" s="33"/>
      <c r="UZH310" s="33"/>
      <c r="UZI310" s="37"/>
      <c r="UZJ310" s="208"/>
      <c r="UZK310" s="207"/>
      <c r="UZL310" s="204"/>
      <c r="UZM310" s="35"/>
      <c r="UZN310" s="203"/>
      <c r="UZO310" s="203"/>
      <c r="UZP310" s="36"/>
      <c r="UZQ310" s="36"/>
      <c r="UZR310" s="203"/>
      <c r="UZS310" s="33"/>
      <c r="UZT310" s="33"/>
      <c r="UZU310" s="33"/>
      <c r="UZV310" s="33"/>
      <c r="UZW310" s="33"/>
      <c r="UZX310" s="33"/>
      <c r="UZY310" s="37"/>
      <c r="UZZ310" s="208"/>
      <c r="VAA310" s="207"/>
      <c r="VAB310" s="204"/>
      <c r="VAC310" s="35"/>
      <c r="VAD310" s="203"/>
      <c r="VAE310" s="203"/>
      <c r="VAF310" s="36"/>
      <c r="VAG310" s="36"/>
      <c r="VAH310" s="203"/>
      <c r="VAI310" s="33"/>
      <c r="VAJ310" s="33"/>
      <c r="VAK310" s="33"/>
      <c r="VAL310" s="33"/>
      <c r="VAM310" s="33"/>
      <c r="VAN310" s="33"/>
      <c r="VAO310" s="37"/>
      <c r="VAP310" s="208"/>
      <c r="VAQ310" s="207"/>
      <c r="VAR310" s="204"/>
      <c r="VAS310" s="35"/>
      <c r="VAT310" s="203"/>
      <c r="VAU310" s="203"/>
      <c r="VAV310" s="36"/>
      <c r="VAW310" s="36"/>
      <c r="VAX310" s="203"/>
      <c r="VAY310" s="33"/>
      <c r="VAZ310" s="33"/>
      <c r="VBA310" s="33"/>
      <c r="VBB310" s="33"/>
      <c r="VBC310" s="33"/>
      <c r="VBD310" s="33"/>
      <c r="VBE310" s="37"/>
      <c r="VBF310" s="208"/>
      <c r="VBG310" s="207"/>
      <c r="VBH310" s="204"/>
      <c r="VBI310" s="35"/>
      <c r="VBJ310" s="203"/>
      <c r="VBK310" s="203"/>
      <c r="VBL310" s="36"/>
      <c r="VBM310" s="36"/>
      <c r="VBN310" s="203"/>
      <c r="VBO310" s="33"/>
      <c r="VBP310" s="33"/>
      <c r="VBQ310" s="33"/>
      <c r="VBR310" s="33"/>
      <c r="VBS310" s="33"/>
      <c r="VBT310" s="33"/>
      <c r="VBU310" s="37"/>
      <c r="VBV310" s="208"/>
      <c r="VBW310" s="207"/>
      <c r="VBX310" s="204"/>
      <c r="VBY310" s="35"/>
      <c r="VBZ310" s="203"/>
      <c r="VCA310" s="203"/>
      <c r="VCB310" s="36"/>
      <c r="VCC310" s="36"/>
      <c r="VCD310" s="203"/>
      <c r="VCE310" s="33"/>
      <c r="VCF310" s="33"/>
      <c r="VCG310" s="33"/>
      <c r="VCH310" s="33"/>
      <c r="VCI310" s="33"/>
      <c r="VCJ310" s="33"/>
      <c r="VCK310" s="37"/>
      <c r="VCL310" s="208"/>
      <c r="VCM310" s="207"/>
      <c r="VCN310" s="204"/>
      <c r="VCO310" s="35"/>
      <c r="VCP310" s="203"/>
      <c r="VCQ310" s="203"/>
      <c r="VCR310" s="36"/>
      <c r="VCS310" s="36"/>
      <c r="VCT310" s="203"/>
      <c r="VCU310" s="33"/>
      <c r="VCV310" s="33"/>
      <c r="VCW310" s="33"/>
      <c r="VCX310" s="33"/>
      <c r="VCY310" s="33"/>
      <c r="VCZ310" s="33"/>
      <c r="VDA310" s="37"/>
      <c r="VDB310" s="208"/>
      <c r="VDC310" s="207"/>
      <c r="VDD310" s="204"/>
      <c r="VDE310" s="35"/>
      <c r="VDF310" s="203"/>
      <c r="VDG310" s="203"/>
      <c r="VDH310" s="36"/>
      <c r="VDI310" s="36"/>
      <c r="VDJ310" s="203"/>
      <c r="VDK310" s="33"/>
      <c r="VDL310" s="33"/>
      <c r="VDM310" s="33"/>
      <c r="VDN310" s="33"/>
      <c r="VDO310" s="33"/>
      <c r="VDP310" s="33"/>
      <c r="VDQ310" s="37"/>
      <c r="VDR310" s="208"/>
      <c r="VDS310" s="207"/>
      <c r="VDT310" s="204"/>
      <c r="VDU310" s="35"/>
      <c r="VDV310" s="203"/>
      <c r="VDW310" s="203"/>
      <c r="VDX310" s="36"/>
      <c r="VDY310" s="36"/>
      <c r="VDZ310" s="203"/>
      <c r="VEA310" s="33"/>
      <c r="VEB310" s="33"/>
      <c r="VEC310" s="33"/>
      <c r="VED310" s="33"/>
      <c r="VEE310" s="33"/>
      <c r="VEF310" s="33"/>
      <c r="VEG310" s="37"/>
      <c r="VEH310" s="208"/>
      <c r="VEI310" s="207"/>
      <c r="VEJ310" s="204"/>
      <c r="VEK310" s="35"/>
      <c r="VEL310" s="203"/>
      <c r="VEM310" s="203"/>
      <c r="VEN310" s="36"/>
      <c r="VEO310" s="36"/>
      <c r="VEP310" s="203"/>
      <c r="VEQ310" s="33"/>
      <c r="VER310" s="33"/>
      <c r="VES310" s="33"/>
      <c r="VET310" s="33"/>
      <c r="VEU310" s="33"/>
      <c r="VEV310" s="33"/>
      <c r="VEW310" s="37"/>
      <c r="VEX310" s="208"/>
      <c r="VEY310" s="207"/>
      <c r="VEZ310" s="204"/>
      <c r="VFA310" s="35"/>
      <c r="VFB310" s="203"/>
      <c r="VFC310" s="203"/>
      <c r="VFD310" s="36"/>
      <c r="VFE310" s="36"/>
      <c r="VFF310" s="203"/>
      <c r="VFG310" s="33"/>
      <c r="VFH310" s="33"/>
      <c r="VFI310" s="33"/>
      <c r="VFJ310" s="33"/>
      <c r="VFK310" s="33"/>
      <c r="VFL310" s="33"/>
      <c r="VFM310" s="37"/>
      <c r="VFN310" s="208"/>
      <c r="VFO310" s="207"/>
      <c r="VFP310" s="204"/>
      <c r="VFQ310" s="35"/>
      <c r="VFR310" s="203"/>
      <c r="VFS310" s="203"/>
      <c r="VFT310" s="36"/>
      <c r="VFU310" s="36"/>
      <c r="VFV310" s="203"/>
      <c r="VFW310" s="33"/>
      <c r="VFX310" s="33"/>
      <c r="VFY310" s="33"/>
      <c r="VFZ310" s="33"/>
      <c r="VGA310" s="33"/>
      <c r="VGB310" s="33"/>
      <c r="VGC310" s="37"/>
      <c r="VGD310" s="208"/>
      <c r="VGE310" s="207"/>
      <c r="VGF310" s="204"/>
      <c r="VGG310" s="35"/>
      <c r="VGH310" s="203"/>
      <c r="VGI310" s="203"/>
      <c r="VGJ310" s="36"/>
      <c r="VGK310" s="36"/>
      <c r="VGL310" s="203"/>
      <c r="VGM310" s="33"/>
      <c r="VGN310" s="33"/>
      <c r="VGO310" s="33"/>
      <c r="VGP310" s="33"/>
      <c r="VGQ310" s="33"/>
      <c r="VGR310" s="33"/>
      <c r="VGS310" s="37"/>
      <c r="VGT310" s="208"/>
      <c r="VGU310" s="207"/>
      <c r="VGV310" s="204"/>
      <c r="VGW310" s="35"/>
      <c r="VGX310" s="203"/>
      <c r="VGY310" s="203"/>
      <c r="VGZ310" s="36"/>
      <c r="VHA310" s="36"/>
      <c r="VHB310" s="203"/>
      <c r="VHC310" s="33"/>
      <c r="VHD310" s="33"/>
      <c r="VHE310" s="33"/>
      <c r="VHF310" s="33"/>
      <c r="VHG310" s="33"/>
      <c r="VHH310" s="33"/>
      <c r="VHI310" s="37"/>
      <c r="VHJ310" s="208"/>
      <c r="VHK310" s="207"/>
      <c r="VHL310" s="204"/>
      <c r="VHM310" s="35"/>
      <c r="VHN310" s="203"/>
      <c r="VHO310" s="203"/>
      <c r="VHP310" s="36"/>
      <c r="VHQ310" s="36"/>
      <c r="VHR310" s="203"/>
      <c r="VHS310" s="33"/>
      <c r="VHT310" s="33"/>
      <c r="VHU310" s="33"/>
      <c r="VHV310" s="33"/>
      <c r="VHW310" s="33"/>
      <c r="VHX310" s="33"/>
      <c r="VHY310" s="37"/>
      <c r="VHZ310" s="208"/>
      <c r="VIA310" s="207"/>
      <c r="VIB310" s="204"/>
      <c r="VIC310" s="35"/>
      <c r="VID310" s="203"/>
      <c r="VIE310" s="203"/>
      <c r="VIF310" s="36"/>
      <c r="VIG310" s="36"/>
      <c r="VIH310" s="203"/>
      <c r="VII310" s="33"/>
      <c r="VIJ310" s="33"/>
      <c r="VIK310" s="33"/>
      <c r="VIL310" s="33"/>
      <c r="VIM310" s="33"/>
      <c r="VIN310" s="33"/>
      <c r="VIO310" s="37"/>
      <c r="VIP310" s="208"/>
      <c r="VIQ310" s="207"/>
      <c r="VIR310" s="204"/>
      <c r="VIS310" s="35"/>
      <c r="VIT310" s="203"/>
      <c r="VIU310" s="203"/>
      <c r="VIV310" s="36"/>
      <c r="VIW310" s="36"/>
      <c r="VIX310" s="203"/>
      <c r="VIY310" s="33"/>
      <c r="VIZ310" s="33"/>
      <c r="VJA310" s="33"/>
      <c r="VJB310" s="33"/>
      <c r="VJC310" s="33"/>
      <c r="VJD310" s="33"/>
      <c r="VJE310" s="37"/>
      <c r="VJF310" s="208"/>
      <c r="VJG310" s="207"/>
      <c r="VJH310" s="204"/>
      <c r="VJI310" s="35"/>
      <c r="VJJ310" s="203"/>
      <c r="VJK310" s="203"/>
      <c r="VJL310" s="36"/>
      <c r="VJM310" s="36"/>
      <c r="VJN310" s="203"/>
      <c r="VJO310" s="33"/>
      <c r="VJP310" s="33"/>
      <c r="VJQ310" s="33"/>
      <c r="VJR310" s="33"/>
      <c r="VJS310" s="33"/>
      <c r="VJT310" s="33"/>
      <c r="VJU310" s="37"/>
      <c r="VJV310" s="208"/>
      <c r="VJW310" s="207"/>
      <c r="VJX310" s="204"/>
      <c r="VJY310" s="35"/>
      <c r="VJZ310" s="203"/>
      <c r="VKA310" s="203"/>
      <c r="VKB310" s="36"/>
      <c r="VKC310" s="36"/>
      <c r="VKD310" s="203"/>
      <c r="VKE310" s="33"/>
      <c r="VKF310" s="33"/>
      <c r="VKG310" s="33"/>
      <c r="VKH310" s="33"/>
      <c r="VKI310" s="33"/>
      <c r="VKJ310" s="33"/>
      <c r="VKK310" s="37"/>
      <c r="VKL310" s="208"/>
      <c r="VKM310" s="207"/>
      <c r="VKN310" s="204"/>
      <c r="VKO310" s="35"/>
      <c r="VKP310" s="203"/>
      <c r="VKQ310" s="203"/>
      <c r="VKR310" s="36"/>
      <c r="VKS310" s="36"/>
      <c r="VKT310" s="203"/>
      <c r="VKU310" s="33"/>
      <c r="VKV310" s="33"/>
      <c r="VKW310" s="33"/>
      <c r="VKX310" s="33"/>
      <c r="VKY310" s="33"/>
      <c r="VKZ310" s="33"/>
      <c r="VLA310" s="37"/>
      <c r="VLB310" s="208"/>
      <c r="VLC310" s="207"/>
      <c r="VLD310" s="204"/>
      <c r="VLE310" s="35"/>
      <c r="VLF310" s="203"/>
      <c r="VLG310" s="203"/>
      <c r="VLH310" s="36"/>
      <c r="VLI310" s="36"/>
      <c r="VLJ310" s="203"/>
      <c r="VLK310" s="33"/>
      <c r="VLL310" s="33"/>
      <c r="VLM310" s="33"/>
      <c r="VLN310" s="33"/>
      <c r="VLO310" s="33"/>
      <c r="VLP310" s="33"/>
      <c r="VLQ310" s="37"/>
      <c r="VLR310" s="208"/>
      <c r="VLS310" s="207"/>
      <c r="VLT310" s="204"/>
      <c r="VLU310" s="35"/>
      <c r="VLV310" s="203"/>
      <c r="VLW310" s="203"/>
      <c r="VLX310" s="36"/>
      <c r="VLY310" s="36"/>
      <c r="VLZ310" s="203"/>
      <c r="VMA310" s="33"/>
      <c r="VMB310" s="33"/>
      <c r="VMC310" s="33"/>
      <c r="VMD310" s="33"/>
      <c r="VME310" s="33"/>
      <c r="VMF310" s="33"/>
      <c r="VMG310" s="37"/>
      <c r="VMH310" s="208"/>
      <c r="VMI310" s="207"/>
      <c r="VMJ310" s="204"/>
      <c r="VMK310" s="35"/>
      <c r="VML310" s="203"/>
      <c r="VMM310" s="203"/>
      <c r="VMN310" s="36"/>
      <c r="VMO310" s="36"/>
      <c r="VMP310" s="203"/>
      <c r="VMQ310" s="33"/>
      <c r="VMR310" s="33"/>
      <c r="VMS310" s="33"/>
      <c r="VMT310" s="33"/>
      <c r="VMU310" s="33"/>
      <c r="VMV310" s="33"/>
      <c r="VMW310" s="37"/>
      <c r="VMX310" s="208"/>
      <c r="VMY310" s="207"/>
      <c r="VMZ310" s="204"/>
      <c r="VNA310" s="35"/>
      <c r="VNB310" s="203"/>
      <c r="VNC310" s="203"/>
      <c r="VND310" s="36"/>
      <c r="VNE310" s="36"/>
      <c r="VNF310" s="203"/>
      <c r="VNG310" s="33"/>
      <c r="VNH310" s="33"/>
      <c r="VNI310" s="33"/>
      <c r="VNJ310" s="33"/>
      <c r="VNK310" s="33"/>
      <c r="VNL310" s="33"/>
      <c r="VNM310" s="37"/>
      <c r="VNN310" s="208"/>
      <c r="VNO310" s="207"/>
      <c r="VNP310" s="204"/>
      <c r="VNQ310" s="35"/>
      <c r="VNR310" s="203"/>
      <c r="VNS310" s="203"/>
      <c r="VNT310" s="36"/>
      <c r="VNU310" s="36"/>
      <c r="VNV310" s="203"/>
      <c r="VNW310" s="33"/>
      <c r="VNX310" s="33"/>
      <c r="VNY310" s="33"/>
      <c r="VNZ310" s="33"/>
      <c r="VOA310" s="33"/>
      <c r="VOB310" s="33"/>
      <c r="VOC310" s="37"/>
      <c r="VOD310" s="208"/>
      <c r="VOE310" s="207"/>
      <c r="VOF310" s="204"/>
      <c r="VOG310" s="35"/>
      <c r="VOH310" s="203"/>
      <c r="VOI310" s="203"/>
      <c r="VOJ310" s="36"/>
      <c r="VOK310" s="36"/>
      <c r="VOL310" s="203"/>
      <c r="VOM310" s="33"/>
      <c r="VON310" s="33"/>
      <c r="VOO310" s="33"/>
      <c r="VOP310" s="33"/>
      <c r="VOQ310" s="33"/>
      <c r="VOR310" s="33"/>
      <c r="VOS310" s="37"/>
      <c r="VOT310" s="208"/>
      <c r="VOU310" s="207"/>
      <c r="VOV310" s="204"/>
      <c r="VOW310" s="35"/>
      <c r="VOX310" s="203"/>
      <c r="VOY310" s="203"/>
      <c r="VOZ310" s="36"/>
      <c r="VPA310" s="36"/>
      <c r="VPB310" s="203"/>
      <c r="VPC310" s="33"/>
      <c r="VPD310" s="33"/>
      <c r="VPE310" s="33"/>
      <c r="VPF310" s="33"/>
      <c r="VPG310" s="33"/>
      <c r="VPH310" s="33"/>
      <c r="VPI310" s="37"/>
      <c r="VPJ310" s="208"/>
      <c r="VPK310" s="207"/>
      <c r="VPL310" s="204"/>
      <c r="VPM310" s="35"/>
      <c r="VPN310" s="203"/>
      <c r="VPO310" s="203"/>
      <c r="VPP310" s="36"/>
      <c r="VPQ310" s="36"/>
      <c r="VPR310" s="203"/>
      <c r="VPS310" s="33"/>
      <c r="VPT310" s="33"/>
      <c r="VPU310" s="33"/>
      <c r="VPV310" s="33"/>
      <c r="VPW310" s="33"/>
      <c r="VPX310" s="33"/>
      <c r="VPY310" s="37"/>
      <c r="VPZ310" s="208"/>
      <c r="VQA310" s="207"/>
      <c r="VQB310" s="204"/>
      <c r="VQC310" s="35"/>
      <c r="VQD310" s="203"/>
      <c r="VQE310" s="203"/>
      <c r="VQF310" s="36"/>
      <c r="VQG310" s="36"/>
      <c r="VQH310" s="203"/>
      <c r="VQI310" s="33"/>
      <c r="VQJ310" s="33"/>
      <c r="VQK310" s="33"/>
      <c r="VQL310" s="33"/>
      <c r="VQM310" s="33"/>
      <c r="VQN310" s="33"/>
      <c r="VQO310" s="37"/>
      <c r="VQP310" s="208"/>
      <c r="VQQ310" s="207"/>
      <c r="VQR310" s="204"/>
      <c r="VQS310" s="35"/>
      <c r="VQT310" s="203"/>
      <c r="VQU310" s="203"/>
      <c r="VQV310" s="36"/>
      <c r="VQW310" s="36"/>
      <c r="VQX310" s="203"/>
      <c r="VQY310" s="33"/>
      <c r="VQZ310" s="33"/>
      <c r="VRA310" s="33"/>
      <c r="VRB310" s="33"/>
      <c r="VRC310" s="33"/>
      <c r="VRD310" s="33"/>
      <c r="VRE310" s="37"/>
      <c r="VRF310" s="208"/>
      <c r="VRG310" s="207"/>
      <c r="VRH310" s="204"/>
      <c r="VRI310" s="35"/>
      <c r="VRJ310" s="203"/>
      <c r="VRK310" s="203"/>
      <c r="VRL310" s="36"/>
      <c r="VRM310" s="36"/>
      <c r="VRN310" s="203"/>
      <c r="VRO310" s="33"/>
      <c r="VRP310" s="33"/>
      <c r="VRQ310" s="33"/>
      <c r="VRR310" s="33"/>
      <c r="VRS310" s="33"/>
      <c r="VRT310" s="33"/>
      <c r="VRU310" s="37"/>
      <c r="VRV310" s="208"/>
      <c r="VRW310" s="207"/>
      <c r="VRX310" s="204"/>
      <c r="VRY310" s="35"/>
      <c r="VRZ310" s="203"/>
      <c r="VSA310" s="203"/>
      <c r="VSB310" s="36"/>
      <c r="VSC310" s="36"/>
      <c r="VSD310" s="203"/>
      <c r="VSE310" s="33"/>
      <c r="VSF310" s="33"/>
      <c r="VSG310" s="33"/>
      <c r="VSH310" s="33"/>
      <c r="VSI310" s="33"/>
      <c r="VSJ310" s="33"/>
      <c r="VSK310" s="37"/>
      <c r="VSL310" s="208"/>
      <c r="VSM310" s="207"/>
      <c r="VSN310" s="204"/>
      <c r="VSO310" s="35"/>
      <c r="VSP310" s="203"/>
      <c r="VSQ310" s="203"/>
      <c r="VSR310" s="36"/>
      <c r="VSS310" s="36"/>
      <c r="VST310" s="203"/>
      <c r="VSU310" s="33"/>
      <c r="VSV310" s="33"/>
      <c r="VSW310" s="33"/>
      <c r="VSX310" s="33"/>
      <c r="VSY310" s="33"/>
      <c r="VSZ310" s="33"/>
      <c r="VTA310" s="37"/>
      <c r="VTB310" s="208"/>
      <c r="VTC310" s="207"/>
      <c r="VTD310" s="204"/>
      <c r="VTE310" s="35"/>
      <c r="VTF310" s="203"/>
      <c r="VTG310" s="203"/>
      <c r="VTH310" s="36"/>
      <c r="VTI310" s="36"/>
      <c r="VTJ310" s="203"/>
      <c r="VTK310" s="33"/>
      <c r="VTL310" s="33"/>
      <c r="VTM310" s="33"/>
      <c r="VTN310" s="33"/>
      <c r="VTO310" s="33"/>
      <c r="VTP310" s="33"/>
      <c r="VTQ310" s="37"/>
      <c r="VTR310" s="208"/>
      <c r="VTS310" s="207"/>
      <c r="VTT310" s="204"/>
      <c r="VTU310" s="35"/>
      <c r="VTV310" s="203"/>
      <c r="VTW310" s="203"/>
      <c r="VTX310" s="36"/>
      <c r="VTY310" s="36"/>
      <c r="VTZ310" s="203"/>
      <c r="VUA310" s="33"/>
      <c r="VUB310" s="33"/>
      <c r="VUC310" s="33"/>
      <c r="VUD310" s="33"/>
      <c r="VUE310" s="33"/>
      <c r="VUF310" s="33"/>
      <c r="VUG310" s="37"/>
      <c r="VUH310" s="208"/>
      <c r="VUI310" s="207"/>
      <c r="VUJ310" s="204"/>
      <c r="VUK310" s="35"/>
      <c r="VUL310" s="203"/>
      <c r="VUM310" s="203"/>
      <c r="VUN310" s="36"/>
      <c r="VUO310" s="36"/>
      <c r="VUP310" s="203"/>
      <c r="VUQ310" s="33"/>
      <c r="VUR310" s="33"/>
      <c r="VUS310" s="33"/>
      <c r="VUT310" s="33"/>
      <c r="VUU310" s="33"/>
      <c r="VUV310" s="33"/>
      <c r="VUW310" s="37"/>
      <c r="VUX310" s="208"/>
      <c r="VUY310" s="207"/>
      <c r="VUZ310" s="204"/>
      <c r="VVA310" s="35"/>
      <c r="VVB310" s="203"/>
      <c r="VVC310" s="203"/>
      <c r="VVD310" s="36"/>
      <c r="VVE310" s="36"/>
      <c r="VVF310" s="203"/>
      <c r="VVG310" s="33"/>
      <c r="VVH310" s="33"/>
      <c r="VVI310" s="33"/>
      <c r="VVJ310" s="33"/>
      <c r="VVK310" s="33"/>
      <c r="VVL310" s="33"/>
      <c r="VVM310" s="37"/>
      <c r="VVN310" s="208"/>
      <c r="VVO310" s="207"/>
      <c r="VVP310" s="204"/>
      <c r="VVQ310" s="35"/>
      <c r="VVR310" s="203"/>
      <c r="VVS310" s="203"/>
      <c r="VVT310" s="36"/>
      <c r="VVU310" s="36"/>
      <c r="VVV310" s="203"/>
      <c r="VVW310" s="33"/>
      <c r="VVX310" s="33"/>
      <c r="VVY310" s="33"/>
      <c r="VVZ310" s="33"/>
      <c r="VWA310" s="33"/>
      <c r="VWB310" s="33"/>
      <c r="VWC310" s="37"/>
      <c r="VWD310" s="208"/>
      <c r="VWE310" s="207"/>
      <c r="VWF310" s="204"/>
      <c r="VWG310" s="35"/>
      <c r="VWH310" s="203"/>
      <c r="VWI310" s="203"/>
      <c r="VWJ310" s="36"/>
      <c r="VWK310" s="36"/>
      <c r="VWL310" s="203"/>
      <c r="VWM310" s="33"/>
      <c r="VWN310" s="33"/>
      <c r="VWO310" s="33"/>
      <c r="VWP310" s="33"/>
      <c r="VWQ310" s="33"/>
      <c r="VWR310" s="33"/>
      <c r="VWS310" s="37"/>
      <c r="VWT310" s="208"/>
      <c r="VWU310" s="207"/>
      <c r="VWV310" s="204"/>
      <c r="VWW310" s="35"/>
      <c r="VWX310" s="203"/>
      <c r="VWY310" s="203"/>
      <c r="VWZ310" s="36"/>
      <c r="VXA310" s="36"/>
      <c r="VXB310" s="203"/>
      <c r="VXC310" s="33"/>
      <c r="VXD310" s="33"/>
      <c r="VXE310" s="33"/>
      <c r="VXF310" s="33"/>
      <c r="VXG310" s="33"/>
      <c r="VXH310" s="33"/>
      <c r="VXI310" s="37"/>
      <c r="VXJ310" s="208"/>
      <c r="VXK310" s="207"/>
      <c r="VXL310" s="204"/>
      <c r="VXM310" s="35"/>
      <c r="VXN310" s="203"/>
      <c r="VXO310" s="203"/>
      <c r="VXP310" s="36"/>
      <c r="VXQ310" s="36"/>
      <c r="VXR310" s="203"/>
      <c r="VXS310" s="33"/>
      <c r="VXT310" s="33"/>
      <c r="VXU310" s="33"/>
      <c r="VXV310" s="33"/>
      <c r="VXW310" s="33"/>
      <c r="VXX310" s="33"/>
      <c r="VXY310" s="37"/>
      <c r="VXZ310" s="208"/>
      <c r="VYA310" s="207"/>
      <c r="VYB310" s="204"/>
      <c r="VYC310" s="35"/>
      <c r="VYD310" s="203"/>
      <c r="VYE310" s="203"/>
      <c r="VYF310" s="36"/>
      <c r="VYG310" s="36"/>
      <c r="VYH310" s="203"/>
      <c r="VYI310" s="33"/>
      <c r="VYJ310" s="33"/>
      <c r="VYK310" s="33"/>
      <c r="VYL310" s="33"/>
      <c r="VYM310" s="33"/>
      <c r="VYN310" s="33"/>
      <c r="VYO310" s="37"/>
      <c r="VYP310" s="208"/>
      <c r="VYQ310" s="207"/>
      <c r="VYR310" s="204"/>
      <c r="VYS310" s="35"/>
      <c r="VYT310" s="203"/>
      <c r="VYU310" s="203"/>
      <c r="VYV310" s="36"/>
      <c r="VYW310" s="36"/>
      <c r="VYX310" s="203"/>
      <c r="VYY310" s="33"/>
      <c r="VYZ310" s="33"/>
      <c r="VZA310" s="33"/>
      <c r="VZB310" s="33"/>
      <c r="VZC310" s="33"/>
      <c r="VZD310" s="33"/>
      <c r="VZE310" s="37"/>
      <c r="VZF310" s="208"/>
      <c r="VZG310" s="207"/>
      <c r="VZH310" s="204"/>
      <c r="VZI310" s="35"/>
      <c r="VZJ310" s="203"/>
      <c r="VZK310" s="203"/>
      <c r="VZL310" s="36"/>
      <c r="VZM310" s="36"/>
      <c r="VZN310" s="203"/>
      <c r="VZO310" s="33"/>
      <c r="VZP310" s="33"/>
      <c r="VZQ310" s="33"/>
      <c r="VZR310" s="33"/>
      <c r="VZS310" s="33"/>
      <c r="VZT310" s="33"/>
      <c r="VZU310" s="37"/>
      <c r="VZV310" s="208"/>
      <c r="VZW310" s="207"/>
      <c r="VZX310" s="204"/>
      <c r="VZY310" s="35"/>
      <c r="VZZ310" s="203"/>
      <c r="WAA310" s="203"/>
      <c r="WAB310" s="36"/>
      <c r="WAC310" s="36"/>
      <c r="WAD310" s="203"/>
      <c r="WAE310" s="33"/>
      <c r="WAF310" s="33"/>
      <c r="WAG310" s="33"/>
      <c r="WAH310" s="33"/>
      <c r="WAI310" s="33"/>
      <c r="WAJ310" s="33"/>
      <c r="WAK310" s="37"/>
      <c r="WAL310" s="208"/>
      <c r="WAM310" s="207"/>
      <c r="WAN310" s="204"/>
      <c r="WAO310" s="35"/>
      <c r="WAP310" s="203"/>
      <c r="WAQ310" s="203"/>
      <c r="WAR310" s="36"/>
      <c r="WAS310" s="36"/>
      <c r="WAT310" s="203"/>
      <c r="WAU310" s="33"/>
      <c r="WAV310" s="33"/>
      <c r="WAW310" s="33"/>
      <c r="WAX310" s="33"/>
      <c r="WAY310" s="33"/>
      <c r="WAZ310" s="33"/>
      <c r="WBA310" s="37"/>
      <c r="WBB310" s="208"/>
      <c r="WBC310" s="207"/>
      <c r="WBD310" s="204"/>
      <c r="WBE310" s="35"/>
      <c r="WBF310" s="203"/>
      <c r="WBG310" s="203"/>
      <c r="WBH310" s="36"/>
      <c r="WBI310" s="36"/>
      <c r="WBJ310" s="203"/>
      <c r="WBK310" s="33"/>
      <c r="WBL310" s="33"/>
      <c r="WBM310" s="33"/>
      <c r="WBN310" s="33"/>
      <c r="WBO310" s="33"/>
      <c r="WBP310" s="33"/>
      <c r="WBQ310" s="37"/>
      <c r="WBR310" s="208"/>
      <c r="WBS310" s="207"/>
      <c r="WBT310" s="204"/>
      <c r="WBU310" s="35"/>
      <c r="WBV310" s="203"/>
      <c r="WBW310" s="203"/>
      <c r="WBX310" s="36"/>
      <c r="WBY310" s="36"/>
      <c r="WBZ310" s="203"/>
      <c r="WCA310" s="33"/>
      <c r="WCB310" s="33"/>
      <c r="WCC310" s="33"/>
      <c r="WCD310" s="33"/>
      <c r="WCE310" s="33"/>
      <c r="WCF310" s="33"/>
      <c r="WCG310" s="37"/>
      <c r="WCH310" s="208"/>
      <c r="WCI310" s="207"/>
      <c r="WCJ310" s="204"/>
      <c r="WCK310" s="35"/>
      <c r="WCL310" s="203"/>
      <c r="WCM310" s="203"/>
      <c r="WCN310" s="36"/>
      <c r="WCO310" s="36"/>
      <c r="WCP310" s="203"/>
      <c r="WCQ310" s="33"/>
      <c r="WCR310" s="33"/>
      <c r="WCS310" s="33"/>
      <c r="WCT310" s="33"/>
      <c r="WCU310" s="33"/>
      <c r="WCV310" s="33"/>
      <c r="WCW310" s="37"/>
      <c r="WCX310" s="208"/>
      <c r="WCY310" s="207"/>
      <c r="WCZ310" s="204"/>
      <c r="WDA310" s="35"/>
      <c r="WDB310" s="203"/>
      <c r="WDC310" s="203"/>
      <c r="WDD310" s="36"/>
      <c r="WDE310" s="36"/>
      <c r="WDF310" s="203"/>
      <c r="WDG310" s="33"/>
      <c r="WDH310" s="33"/>
      <c r="WDI310" s="33"/>
      <c r="WDJ310" s="33"/>
      <c r="WDK310" s="33"/>
      <c r="WDL310" s="33"/>
      <c r="WDM310" s="37"/>
      <c r="WDN310" s="208"/>
      <c r="WDO310" s="207"/>
      <c r="WDP310" s="204"/>
      <c r="WDQ310" s="35"/>
      <c r="WDR310" s="203"/>
      <c r="WDS310" s="203"/>
      <c r="WDT310" s="36"/>
      <c r="WDU310" s="36"/>
      <c r="WDV310" s="203"/>
      <c r="WDW310" s="33"/>
      <c r="WDX310" s="33"/>
      <c r="WDY310" s="33"/>
      <c r="WDZ310" s="33"/>
      <c r="WEA310" s="33"/>
      <c r="WEB310" s="33"/>
      <c r="WEC310" s="37"/>
      <c r="WED310" s="208"/>
      <c r="WEE310" s="207"/>
      <c r="WEF310" s="204"/>
      <c r="WEG310" s="35"/>
      <c r="WEH310" s="203"/>
      <c r="WEI310" s="203"/>
      <c r="WEJ310" s="36"/>
      <c r="WEK310" s="36"/>
      <c r="WEL310" s="203"/>
      <c r="WEM310" s="33"/>
      <c r="WEN310" s="33"/>
      <c r="WEO310" s="33"/>
      <c r="WEP310" s="33"/>
      <c r="WEQ310" s="33"/>
      <c r="WER310" s="33"/>
      <c r="WES310" s="37"/>
      <c r="WET310" s="208"/>
      <c r="WEU310" s="207"/>
      <c r="WEV310" s="204"/>
      <c r="WEW310" s="35"/>
      <c r="WEX310" s="203"/>
      <c r="WEY310" s="203"/>
      <c r="WEZ310" s="36"/>
      <c r="WFA310" s="36"/>
      <c r="WFB310" s="203"/>
      <c r="WFC310" s="33"/>
      <c r="WFD310" s="33"/>
      <c r="WFE310" s="33"/>
      <c r="WFF310" s="33"/>
      <c r="WFG310" s="33"/>
      <c r="WFH310" s="33"/>
      <c r="WFI310" s="37"/>
      <c r="WFJ310" s="208"/>
      <c r="WFK310" s="207"/>
      <c r="WFL310" s="204"/>
      <c r="WFM310" s="35"/>
      <c r="WFN310" s="203"/>
      <c r="WFO310" s="203"/>
      <c r="WFP310" s="36"/>
      <c r="WFQ310" s="36"/>
      <c r="WFR310" s="203"/>
      <c r="WFS310" s="33"/>
      <c r="WFT310" s="33"/>
      <c r="WFU310" s="33"/>
      <c r="WFV310" s="33"/>
      <c r="WFW310" s="33"/>
      <c r="WFX310" s="33"/>
      <c r="WFY310" s="37"/>
      <c r="WFZ310" s="208"/>
      <c r="WGA310" s="207"/>
      <c r="WGB310" s="204"/>
      <c r="WGC310" s="35"/>
      <c r="WGD310" s="203"/>
      <c r="WGE310" s="203"/>
      <c r="WGF310" s="36"/>
      <c r="WGG310" s="36"/>
      <c r="WGH310" s="203"/>
      <c r="WGI310" s="33"/>
      <c r="WGJ310" s="33"/>
      <c r="WGK310" s="33"/>
      <c r="WGL310" s="33"/>
      <c r="WGM310" s="33"/>
      <c r="WGN310" s="33"/>
      <c r="WGO310" s="37"/>
      <c r="WGP310" s="208"/>
      <c r="WGQ310" s="207"/>
      <c r="WGR310" s="204"/>
      <c r="WGS310" s="35"/>
      <c r="WGT310" s="203"/>
      <c r="WGU310" s="203"/>
      <c r="WGV310" s="36"/>
      <c r="WGW310" s="36"/>
      <c r="WGX310" s="203"/>
      <c r="WGY310" s="33"/>
      <c r="WGZ310" s="33"/>
      <c r="WHA310" s="33"/>
      <c r="WHB310" s="33"/>
      <c r="WHC310" s="33"/>
      <c r="WHD310" s="33"/>
      <c r="WHE310" s="37"/>
      <c r="WHF310" s="208"/>
      <c r="WHG310" s="207"/>
      <c r="WHH310" s="204"/>
      <c r="WHI310" s="35"/>
      <c r="WHJ310" s="203"/>
      <c r="WHK310" s="203"/>
      <c r="WHL310" s="36"/>
      <c r="WHM310" s="36"/>
      <c r="WHN310" s="203"/>
      <c r="WHO310" s="33"/>
      <c r="WHP310" s="33"/>
      <c r="WHQ310" s="33"/>
      <c r="WHR310" s="33"/>
      <c r="WHS310" s="33"/>
      <c r="WHT310" s="33"/>
      <c r="WHU310" s="37"/>
      <c r="WHV310" s="208"/>
      <c r="WHW310" s="207"/>
      <c r="WHX310" s="204"/>
      <c r="WHY310" s="35"/>
      <c r="WHZ310" s="203"/>
      <c r="WIA310" s="203"/>
      <c r="WIB310" s="36"/>
      <c r="WIC310" s="36"/>
      <c r="WID310" s="203"/>
      <c r="WIE310" s="33"/>
      <c r="WIF310" s="33"/>
      <c r="WIG310" s="33"/>
      <c r="WIH310" s="33"/>
      <c r="WII310" s="33"/>
      <c r="WIJ310" s="33"/>
      <c r="WIK310" s="37"/>
      <c r="WIL310" s="208"/>
      <c r="WIM310" s="207"/>
      <c r="WIN310" s="204"/>
      <c r="WIO310" s="35"/>
      <c r="WIP310" s="203"/>
      <c r="WIQ310" s="203"/>
      <c r="WIR310" s="36"/>
      <c r="WIS310" s="36"/>
      <c r="WIT310" s="203"/>
      <c r="WIU310" s="33"/>
      <c r="WIV310" s="33"/>
      <c r="WIW310" s="33"/>
      <c r="WIX310" s="33"/>
      <c r="WIY310" s="33"/>
      <c r="WIZ310" s="33"/>
      <c r="WJA310" s="37"/>
      <c r="WJB310" s="208"/>
      <c r="WJC310" s="207"/>
      <c r="WJD310" s="204"/>
      <c r="WJE310" s="35"/>
      <c r="WJF310" s="203"/>
      <c r="WJG310" s="203"/>
      <c r="WJH310" s="36"/>
      <c r="WJI310" s="36"/>
      <c r="WJJ310" s="203"/>
      <c r="WJK310" s="33"/>
      <c r="WJL310" s="33"/>
      <c r="WJM310" s="33"/>
      <c r="WJN310" s="33"/>
      <c r="WJO310" s="33"/>
      <c r="WJP310" s="33"/>
      <c r="WJQ310" s="37"/>
      <c r="WJR310" s="208"/>
      <c r="WJS310" s="207"/>
      <c r="WJT310" s="204"/>
      <c r="WJU310" s="35"/>
      <c r="WJV310" s="203"/>
      <c r="WJW310" s="203"/>
      <c r="WJX310" s="36"/>
      <c r="WJY310" s="36"/>
      <c r="WJZ310" s="203"/>
      <c r="WKA310" s="33"/>
      <c r="WKB310" s="33"/>
      <c r="WKC310" s="33"/>
      <c r="WKD310" s="33"/>
      <c r="WKE310" s="33"/>
      <c r="WKF310" s="33"/>
      <c r="WKG310" s="37"/>
      <c r="WKH310" s="208"/>
      <c r="WKI310" s="207"/>
      <c r="WKJ310" s="204"/>
      <c r="WKK310" s="35"/>
      <c r="WKL310" s="203"/>
      <c r="WKM310" s="203"/>
      <c r="WKN310" s="36"/>
      <c r="WKO310" s="36"/>
      <c r="WKP310" s="203"/>
      <c r="WKQ310" s="33"/>
      <c r="WKR310" s="33"/>
      <c r="WKS310" s="33"/>
      <c r="WKT310" s="33"/>
      <c r="WKU310" s="33"/>
      <c r="WKV310" s="33"/>
      <c r="WKW310" s="37"/>
      <c r="WKX310" s="208"/>
      <c r="WKY310" s="207"/>
      <c r="WKZ310" s="204"/>
      <c r="WLA310" s="35"/>
      <c r="WLB310" s="203"/>
      <c r="WLC310" s="203"/>
      <c r="WLD310" s="36"/>
      <c r="WLE310" s="36"/>
      <c r="WLF310" s="203"/>
      <c r="WLG310" s="33"/>
      <c r="WLH310" s="33"/>
      <c r="WLI310" s="33"/>
      <c r="WLJ310" s="33"/>
      <c r="WLK310" s="33"/>
      <c r="WLL310" s="33"/>
      <c r="WLM310" s="37"/>
      <c r="WLN310" s="208"/>
      <c r="WLO310" s="207"/>
      <c r="WLP310" s="204"/>
      <c r="WLQ310" s="35"/>
      <c r="WLR310" s="203"/>
      <c r="WLS310" s="203"/>
      <c r="WLT310" s="36"/>
      <c r="WLU310" s="36"/>
      <c r="WLV310" s="203"/>
      <c r="WLW310" s="33"/>
      <c r="WLX310" s="33"/>
      <c r="WLY310" s="33"/>
      <c r="WLZ310" s="33"/>
      <c r="WMA310" s="33"/>
      <c r="WMB310" s="33"/>
      <c r="WMC310" s="37"/>
      <c r="WMD310" s="208"/>
      <c r="WME310" s="207"/>
      <c r="WMF310" s="204"/>
      <c r="WMG310" s="35"/>
      <c r="WMH310" s="203"/>
      <c r="WMI310" s="203"/>
      <c r="WMJ310" s="36"/>
      <c r="WMK310" s="36"/>
      <c r="WML310" s="203"/>
      <c r="WMM310" s="33"/>
      <c r="WMN310" s="33"/>
      <c r="WMO310" s="33"/>
      <c r="WMP310" s="33"/>
      <c r="WMQ310" s="33"/>
      <c r="WMR310" s="33"/>
      <c r="WMS310" s="37"/>
      <c r="WMT310" s="208"/>
      <c r="WMU310" s="207"/>
      <c r="WMV310" s="204"/>
      <c r="WMW310" s="35"/>
      <c r="WMX310" s="203"/>
      <c r="WMY310" s="203"/>
      <c r="WMZ310" s="36"/>
      <c r="WNA310" s="36"/>
      <c r="WNB310" s="203"/>
      <c r="WNC310" s="33"/>
      <c r="WND310" s="33"/>
      <c r="WNE310" s="33"/>
      <c r="WNF310" s="33"/>
      <c r="WNG310" s="33"/>
      <c r="WNH310" s="33"/>
      <c r="WNI310" s="37"/>
      <c r="WNJ310" s="208"/>
      <c r="WNK310" s="207"/>
      <c r="WNL310" s="204"/>
      <c r="WNM310" s="35"/>
      <c r="WNN310" s="203"/>
      <c r="WNO310" s="203"/>
      <c r="WNP310" s="36"/>
      <c r="WNQ310" s="36"/>
      <c r="WNR310" s="203"/>
      <c r="WNS310" s="33"/>
      <c r="WNT310" s="33"/>
      <c r="WNU310" s="33"/>
      <c r="WNV310" s="33"/>
      <c r="WNW310" s="33"/>
      <c r="WNX310" s="33"/>
      <c r="WNY310" s="37"/>
      <c r="WNZ310" s="208"/>
      <c r="WOA310" s="207"/>
      <c r="WOB310" s="204"/>
      <c r="WOC310" s="35"/>
      <c r="WOD310" s="203"/>
      <c r="WOE310" s="203"/>
      <c r="WOF310" s="36"/>
      <c r="WOG310" s="36"/>
      <c r="WOH310" s="203"/>
      <c r="WOI310" s="33"/>
      <c r="WOJ310" s="33"/>
      <c r="WOK310" s="33"/>
      <c r="WOL310" s="33"/>
      <c r="WOM310" s="33"/>
      <c r="WON310" s="33"/>
      <c r="WOO310" s="37"/>
      <c r="WOP310" s="208"/>
      <c r="WOQ310" s="207"/>
      <c r="WOR310" s="204"/>
      <c r="WOS310" s="35"/>
      <c r="WOT310" s="203"/>
      <c r="WOU310" s="203"/>
      <c r="WOV310" s="36"/>
      <c r="WOW310" s="36"/>
      <c r="WOX310" s="203"/>
      <c r="WOY310" s="33"/>
      <c r="WOZ310" s="33"/>
      <c r="WPA310" s="33"/>
      <c r="WPB310" s="33"/>
      <c r="WPC310" s="33"/>
      <c r="WPD310" s="33"/>
      <c r="WPE310" s="37"/>
      <c r="WPF310" s="208"/>
      <c r="WPG310" s="207"/>
      <c r="WPH310" s="204"/>
      <c r="WPI310" s="35"/>
      <c r="WPJ310" s="203"/>
      <c r="WPK310" s="203"/>
      <c r="WPL310" s="36"/>
      <c r="WPM310" s="36"/>
      <c r="WPN310" s="203"/>
      <c r="WPO310" s="33"/>
      <c r="WPP310" s="33"/>
      <c r="WPQ310" s="33"/>
      <c r="WPR310" s="33"/>
      <c r="WPS310" s="33"/>
      <c r="WPT310" s="33"/>
      <c r="WPU310" s="37"/>
      <c r="WPV310" s="208"/>
      <c r="WPW310" s="207"/>
      <c r="WPX310" s="204"/>
      <c r="WPY310" s="35"/>
      <c r="WPZ310" s="203"/>
      <c r="WQA310" s="203"/>
      <c r="WQB310" s="36"/>
      <c r="WQC310" s="36"/>
      <c r="WQD310" s="203"/>
      <c r="WQE310" s="33"/>
      <c r="WQF310" s="33"/>
      <c r="WQG310" s="33"/>
      <c r="WQH310" s="33"/>
      <c r="WQI310" s="33"/>
      <c r="WQJ310" s="33"/>
      <c r="WQK310" s="37"/>
      <c r="WQL310" s="208"/>
      <c r="WQM310" s="207"/>
      <c r="WQN310" s="204"/>
      <c r="WQO310" s="35"/>
      <c r="WQP310" s="203"/>
      <c r="WQQ310" s="203"/>
      <c r="WQR310" s="36"/>
      <c r="WQS310" s="36"/>
      <c r="WQT310" s="203"/>
      <c r="WQU310" s="33"/>
      <c r="WQV310" s="33"/>
      <c r="WQW310" s="33"/>
      <c r="WQX310" s="33"/>
      <c r="WQY310" s="33"/>
      <c r="WQZ310" s="33"/>
      <c r="WRA310" s="37"/>
      <c r="WRB310" s="208"/>
      <c r="WRC310" s="207"/>
      <c r="WRD310" s="204"/>
      <c r="WRE310" s="35"/>
      <c r="WRF310" s="203"/>
      <c r="WRG310" s="203"/>
      <c r="WRH310" s="36"/>
      <c r="WRI310" s="36"/>
      <c r="WRJ310" s="203"/>
      <c r="WRK310" s="33"/>
      <c r="WRL310" s="33"/>
      <c r="WRM310" s="33"/>
      <c r="WRN310" s="33"/>
      <c r="WRO310" s="33"/>
      <c r="WRP310" s="33"/>
      <c r="WRQ310" s="37"/>
      <c r="WRR310" s="208"/>
      <c r="WRS310" s="207"/>
      <c r="WRT310" s="204"/>
      <c r="WRU310" s="35"/>
      <c r="WRV310" s="203"/>
      <c r="WRW310" s="203"/>
      <c r="WRX310" s="36"/>
      <c r="WRY310" s="36"/>
      <c r="WRZ310" s="203"/>
      <c r="WSA310" s="33"/>
      <c r="WSB310" s="33"/>
      <c r="WSC310" s="33"/>
      <c r="WSD310" s="33"/>
      <c r="WSE310" s="33"/>
      <c r="WSF310" s="33"/>
      <c r="WSG310" s="37"/>
      <c r="WSH310" s="208"/>
      <c r="WSI310" s="207"/>
      <c r="WSJ310" s="204"/>
      <c r="WSK310" s="35"/>
      <c r="WSL310" s="203"/>
      <c r="WSM310" s="203"/>
      <c r="WSN310" s="36"/>
      <c r="WSO310" s="36"/>
      <c r="WSP310" s="203"/>
      <c r="WSQ310" s="33"/>
      <c r="WSR310" s="33"/>
      <c r="WSS310" s="33"/>
      <c r="WST310" s="33"/>
      <c r="WSU310" s="33"/>
      <c r="WSV310" s="33"/>
      <c r="WSW310" s="37"/>
      <c r="WSX310" s="208"/>
      <c r="WSY310" s="207"/>
      <c r="WSZ310" s="204"/>
      <c r="WTA310" s="35"/>
      <c r="WTB310" s="203"/>
      <c r="WTC310" s="203"/>
      <c r="WTD310" s="36"/>
      <c r="WTE310" s="36"/>
      <c r="WTF310" s="203"/>
      <c r="WTG310" s="33"/>
      <c r="WTH310" s="33"/>
      <c r="WTI310" s="33"/>
      <c r="WTJ310" s="33"/>
      <c r="WTK310" s="33"/>
      <c r="WTL310" s="33"/>
      <c r="WTM310" s="37"/>
      <c r="WTN310" s="208"/>
      <c r="WTO310" s="207"/>
      <c r="WTP310" s="204"/>
      <c r="WTQ310" s="35"/>
      <c r="WTR310" s="203"/>
      <c r="WTS310" s="203"/>
      <c r="WTT310" s="36"/>
      <c r="WTU310" s="36"/>
      <c r="WTV310" s="203"/>
      <c r="WTW310" s="33"/>
      <c r="WTX310" s="33"/>
      <c r="WTY310" s="33"/>
      <c r="WTZ310" s="33"/>
      <c r="WUA310" s="33"/>
      <c r="WUB310" s="33"/>
      <c r="WUC310" s="37"/>
      <c r="WUD310" s="208"/>
      <c r="WUE310" s="207"/>
      <c r="WUF310" s="204"/>
      <c r="WUG310" s="35"/>
      <c r="WUH310" s="203"/>
      <c r="WUI310" s="203"/>
      <c r="WUJ310" s="36"/>
      <c r="WUK310" s="36"/>
      <c r="WUL310" s="203"/>
      <c r="WUM310" s="33"/>
      <c r="WUN310" s="33"/>
      <c r="WUO310" s="33"/>
      <c r="WUP310" s="33"/>
      <c r="WUQ310" s="33"/>
      <c r="WUR310" s="33"/>
      <c r="WUS310" s="37"/>
      <c r="WUT310" s="208"/>
      <c r="WUU310" s="207"/>
      <c r="WUV310" s="204"/>
      <c r="WUW310" s="35"/>
      <c r="WUX310" s="203"/>
      <c r="WUY310" s="203"/>
      <c r="WUZ310" s="36"/>
      <c r="WVA310" s="36"/>
      <c r="WVB310" s="203"/>
      <c r="WVC310" s="33"/>
      <c r="WVD310" s="33"/>
      <c r="WVE310" s="33"/>
      <c r="WVF310" s="33"/>
      <c r="WVG310" s="33"/>
      <c r="WVH310" s="33"/>
      <c r="WVI310" s="37"/>
      <c r="WVJ310" s="208"/>
      <c r="WVK310" s="207"/>
      <c r="WVL310" s="204"/>
      <c r="WVM310" s="35"/>
      <c r="WVN310" s="203"/>
      <c r="WVO310" s="203"/>
      <c r="WVP310" s="36"/>
      <c r="WVQ310" s="36"/>
      <c r="WVR310" s="203"/>
      <c r="WVS310" s="33"/>
      <c r="WVT310" s="33"/>
      <c r="WVU310" s="33"/>
      <c r="WVV310" s="33"/>
      <c r="WVW310" s="33"/>
      <c r="WVX310" s="33"/>
      <c r="WVY310" s="37"/>
      <c r="WVZ310" s="208"/>
      <c r="WWA310" s="207"/>
      <c r="WWB310" s="204"/>
      <c r="WWC310" s="35"/>
      <c r="WWD310" s="203"/>
      <c r="WWE310" s="203"/>
      <c r="WWF310" s="36"/>
      <c r="WWG310" s="36"/>
      <c r="WWH310" s="203"/>
      <c r="WWI310" s="33"/>
      <c r="WWJ310" s="33"/>
      <c r="WWK310" s="33"/>
      <c r="WWL310" s="33"/>
      <c r="WWM310" s="33"/>
      <c r="WWN310" s="33"/>
      <c r="WWO310" s="37"/>
      <c r="WWP310" s="208"/>
      <c r="WWQ310" s="207"/>
      <c r="WWR310" s="204"/>
      <c r="WWS310" s="35"/>
      <c r="WWT310" s="203"/>
      <c r="WWU310" s="203"/>
      <c r="WWV310" s="36"/>
      <c r="WWW310" s="36"/>
      <c r="WWX310" s="203"/>
      <c r="WWY310" s="33"/>
      <c r="WWZ310" s="33"/>
      <c r="WXA310" s="33"/>
      <c r="WXB310" s="33"/>
      <c r="WXC310" s="33"/>
      <c r="WXD310" s="33"/>
      <c r="WXE310" s="37"/>
      <c r="WXF310" s="208"/>
      <c r="WXG310" s="207"/>
      <c r="WXH310" s="204"/>
      <c r="WXI310" s="35"/>
      <c r="WXJ310" s="203"/>
      <c r="WXK310" s="203"/>
      <c r="WXL310" s="36"/>
      <c r="WXM310" s="36"/>
      <c r="WXN310" s="203"/>
      <c r="WXO310" s="33"/>
      <c r="WXP310" s="33"/>
      <c r="WXQ310" s="33"/>
      <c r="WXR310" s="33"/>
      <c r="WXS310" s="33"/>
      <c r="WXT310" s="33"/>
      <c r="WXU310" s="37"/>
      <c r="WXV310" s="208"/>
      <c r="WXW310" s="207"/>
      <c r="WXX310" s="204"/>
      <c r="WXY310" s="35"/>
      <c r="WXZ310" s="203"/>
      <c r="WYA310" s="203"/>
      <c r="WYB310" s="36"/>
      <c r="WYC310" s="36"/>
      <c r="WYD310" s="203"/>
      <c r="WYE310" s="33"/>
      <c r="WYF310" s="33"/>
      <c r="WYG310" s="33"/>
      <c r="WYH310" s="33"/>
      <c r="WYI310" s="33"/>
      <c r="WYJ310" s="33"/>
      <c r="WYK310" s="37"/>
      <c r="WYL310" s="208"/>
      <c r="WYM310" s="207"/>
      <c r="WYN310" s="204"/>
      <c r="WYO310" s="35"/>
      <c r="WYP310" s="203"/>
      <c r="WYQ310" s="203"/>
      <c r="WYR310" s="36"/>
      <c r="WYS310" s="36"/>
      <c r="WYT310" s="203"/>
      <c r="WYU310" s="33"/>
      <c r="WYV310" s="33"/>
      <c r="WYW310" s="33"/>
      <c r="WYX310" s="33"/>
      <c r="WYY310" s="33"/>
      <c r="WYZ310" s="33"/>
      <c r="WZA310" s="37"/>
      <c r="WZB310" s="208"/>
      <c r="WZC310" s="207"/>
      <c r="WZD310" s="204"/>
      <c r="WZE310" s="35"/>
      <c r="WZF310" s="203"/>
      <c r="WZG310" s="203"/>
      <c r="WZH310" s="36"/>
      <c r="WZI310" s="36"/>
      <c r="WZJ310" s="203"/>
      <c r="WZK310" s="33"/>
      <c r="WZL310" s="33"/>
      <c r="WZM310" s="33"/>
      <c r="WZN310" s="33"/>
      <c r="WZO310" s="33"/>
      <c r="WZP310" s="33"/>
      <c r="WZQ310" s="37"/>
      <c r="WZR310" s="208"/>
      <c r="WZS310" s="207"/>
      <c r="WZT310" s="204"/>
      <c r="WZU310" s="35"/>
      <c r="WZV310" s="203"/>
      <c r="WZW310" s="203"/>
      <c r="WZX310" s="36"/>
      <c r="WZY310" s="36"/>
      <c r="WZZ310" s="203"/>
      <c r="XAA310" s="33"/>
      <c r="XAB310" s="33"/>
      <c r="XAC310" s="33"/>
      <c r="XAD310" s="33"/>
      <c r="XAE310" s="33"/>
      <c r="XAF310" s="33"/>
      <c r="XAG310" s="37"/>
      <c r="XAH310" s="208"/>
      <c r="XAI310" s="207"/>
      <c r="XAJ310" s="204"/>
      <c r="XAK310" s="35"/>
      <c r="XAL310" s="203"/>
      <c r="XAM310" s="203"/>
      <c r="XAN310" s="36"/>
      <c r="XAO310" s="36"/>
      <c r="XAP310" s="203"/>
      <c r="XAQ310" s="33"/>
      <c r="XAR310" s="33"/>
      <c r="XAS310" s="33"/>
      <c r="XAT310" s="33"/>
      <c r="XAU310" s="33"/>
      <c r="XAV310" s="33"/>
      <c r="XAW310" s="37"/>
      <c r="XAX310" s="208"/>
      <c r="XAY310" s="207"/>
      <c r="XAZ310" s="204"/>
      <c r="XBA310" s="35"/>
      <c r="XBB310" s="203"/>
      <c r="XBC310" s="203"/>
      <c r="XBD310" s="36"/>
      <c r="XBE310" s="36"/>
      <c r="XBF310" s="203"/>
      <c r="XBG310" s="33"/>
      <c r="XBH310" s="33"/>
      <c r="XBI310" s="33"/>
      <c r="XBJ310" s="33"/>
      <c r="XBK310" s="33"/>
      <c r="XBL310" s="33"/>
      <c r="XBM310" s="37"/>
      <c r="XBN310" s="208"/>
      <c r="XBO310" s="207"/>
      <c r="XBP310" s="204"/>
      <c r="XBQ310" s="35"/>
      <c r="XBR310" s="203"/>
      <c r="XBS310" s="203"/>
      <c r="XBT310" s="36"/>
      <c r="XBU310" s="36"/>
      <c r="XBV310" s="203"/>
      <c r="XBW310" s="33"/>
      <c r="XBX310" s="33"/>
      <c r="XBY310" s="33"/>
      <c r="XBZ310" s="33"/>
      <c r="XCA310" s="33"/>
      <c r="XCB310" s="33"/>
      <c r="XCC310" s="37"/>
      <c r="XCD310" s="208"/>
      <c r="XCE310" s="207"/>
      <c r="XCF310" s="204"/>
      <c r="XCG310" s="35"/>
      <c r="XCH310" s="203"/>
      <c r="XCI310" s="203"/>
      <c r="XCJ310" s="36"/>
      <c r="XCK310" s="36"/>
      <c r="XCL310" s="203"/>
      <c r="XCM310" s="33"/>
      <c r="XCN310" s="33"/>
      <c r="XCO310" s="33"/>
      <c r="XCP310" s="33"/>
      <c r="XCQ310" s="33"/>
      <c r="XCR310" s="33"/>
      <c r="XCS310" s="37"/>
      <c r="XCT310" s="208"/>
      <c r="XCU310" s="207"/>
      <c r="XCV310" s="204"/>
      <c r="XCW310" s="35"/>
      <c r="XCX310" s="203"/>
      <c r="XCY310" s="203"/>
      <c r="XCZ310" s="36"/>
      <c r="XDA310" s="36"/>
      <c r="XDB310" s="203"/>
      <c r="XDC310" s="33"/>
      <c r="XDD310" s="33"/>
      <c r="XDE310" s="33"/>
      <c r="XDF310" s="33"/>
      <c r="XDG310" s="33"/>
      <c r="XDH310" s="33"/>
      <c r="XDI310" s="37"/>
      <c r="XDJ310" s="208"/>
      <c r="XDK310" s="207"/>
      <c r="XDL310" s="204"/>
      <c r="XDM310" s="35"/>
      <c r="XDN310" s="203"/>
      <c r="XDO310" s="203"/>
      <c r="XDP310" s="36"/>
      <c r="XDQ310" s="36"/>
      <c r="XDR310" s="203"/>
      <c r="XDS310" s="33"/>
      <c r="XDT310" s="33"/>
      <c r="XDU310" s="33"/>
      <c r="XDV310" s="33"/>
      <c r="XDW310" s="33"/>
      <c r="XDX310" s="33"/>
      <c r="XDY310" s="37"/>
      <c r="XDZ310" s="208"/>
    </row>
    <row r="311" spans="1:16354" s="17" customFormat="1" ht="18.95" customHeight="1" outlineLevel="1" x14ac:dyDescent="0.25">
      <c r="A311" s="146" t="s">
        <v>48</v>
      </c>
      <c r="B311" s="146" t="s">
        <v>206</v>
      </c>
      <c r="C311" s="148" t="s">
        <v>316</v>
      </c>
      <c r="D311" s="137">
        <v>43453</v>
      </c>
      <c r="E311" s="137" t="s">
        <v>703</v>
      </c>
      <c r="F311" s="12">
        <v>43466</v>
      </c>
      <c r="G311" s="12">
        <v>43646</v>
      </c>
      <c r="H311" s="142" t="s">
        <v>704</v>
      </c>
      <c r="I311" s="13">
        <v>2697.89</v>
      </c>
      <c r="J311" s="14" t="s">
        <v>23</v>
      </c>
      <c r="K311" s="14" t="s">
        <v>23</v>
      </c>
      <c r="L311" s="5" t="s">
        <v>23</v>
      </c>
      <c r="M311" s="5" t="s">
        <v>23</v>
      </c>
      <c r="N311" s="5" t="s">
        <v>23</v>
      </c>
      <c r="O311" s="28" t="s">
        <v>23</v>
      </c>
      <c r="P311" s="153" t="s">
        <v>29</v>
      </c>
      <c r="Q311" s="17" t="e">
        <f t="shared" si="5"/>
        <v>#VALUE!</v>
      </c>
      <c r="S311" s="18"/>
    </row>
    <row r="312" spans="1:16354" s="17" customFormat="1" ht="18.95" customHeight="1" outlineLevel="1" x14ac:dyDescent="0.25">
      <c r="A312" s="148"/>
      <c r="B312" s="148"/>
      <c r="C312" s="148"/>
      <c r="D312" s="141"/>
      <c r="E312" s="141"/>
      <c r="F312" s="12">
        <v>43647</v>
      </c>
      <c r="G312" s="12">
        <v>43830</v>
      </c>
      <c r="H312" s="143"/>
      <c r="I312" s="13">
        <v>2748.72</v>
      </c>
      <c r="J312" s="14" t="s">
        <v>23</v>
      </c>
      <c r="K312" s="14" t="s">
        <v>23</v>
      </c>
      <c r="L312" s="5" t="s">
        <v>23</v>
      </c>
      <c r="M312" s="5" t="s">
        <v>23</v>
      </c>
      <c r="N312" s="5" t="s">
        <v>23</v>
      </c>
      <c r="O312" s="15" t="s">
        <v>23</v>
      </c>
      <c r="P312" s="152"/>
      <c r="Q312" s="17" t="e">
        <f t="shared" si="5"/>
        <v>#VALUE!</v>
      </c>
      <c r="S312" s="18"/>
    </row>
    <row r="313" spans="1:16354" s="17" customFormat="1" ht="18.95" customHeight="1" outlineLevel="1" x14ac:dyDescent="0.25">
      <c r="A313" s="148"/>
      <c r="B313" s="148"/>
      <c r="C313" s="148"/>
      <c r="D313" s="137">
        <v>43454</v>
      </c>
      <c r="E313" s="137" t="s">
        <v>606</v>
      </c>
      <c r="F313" s="12">
        <v>43466</v>
      </c>
      <c r="G313" s="12">
        <v>43646</v>
      </c>
      <c r="H313" s="149"/>
      <c r="I313" s="15" t="s">
        <v>23</v>
      </c>
      <c r="J313" s="14" t="s">
        <v>23</v>
      </c>
      <c r="K313" s="14" t="s">
        <v>23</v>
      </c>
      <c r="L313" s="5" t="s">
        <v>23</v>
      </c>
      <c r="M313" s="5" t="s">
        <v>23</v>
      </c>
      <c r="N313" s="5" t="s">
        <v>23</v>
      </c>
      <c r="O313" s="13">
        <v>2109.3000000000002</v>
      </c>
      <c r="P313" s="139"/>
      <c r="Q313" s="17">
        <f t="shared" si="5"/>
        <v>1757.7500000000002</v>
      </c>
      <c r="S313" s="18"/>
    </row>
    <row r="314" spans="1:16354" s="17" customFormat="1" ht="18.95" customHeight="1" outlineLevel="1" x14ac:dyDescent="0.25">
      <c r="A314" s="147" t="s">
        <v>48</v>
      </c>
      <c r="B314" s="147" t="s">
        <v>206</v>
      </c>
      <c r="C314" s="147"/>
      <c r="D314" s="141"/>
      <c r="E314" s="141"/>
      <c r="F314" s="12">
        <v>43647</v>
      </c>
      <c r="G314" s="12">
        <v>43830</v>
      </c>
      <c r="H314" s="151"/>
      <c r="I314" s="15" t="s">
        <v>23</v>
      </c>
      <c r="J314" s="14" t="s">
        <v>23</v>
      </c>
      <c r="K314" s="14" t="s">
        <v>23</v>
      </c>
      <c r="L314" s="5" t="s">
        <v>23</v>
      </c>
      <c r="M314" s="5" t="s">
        <v>23</v>
      </c>
      <c r="N314" s="5" t="s">
        <v>23</v>
      </c>
      <c r="O314" s="13">
        <v>2151.4899999999998</v>
      </c>
      <c r="P314" s="140"/>
      <c r="Q314" s="17">
        <f t="shared" si="5"/>
        <v>1792.9083333333333</v>
      </c>
      <c r="S314" s="18"/>
    </row>
    <row r="315" spans="1:16354" s="17" customFormat="1" ht="18.95" customHeight="1" outlineLevel="1" x14ac:dyDescent="0.25">
      <c r="A315" s="146" t="s">
        <v>48</v>
      </c>
      <c r="B315" s="146" t="s">
        <v>367</v>
      </c>
      <c r="C315" s="146" t="s">
        <v>349</v>
      </c>
      <c r="D315" s="137">
        <v>42710</v>
      </c>
      <c r="E315" s="137" t="s">
        <v>706</v>
      </c>
      <c r="F315" s="12">
        <v>43466</v>
      </c>
      <c r="G315" s="12">
        <v>43646</v>
      </c>
      <c r="H315" s="142" t="s">
        <v>705</v>
      </c>
      <c r="I315" s="13">
        <v>1996.75</v>
      </c>
      <c r="J315" s="14" t="s">
        <v>23</v>
      </c>
      <c r="K315" s="14" t="s">
        <v>23</v>
      </c>
      <c r="L315" s="5" t="s">
        <v>23</v>
      </c>
      <c r="M315" s="5" t="s">
        <v>23</v>
      </c>
      <c r="N315" s="5" t="s">
        <v>23</v>
      </c>
      <c r="O315" s="28" t="s">
        <v>23</v>
      </c>
      <c r="P315" s="153" t="s">
        <v>29</v>
      </c>
      <c r="Q315" s="17" t="e">
        <f t="shared" si="5"/>
        <v>#VALUE!</v>
      </c>
      <c r="S315" s="18"/>
    </row>
    <row r="316" spans="1:16354" s="17" customFormat="1" ht="18.95" customHeight="1" outlineLevel="1" x14ac:dyDescent="0.25">
      <c r="A316" s="148"/>
      <c r="B316" s="148"/>
      <c r="C316" s="148"/>
      <c r="D316" s="141"/>
      <c r="E316" s="138"/>
      <c r="F316" s="12">
        <v>43647</v>
      </c>
      <c r="G316" s="12">
        <v>43830</v>
      </c>
      <c r="H316" s="143"/>
      <c r="I316" s="13">
        <v>2017.55</v>
      </c>
      <c r="J316" s="14" t="s">
        <v>23</v>
      </c>
      <c r="K316" s="14" t="s">
        <v>23</v>
      </c>
      <c r="L316" s="5" t="s">
        <v>23</v>
      </c>
      <c r="M316" s="5" t="s">
        <v>23</v>
      </c>
      <c r="N316" s="5" t="s">
        <v>23</v>
      </c>
      <c r="O316" s="15" t="s">
        <v>23</v>
      </c>
      <c r="P316" s="152"/>
      <c r="Q316" s="17" t="e">
        <f t="shared" si="5"/>
        <v>#VALUE!</v>
      </c>
      <c r="S316" s="18"/>
    </row>
    <row r="317" spans="1:16354" s="17" customFormat="1" ht="18.95" customHeight="1" outlineLevel="1" x14ac:dyDescent="0.25">
      <c r="A317" s="148"/>
      <c r="B317" s="148"/>
      <c r="C317" s="148"/>
      <c r="D317" s="137">
        <v>43454</v>
      </c>
      <c r="E317" s="137" t="s">
        <v>606</v>
      </c>
      <c r="F317" s="12">
        <v>43466</v>
      </c>
      <c r="G317" s="12">
        <v>43646</v>
      </c>
      <c r="H317" s="149"/>
      <c r="I317" s="15" t="s">
        <v>23</v>
      </c>
      <c r="J317" s="14" t="s">
        <v>23</v>
      </c>
      <c r="K317" s="14" t="s">
        <v>23</v>
      </c>
      <c r="L317" s="5" t="s">
        <v>23</v>
      </c>
      <c r="M317" s="5" t="s">
        <v>23</v>
      </c>
      <c r="N317" s="5" t="s">
        <v>23</v>
      </c>
      <c r="O317" s="13">
        <v>1996.75</v>
      </c>
      <c r="P317" s="153" t="s">
        <v>444</v>
      </c>
      <c r="Q317" s="17">
        <f t="shared" si="5"/>
        <v>1663.9583333333335</v>
      </c>
      <c r="S317" s="18"/>
    </row>
    <row r="318" spans="1:16354" s="17" customFormat="1" ht="18.95" customHeight="1" outlineLevel="1" x14ac:dyDescent="0.25">
      <c r="A318" s="148"/>
      <c r="B318" s="148"/>
      <c r="C318" s="148"/>
      <c r="D318" s="141"/>
      <c r="E318" s="138"/>
      <c r="F318" s="12">
        <v>43647</v>
      </c>
      <c r="G318" s="12">
        <v>43830</v>
      </c>
      <c r="H318" s="150"/>
      <c r="I318" s="15" t="s">
        <v>23</v>
      </c>
      <c r="J318" s="14" t="s">
        <v>23</v>
      </c>
      <c r="K318" s="14" t="s">
        <v>23</v>
      </c>
      <c r="L318" s="5" t="s">
        <v>23</v>
      </c>
      <c r="M318" s="5" t="s">
        <v>23</v>
      </c>
      <c r="N318" s="5" t="s">
        <v>23</v>
      </c>
      <c r="O318" s="13">
        <v>2017.55</v>
      </c>
      <c r="P318" s="140"/>
      <c r="Q318" s="17">
        <f t="shared" si="5"/>
        <v>1681.2916666666667</v>
      </c>
      <c r="S318" s="18"/>
    </row>
    <row r="319" spans="1:16354" s="17" customFormat="1" ht="18.95" customHeight="1" outlineLevel="1" x14ac:dyDescent="0.25">
      <c r="A319" s="148"/>
      <c r="B319" s="148"/>
      <c r="C319" s="148"/>
      <c r="D319" s="137">
        <v>43454</v>
      </c>
      <c r="E319" s="137" t="s">
        <v>606</v>
      </c>
      <c r="F319" s="12">
        <v>43466</v>
      </c>
      <c r="G319" s="12">
        <v>43646</v>
      </c>
      <c r="H319" s="150"/>
      <c r="I319" s="15" t="s">
        <v>23</v>
      </c>
      <c r="J319" s="14" t="s">
        <v>23</v>
      </c>
      <c r="K319" s="14" t="s">
        <v>23</v>
      </c>
      <c r="L319" s="5" t="s">
        <v>23</v>
      </c>
      <c r="M319" s="5" t="s">
        <v>23</v>
      </c>
      <c r="N319" s="5" t="s">
        <v>23</v>
      </c>
      <c r="O319" s="13">
        <v>1641.75</v>
      </c>
      <c r="P319" s="153" t="s">
        <v>446</v>
      </c>
      <c r="Q319" s="17">
        <f t="shared" si="5"/>
        <v>1368.125</v>
      </c>
      <c r="S319" s="18"/>
    </row>
    <row r="320" spans="1:16354" s="17" customFormat="1" ht="18.95" customHeight="1" outlineLevel="1" x14ac:dyDescent="0.25">
      <c r="A320" s="147" t="s">
        <v>48</v>
      </c>
      <c r="B320" s="147" t="s">
        <v>206</v>
      </c>
      <c r="C320" s="147"/>
      <c r="D320" s="141"/>
      <c r="E320" s="138"/>
      <c r="F320" s="12">
        <v>43647</v>
      </c>
      <c r="G320" s="12">
        <v>43830</v>
      </c>
      <c r="H320" s="151"/>
      <c r="I320" s="15" t="s">
        <v>23</v>
      </c>
      <c r="J320" s="14" t="s">
        <v>23</v>
      </c>
      <c r="K320" s="14" t="s">
        <v>23</v>
      </c>
      <c r="L320" s="5" t="s">
        <v>23</v>
      </c>
      <c r="M320" s="5" t="s">
        <v>23</v>
      </c>
      <c r="N320" s="5" t="s">
        <v>23</v>
      </c>
      <c r="O320" s="13">
        <v>1674.59</v>
      </c>
      <c r="P320" s="140"/>
      <c r="Q320" s="17">
        <f t="shared" si="5"/>
        <v>1395.4916666666666</v>
      </c>
      <c r="S320" s="18"/>
    </row>
    <row r="321" spans="1:19" s="17" customFormat="1" ht="18.95" customHeight="1" outlineLevel="1" x14ac:dyDescent="0.25">
      <c r="A321" s="146" t="s">
        <v>48</v>
      </c>
      <c r="B321" s="146" t="s">
        <v>206</v>
      </c>
      <c r="C321" s="146" t="s">
        <v>356</v>
      </c>
      <c r="D321" s="137">
        <v>42723</v>
      </c>
      <c r="E321" s="137" t="s">
        <v>622</v>
      </c>
      <c r="F321" s="12">
        <v>43466</v>
      </c>
      <c r="G321" s="12">
        <v>43646</v>
      </c>
      <c r="H321" s="142" t="s">
        <v>623</v>
      </c>
      <c r="I321" s="13">
        <v>2139.7800000000002</v>
      </c>
      <c r="J321" s="14" t="s">
        <v>23</v>
      </c>
      <c r="K321" s="14" t="s">
        <v>23</v>
      </c>
      <c r="L321" s="5" t="s">
        <v>23</v>
      </c>
      <c r="M321" s="5" t="s">
        <v>23</v>
      </c>
      <c r="N321" s="5" t="s">
        <v>23</v>
      </c>
      <c r="O321" s="4" t="s">
        <v>23</v>
      </c>
      <c r="P321" s="153" t="s">
        <v>29</v>
      </c>
      <c r="Q321" s="17" t="e">
        <f t="shared" si="5"/>
        <v>#VALUE!</v>
      </c>
      <c r="S321" s="18"/>
    </row>
    <row r="322" spans="1:19" s="17" customFormat="1" ht="18.95" customHeight="1" outlineLevel="1" x14ac:dyDescent="0.25">
      <c r="A322" s="148" t="s">
        <v>48</v>
      </c>
      <c r="B322" s="148" t="s">
        <v>206</v>
      </c>
      <c r="C322" s="148" t="s">
        <v>202</v>
      </c>
      <c r="D322" s="141"/>
      <c r="E322" s="141"/>
      <c r="F322" s="12">
        <v>43647</v>
      </c>
      <c r="G322" s="12">
        <v>43830</v>
      </c>
      <c r="H322" s="143"/>
      <c r="I322" s="13">
        <v>2182.5700000000002</v>
      </c>
      <c r="J322" s="14" t="s">
        <v>23</v>
      </c>
      <c r="K322" s="14" t="s">
        <v>23</v>
      </c>
      <c r="L322" s="5" t="s">
        <v>23</v>
      </c>
      <c r="M322" s="5" t="s">
        <v>23</v>
      </c>
      <c r="N322" s="5" t="s">
        <v>23</v>
      </c>
      <c r="O322" s="4" t="s">
        <v>23</v>
      </c>
      <c r="P322" s="152"/>
      <c r="Q322" s="17" t="e">
        <f t="shared" si="5"/>
        <v>#VALUE!</v>
      </c>
      <c r="S322" s="18"/>
    </row>
    <row r="323" spans="1:19" s="17" customFormat="1" ht="18.95" customHeight="1" outlineLevel="1" x14ac:dyDescent="0.25">
      <c r="A323" s="148"/>
      <c r="B323" s="148"/>
      <c r="C323" s="148"/>
      <c r="D323" s="137">
        <v>43454</v>
      </c>
      <c r="E323" s="137" t="s">
        <v>606</v>
      </c>
      <c r="F323" s="12">
        <v>43466</v>
      </c>
      <c r="G323" s="12">
        <v>43646</v>
      </c>
      <c r="H323" s="149"/>
      <c r="I323" s="15" t="s">
        <v>23</v>
      </c>
      <c r="J323" s="14" t="s">
        <v>23</v>
      </c>
      <c r="K323" s="14" t="s">
        <v>23</v>
      </c>
      <c r="L323" s="5" t="s">
        <v>23</v>
      </c>
      <c r="M323" s="5" t="s">
        <v>23</v>
      </c>
      <c r="N323" s="5" t="s">
        <v>23</v>
      </c>
      <c r="O323" s="13">
        <v>2109.36</v>
      </c>
      <c r="P323" s="144" t="s">
        <v>463</v>
      </c>
      <c r="Q323" s="17">
        <f t="shared" si="5"/>
        <v>1757.8000000000002</v>
      </c>
      <c r="S323" s="18"/>
    </row>
    <row r="324" spans="1:19" s="17" customFormat="1" ht="18.95" customHeight="1" outlineLevel="1" x14ac:dyDescent="0.25">
      <c r="A324" s="148"/>
      <c r="B324" s="148"/>
      <c r="C324" s="148"/>
      <c r="D324" s="138"/>
      <c r="E324" s="138"/>
      <c r="F324" s="12">
        <v>43647</v>
      </c>
      <c r="G324" s="12">
        <v>43830</v>
      </c>
      <c r="H324" s="150"/>
      <c r="I324" s="15" t="s">
        <v>23</v>
      </c>
      <c r="J324" s="14" t="s">
        <v>23</v>
      </c>
      <c r="K324" s="14" t="s">
        <v>23</v>
      </c>
      <c r="L324" s="5" t="s">
        <v>23</v>
      </c>
      <c r="M324" s="5" t="s">
        <v>23</v>
      </c>
      <c r="N324" s="5" t="s">
        <v>23</v>
      </c>
      <c r="O324" s="13">
        <v>2151.5500000000002</v>
      </c>
      <c r="P324" s="145"/>
      <c r="Q324" s="17">
        <f t="shared" si="5"/>
        <v>1792.9583333333335</v>
      </c>
      <c r="S324" s="18"/>
    </row>
    <row r="325" spans="1:19" s="17" customFormat="1" ht="18.95" customHeight="1" outlineLevel="1" x14ac:dyDescent="0.25">
      <c r="A325" s="148"/>
      <c r="B325" s="148"/>
      <c r="C325" s="148"/>
      <c r="D325" s="172"/>
      <c r="E325" s="172"/>
      <c r="F325" s="12">
        <v>43466</v>
      </c>
      <c r="G325" s="12">
        <v>43646</v>
      </c>
      <c r="H325" s="148"/>
      <c r="I325" s="15" t="s">
        <v>23</v>
      </c>
      <c r="J325" s="14" t="s">
        <v>23</v>
      </c>
      <c r="K325" s="14" t="s">
        <v>23</v>
      </c>
      <c r="L325" s="5" t="s">
        <v>23</v>
      </c>
      <c r="M325" s="5" t="s">
        <v>23</v>
      </c>
      <c r="N325" s="5" t="s">
        <v>23</v>
      </c>
      <c r="O325" s="13">
        <v>1213.6500000000001</v>
      </c>
      <c r="P325" s="144" t="s">
        <v>464</v>
      </c>
      <c r="Q325" s="17">
        <f t="shared" si="5"/>
        <v>1011.3750000000001</v>
      </c>
      <c r="S325" s="18"/>
    </row>
    <row r="326" spans="1:19" s="17" customFormat="1" ht="18.95" customHeight="1" outlineLevel="1" x14ac:dyDescent="0.25">
      <c r="A326" s="147"/>
      <c r="B326" s="147"/>
      <c r="C326" s="147"/>
      <c r="D326" s="173"/>
      <c r="E326" s="173"/>
      <c r="F326" s="12">
        <v>43647</v>
      </c>
      <c r="G326" s="12">
        <v>43830</v>
      </c>
      <c r="H326" s="147"/>
      <c r="I326" s="15" t="s">
        <v>23</v>
      </c>
      <c r="J326" s="14" t="s">
        <v>23</v>
      </c>
      <c r="K326" s="14" t="s">
        <v>23</v>
      </c>
      <c r="L326" s="5" t="s">
        <v>23</v>
      </c>
      <c r="M326" s="5" t="s">
        <v>23</v>
      </c>
      <c r="N326" s="5" t="s">
        <v>23</v>
      </c>
      <c r="O326" s="13">
        <v>1237.92</v>
      </c>
      <c r="P326" s="145"/>
      <c r="Q326" s="17">
        <f t="shared" si="5"/>
        <v>1031.6000000000001</v>
      </c>
      <c r="S326" s="18"/>
    </row>
    <row r="327" spans="1:19" s="17" customFormat="1" ht="18.95" customHeight="1" outlineLevel="1" x14ac:dyDescent="0.25">
      <c r="A327" s="146" t="s">
        <v>48</v>
      </c>
      <c r="B327" s="146" t="s">
        <v>275</v>
      </c>
      <c r="C327" s="146" t="s">
        <v>468</v>
      </c>
      <c r="D327" s="137">
        <v>43451</v>
      </c>
      <c r="E327" s="137" t="s">
        <v>624</v>
      </c>
      <c r="F327" s="12">
        <v>43466</v>
      </c>
      <c r="G327" s="12">
        <v>43646</v>
      </c>
      <c r="H327" s="149"/>
      <c r="I327" s="13">
        <v>1930.01</v>
      </c>
      <c r="J327" s="14" t="s">
        <v>23</v>
      </c>
      <c r="K327" s="14" t="s">
        <v>23</v>
      </c>
      <c r="L327" s="5" t="s">
        <v>23</v>
      </c>
      <c r="M327" s="5" t="s">
        <v>23</v>
      </c>
      <c r="N327" s="5" t="s">
        <v>23</v>
      </c>
      <c r="O327" s="15" t="s">
        <v>23</v>
      </c>
      <c r="P327" s="30"/>
      <c r="Q327" s="17" t="e">
        <f t="shared" si="5"/>
        <v>#VALUE!</v>
      </c>
      <c r="S327" s="18"/>
    </row>
    <row r="328" spans="1:19" s="17" customFormat="1" ht="18.95" customHeight="1" outlineLevel="1" x14ac:dyDescent="0.25">
      <c r="A328" s="148"/>
      <c r="B328" s="148"/>
      <c r="C328" s="148"/>
      <c r="D328" s="141"/>
      <c r="E328" s="141"/>
      <c r="F328" s="12">
        <v>43647</v>
      </c>
      <c r="G328" s="12">
        <v>43830</v>
      </c>
      <c r="H328" s="151"/>
      <c r="I328" s="13">
        <v>1951.6</v>
      </c>
      <c r="J328" s="14" t="s">
        <v>23</v>
      </c>
      <c r="K328" s="14" t="s">
        <v>23</v>
      </c>
      <c r="L328" s="5" t="s">
        <v>23</v>
      </c>
      <c r="M328" s="5" t="s">
        <v>23</v>
      </c>
      <c r="N328" s="5" t="s">
        <v>23</v>
      </c>
      <c r="O328" s="15" t="s">
        <v>23</v>
      </c>
      <c r="P328" s="30"/>
      <c r="Q328" s="17" t="e">
        <f t="shared" si="5"/>
        <v>#VALUE!</v>
      </c>
      <c r="S328" s="18"/>
    </row>
    <row r="329" spans="1:19" s="17" customFormat="1" ht="18.95" customHeight="1" outlineLevel="1" x14ac:dyDescent="0.25">
      <c r="A329" s="148"/>
      <c r="B329" s="148"/>
      <c r="C329" s="148"/>
      <c r="D329" s="137">
        <v>43454</v>
      </c>
      <c r="E329" s="137" t="s">
        <v>606</v>
      </c>
      <c r="F329" s="12">
        <v>43466</v>
      </c>
      <c r="G329" s="12">
        <v>43646</v>
      </c>
      <c r="H329" s="149"/>
      <c r="I329" s="15" t="s">
        <v>23</v>
      </c>
      <c r="J329" s="14"/>
      <c r="K329" s="14"/>
      <c r="L329" s="5"/>
      <c r="M329" s="5"/>
      <c r="N329" s="5"/>
      <c r="O329" s="13">
        <v>2316.0100000000002</v>
      </c>
      <c r="P329" s="30"/>
      <c r="Q329" s="17">
        <f t="shared" si="5"/>
        <v>1930.0083333333337</v>
      </c>
      <c r="S329" s="18"/>
    </row>
    <row r="330" spans="1:19" s="17" customFormat="1" ht="18.95" customHeight="1" outlineLevel="1" x14ac:dyDescent="0.25">
      <c r="A330" s="147"/>
      <c r="B330" s="147"/>
      <c r="C330" s="147"/>
      <c r="D330" s="141"/>
      <c r="E330" s="141"/>
      <c r="F330" s="12">
        <v>43647</v>
      </c>
      <c r="G330" s="12">
        <v>43830</v>
      </c>
      <c r="H330" s="151"/>
      <c r="I330" s="15" t="s">
        <v>23</v>
      </c>
      <c r="J330" s="14"/>
      <c r="K330" s="14"/>
      <c r="L330" s="5"/>
      <c r="M330" s="5"/>
      <c r="N330" s="5"/>
      <c r="O330" s="13">
        <v>2341.92</v>
      </c>
      <c r="P330" s="30"/>
      <c r="Q330" s="17">
        <f t="shared" si="5"/>
        <v>1951.6000000000001</v>
      </c>
      <c r="S330" s="18"/>
    </row>
    <row r="331" spans="1:19" s="17" customFormat="1" ht="18.95" customHeight="1" outlineLevel="1" x14ac:dyDescent="0.25">
      <c r="A331" s="146" t="s">
        <v>48</v>
      </c>
      <c r="B331" s="146" t="s">
        <v>216</v>
      </c>
      <c r="C331" s="146" t="s">
        <v>838</v>
      </c>
      <c r="D331" s="137">
        <v>43644</v>
      </c>
      <c r="E331" s="137" t="s">
        <v>839</v>
      </c>
      <c r="F331" s="12">
        <v>43644</v>
      </c>
      <c r="G331" s="12">
        <v>43646</v>
      </c>
      <c r="H331" s="149"/>
      <c r="I331" s="13">
        <v>2189.0100000000002</v>
      </c>
      <c r="J331" s="14" t="s">
        <v>23</v>
      </c>
      <c r="K331" s="14" t="s">
        <v>23</v>
      </c>
      <c r="L331" s="5" t="s">
        <v>23</v>
      </c>
      <c r="M331" s="5" t="s">
        <v>23</v>
      </c>
      <c r="N331" s="5" t="s">
        <v>23</v>
      </c>
      <c r="O331" s="15" t="s">
        <v>23</v>
      </c>
      <c r="P331" s="30"/>
      <c r="Q331" s="17" t="e">
        <f>O331/1.2</f>
        <v>#VALUE!</v>
      </c>
      <c r="S331" s="18"/>
    </row>
    <row r="332" spans="1:19" s="17" customFormat="1" ht="18.95" customHeight="1" outlineLevel="1" x14ac:dyDescent="0.25">
      <c r="A332" s="148"/>
      <c r="B332" s="148"/>
      <c r="C332" s="148"/>
      <c r="D332" s="141"/>
      <c r="E332" s="141"/>
      <c r="F332" s="12">
        <v>43647</v>
      </c>
      <c r="G332" s="12">
        <v>43830</v>
      </c>
      <c r="H332" s="151"/>
      <c r="I332" s="20">
        <v>2232.6999999999998</v>
      </c>
      <c r="J332" s="14"/>
      <c r="K332" s="14"/>
      <c r="L332" s="5"/>
      <c r="M332" s="5"/>
      <c r="N332" s="5"/>
      <c r="O332" s="15" t="s">
        <v>23</v>
      </c>
      <c r="P332" s="30"/>
      <c r="Q332" s="17" t="e">
        <f t="shared" si="5"/>
        <v>#VALUE!</v>
      </c>
      <c r="S332" s="18"/>
    </row>
    <row r="333" spans="1:19" s="17" customFormat="1" ht="18.95" customHeight="1" outlineLevel="1" x14ac:dyDescent="0.25">
      <c r="A333" s="148"/>
      <c r="B333" s="148"/>
      <c r="C333" s="148"/>
      <c r="D333" s="137">
        <v>43454</v>
      </c>
      <c r="E333" s="137" t="s">
        <v>606</v>
      </c>
      <c r="F333" s="12">
        <v>43644</v>
      </c>
      <c r="G333" s="12">
        <v>43646</v>
      </c>
      <c r="H333" s="149" t="s">
        <v>840</v>
      </c>
      <c r="I333" s="15" t="s">
        <v>23</v>
      </c>
      <c r="J333" s="14" t="s">
        <v>23</v>
      </c>
      <c r="K333" s="14" t="s">
        <v>23</v>
      </c>
      <c r="L333" s="5" t="s">
        <v>23</v>
      </c>
      <c r="M333" s="5" t="s">
        <v>23</v>
      </c>
      <c r="N333" s="5" t="s">
        <v>23</v>
      </c>
      <c r="O333" s="13">
        <v>1877.45</v>
      </c>
      <c r="P333" s="144" t="s">
        <v>444</v>
      </c>
      <c r="Q333" s="17">
        <f t="shared" si="5"/>
        <v>1564.5416666666667</v>
      </c>
      <c r="S333" s="18"/>
    </row>
    <row r="334" spans="1:19" s="17" customFormat="1" ht="18.95" customHeight="1" outlineLevel="1" x14ac:dyDescent="0.25">
      <c r="A334" s="148"/>
      <c r="B334" s="148"/>
      <c r="C334" s="148"/>
      <c r="D334" s="138"/>
      <c r="E334" s="138"/>
      <c r="F334" s="12">
        <v>43647</v>
      </c>
      <c r="G334" s="12">
        <v>43830</v>
      </c>
      <c r="H334" s="150"/>
      <c r="I334" s="131" t="s">
        <v>23</v>
      </c>
      <c r="J334" s="130"/>
      <c r="K334" s="130"/>
      <c r="L334" s="132"/>
      <c r="M334" s="132"/>
      <c r="N334" s="132"/>
      <c r="O334" s="13">
        <v>1915</v>
      </c>
      <c r="P334" s="158"/>
      <c r="S334" s="18"/>
    </row>
    <row r="335" spans="1:19" s="17" customFormat="1" ht="18.95" customHeight="1" outlineLevel="1" x14ac:dyDescent="0.25">
      <c r="A335" s="148"/>
      <c r="B335" s="148"/>
      <c r="C335" s="148"/>
      <c r="D335" s="138"/>
      <c r="E335" s="138"/>
      <c r="F335" s="12">
        <v>43644</v>
      </c>
      <c r="G335" s="12">
        <v>43646</v>
      </c>
      <c r="H335" s="150"/>
      <c r="I335" s="131" t="s">
        <v>23</v>
      </c>
      <c r="J335" s="130"/>
      <c r="K335" s="130"/>
      <c r="L335" s="132"/>
      <c r="M335" s="132"/>
      <c r="N335" s="132"/>
      <c r="O335" s="13">
        <v>1877.45</v>
      </c>
      <c r="P335" s="159" t="s">
        <v>446</v>
      </c>
      <c r="S335" s="18"/>
    </row>
    <row r="336" spans="1:19" s="17" customFormat="1" ht="18.95" customHeight="1" outlineLevel="1" x14ac:dyDescent="0.25">
      <c r="A336" s="148"/>
      <c r="B336" s="148"/>
      <c r="C336" s="148"/>
      <c r="D336" s="141"/>
      <c r="E336" s="141"/>
      <c r="F336" s="12">
        <v>43647</v>
      </c>
      <c r="G336" s="12">
        <v>43830</v>
      </c>
      <c r="H336" s="151"/>
      <c r="I336" s="15" t="s">
        <v>23</v>
      </c>
      <c r="J336" s="14" t="s">
        <v>23</v>
      </c>
      <c r="K336" s="14" t="s">
        <v>23</v>
      </c>
      <c r="L336" s="5" t="s">
        <v>23</v>
      </c>
      <c r="M336" s="5" t="s">
        <v>23</v>
      </c>
      <c r="N336" s="5" t="s">
        <v>23</v>
      </c>
      <c r="O336" s="13">
        <v>1915</v>
      </c>
      <c r="P336" s="159"/>
      <c r="Q336" s="17">
        <f t="shared" si="5"/>
        <v>1595.8333333333335</v>
      </c>
      <c r="S336" s="18"/>
    </row>
    <row r="337" spans="1:19" s="17" customFormat="1" ht="18.95" customHeight="1" outlineLevel="1" x14ac:dyDescent="0.25">
      <c r="A337" s="6">
        <v>3</v>
      </c>
      <c r="B337" s="6" t="s">
        <v>147</v>
      </c>
      <c r="C337" s="7"/>
      <c r="D337" s="7"/>
      <c r="E337" s="7"/>
      <c r="F337" s="7"/>
      <c r="G337" s="7"/>
      <c r="H337" s="7"/>
      <c r="I337" s="8"/>
      <c r="J337" s="31" t="s">
        <v>23</v>
      </c>
      <c r="K337" s="31" t="s">
        <v>23</v>
      </c>
      <c r="L337" s="32" t="s">
        <v>23</v>
      </c>
      <c r="M337" s="32" t="s">
        <v>23</v>
      </c>
      <c r="N337" s="32" t="s">
        <v>23</v>
      </c>
      <c r="O337" s="8"/>
      <c r="P337" s="9"/>
      <c r="Q337" s="17">
        <f t="shared" si="5"/>
        <v>0</v>
      </c>
      <c r="S337" s="18"/>
    </row>
    <row r="338" spans="1:19" s="17" customFormat="1" ht="18.95" customHeight="1" outlineLevel="1" x14ac:dyDescent="0.25">
      <c r="A338" s="146" t="s">
        <v>243</v>
      </c>
      <c r="B338" s="146" t="s">
        <v>407</v>
      </c>
      <c r="C338" s="210" t="s">
        <v>246</v>
      </c>
      <c r="D338" s="176">
        <v>43453</v>
      </c>
      <c r="E338" s="137" t="s">
        <v>474</v>
      </c>
      <c r="F338" s="12">
        <v>43466</v>
      </c>
      <c r="G338" s="12">
        <v>43646</v>
      </c>
      <c r="H338" s="155"/>
      <c r="I338" s="13">
        <v>2425.8200000000002</v>
      </c>
      <c r="J338" s="14" t="s">
        <v>23</v>
      </c>
      <c r="K338" s="14" t="s">
        <v>23</v>
      </c>
      <c r="L338" s="5" t="s">
        <v>23</v>
      </c>
      <c r="M338" s="5" t="s">
        <v>23</v>
      </c>
      <c r="N338" s="5" t="s">
        <v>23</v>
      </c>
      <c r="O338" s="15" t="s">
        <v>23</v>
      </c>
      <c r="P338" s="153" t="s">
        <v>396</v>
      </c>
      <c r="Q338" s="17" t="e">
        <f t="shared" si="5"/>
        <v>#VALUE!</v>
      </c>
      <c r="S338" s="18"/>
    </row>
    <row r="339" spans="1:19" s="17" customFormat="1" ht="18.95" customHeight="1" outlineLevel="1" x14ac:dyDescent="0.25">
      <c r="A339" s="148"/>
      <c r="B339" s="148"/>
      <c r="C339" s="211"/>
      <c r="D339" s="177"/>
      <c r="E339" s="141"/>
      <c r="F339" s="12">
        <v>43647</v>
      </c>
      <c r="G339" s="12">
        <v>43830</v>
      </c>
      <c r="H339" s="155"/>
      <c r="I339" s="20">
        <v>2467.52</v>
      </c>
      <c r="J339" s="14"/>
      <c r="K339" s="14"/>
      <c r="L339" s="5"/>
      <c r="M339" s="5"/>
      <c r="N339" s="5"/>
      <c r="O339" s="15" t="s">
        <v>23</v>
      </c>
      <c r="P339" s="152"/>
      <c r="Q339" s="17" t="e">
        <f t="shared" si="5"/>
        <v>#VALUE!</v>
      </c>
      <c r="S339" s="18"/>
    </row>
    <row r="340" spans="1:19" s="17" customFormat="1" ht="18.95" customHeight="1" outlineLevel="1" x14ac:dyDescent="0.25">
      <c r="A340" s="148"/>
      <c r="B340" s="148"/>
      <c r="C340" s="211"/>
      <c r="D340" s="137">
        <v>43454</v>
      </c>
      <c r="E340" s="137" t="s">
        <v>475</v>
      </c>
      <c r="F340" s="12">
        <v>43466</v>
      </c>
      <c r="G340" s="12">
        <v>43646</v>
      </c>
      <c r="H340" s="149"/>
      <c r="I340" s="15" t="s">
        <v>23</v>
      </c>
      <c r="J340" s="14" t="s">
        <v>23</v>
      </c>
      <c r="K340" s="14" t="s">
        <v>23</v>
      </c>
      <c r="L340" s="5" t="s">
        <v>23</v>
      </c>
      <c r="M340" s="5" t="s">
        <v>23</v>
      </c>
      <c r="N340" s="5" t="s">
        <v>23</v>
      </c>
      <c r="O340" s="13">
        <v>2541.8200000000002</v>
      </c>
      <c r="P340" s="139"/>
      <c r="Q340" s="17">
        <f t="shared" si="5"/>
        <v>2118.1833333333334</v>
      </c>
      <c r="S340" s="18"/>
    </row>
    <row r="341" spans="1:19" s="17" customFormat="1" ht="18.95" customHeight="1" outlineLevel="1" x14ac:dyDescent="0.25">
      <c r="A341" s="147"/>
      <c r="B341" s="147"/>
      <c r="C341" s="211"/>
      <c r="D341" s="141"/>
      <c r="E341" s="141"/>
      <c r="F341" s="12">
        <v>43647</v>
      </c>
      <c r="G341" s="12">
        <v>43830</v>
      </c>
      <c r="H341" s="151"/>
      <c r="I341" s="15" t="s">
        <v>23</v>
      </c>
      <c r="J341" s="14" t="s">
        <v>23</v>
      </c>
      <c r="K341" s="14" t="s">
        <v>23</v>
      </c>
      <c r="L341" s="5" t="s">
        <v>23</v>
      </c>
      <c r="M341" s="5" t="s">
        <v>23</v>
      </c>
      <c r="N341" s="5" t="s">
        <v>23</v>
      </c>
      <c r="O341" s="13">
        <v>2541.8200000000002</v>
      </c>
      <c r="P341" s="140"/>
      <c r="Q341" s="17">
        <f t="shared" si="5"/>
        <v>2118.1833333333334</v>
      </c>
      <c r="S341" s="18"/>
    </row>
    <row r="342" spans="1:19" s="17" customFormat="1" ht="18.95" customHeight="1" outlineLevel="1" x14ac:dyDescent="0.25">
      <c r="A342" s="146" t="s">
        <v>243</v>
      </c>
      <c r="B342" s="146" t="s">
        <v>419</v>
      </c>
      <c r="C342" s="211"/>
      <c r="D342" s="176">
        <f>$D$338</f>
        <v>43453</v>
      </c>
      <c r="E342" s="137" t="str">
        <f>$E$338</f>
        <v>452-п</v>
      </c>
      <c r="F342" s="12">
        <v>43466</v>
      </c>
      <c r="G342" s="12">
        <v>43646</v>
      </c>
      <c r="H342" s="155"/>
      <c r="I342" s="13">
        <f>$I$338</f>
        <v>2425.8200000000002</v>
      </c>
      <c r="J342" s="14" t="s">
        <v>23</v>
      </c>
      <c r="K342" s="14" t="s">
        <v>23</v>
      </c>
      <c r="L342" s="5" t="s">
        <v>23</v>
      </c>
      <c r="M342" s="5" t="s">
        <v>23</v>
      </c>
      <c r="N342" s="5" t="s">
        <v>23</v>
      </c>
      <c r="O342" s="15" t="s">
        <v>23</v>
      </c>
      <c r="P342" s="153" t="s">
        <v>396</v>
      </c>
      <c r="Q342" s="17" t="e">
        <f t="shared" si="5"/>
        <v>#VALUE!</v>
      </c>
      <c r="S342" s="18"/>
    </row>
    <row r="343" spans="1:19" s="17" customFormat="1" ht="18.95" customHeight="1" outlineLevel="1" x14ac:dyDescent="0.25">
      <c r="A343" s="148"/>
      <c r="B343" s="148"/>
      <c r="C343" s="211"/>
      <c r="D343" s="177"/>
      <c r="E343" s="141"/>
      <c r="F343" s="12">
        <v>43647</v>
      </c>
      <c r="G343" s="12">
        <v>43830</v>
      </c>
      <c r="H343" s="155"/>
      <c r="I343" s="13">
        <f>$I$339</f>
        <v>2467.52</v>
      </c>
      <c r="J343" s="14" t="s">
        <v>23</v>
      </c>
      <c r="K343" s="14" t="s">
        <v>23</v>
      </c>
      <c r="L343" s="5" t="s">
        <v>23</v>
      </c>
      <c r="M343" s="5" t="s">
        <v>23</v>
      </c>
      <c r="N343" s="5" t="s">
        <v>23</v>
      </c>
      <c r="O343" s="15" t="s">
        <v>23</v>
      </c>
      <c r="P343" s="152"/>
      <c r="Q343" s="17" t="e">
        <f t="shared" si="5"/>
        <v>#VALUE!</v>
      </c>
      <c r="S343" s="18"/>
    </row>
    <row r="344" spans="1:19" s="17" customFormat="1" ht="18.95" customHeight="1" outlineLevel="1" x14ac:dyDescent="0.25">
      <c r="A344" s="148"/>
      <c r="B344" s="148"/>
      <c r="C344" s="211"/>
      <c r="D344" s="137">
        <f>$D$340</f>
        <v>43454</v>
      </c>
      <c r="E344" s="137" t="str">
        <f>$E$340</f>
        <v>676-п</v>
      </c>
      <c r="F344" s="12">
        <v>43466</v>
      </c>
      <c r="G344" s="12">
        <v>43646</v>
      </c>
      <c r="H344" s="149"/>
      <c r="I344" s="15" t="s">
        <v>23</v>
      </c>
      <c r="J344" s="14" t="s">
        <v>23</v>
      </c>
      <c r="K344" s="14" t="s">
        <v>23</v>
      </c>
      <c r="L344" s="5" t="s">
        <v>23</v>
      </c>
      <c r="M344" s="5" t="s">
        <v>23</v>
      </c>
      <c r="N344" s="5" t="s">
        <v>23</v>
      </c>
      <c r="O344" s="13">
        <f>$O$340</f>
        <v>2541.8200000000002</v>
      </c>
      <c r="P344" s="139"/>
      <c r="Q344" s="17">
        <f t="shared" si="5"/>
        <v>2118.1833333333334</v>
      </c>
      <c r="S344" s="18"/>
    </row>
    <row r="345" spans="1:19" s="17" customFormat="1" ht="18.95" customHeight="1" outlineLevel="1" x14ac:dyDescent="0.25">
      <c r="A345" s="147"/>
      <c r="B345" s="147"/>
      <c r="C345" s="211"/>
      <c r="D345" s="141"/>
      <c r="E345" s="141"/>
      <c r="F345" s="12">
        <v>43647</v>
      </c>
      <c r="G345" s="12">
        <v>43830</v>
      </c>
      <c r="H345" s="151"/>
      <c r="I345" s="21" t="s">
        <v>23</v>
      </c>
      <c r="J345" s="14" t="s">
        <v>23</v>
      </c>
      <c r="K345" s="14" t="s">
        <v>23</v>
      </c>
      <c r="L345" s="5" t="s">
        <v>23</v>
      </c>
      <c r="M345" s="5" t="s">
        <v>23</v>
      </c>
      <c r="N345" s="5" t="s">
        <v>23</v>
      </c>
      <c r="O345" s="20">
        <f>$O$341</f>
        <v>2541.8200000000002</v>
      </c>
      <c r="P345" s="140"/>
      <c r="Q345" s="17">
        <f t="shared" si="5"/>
        <v>2118.1833333333334</v>
      </c>
      <c r="S345" s="18"/>
    </row>
    <row r="346" spans="1:19" s="17" customFormat="1" ht="18.95" customHeight="1" outlineLevel="1" x14ac:dyDescent="0.25">
      <c r="A346" s="146" t="s">
        <v>243</v>
      </c>
      <c r="B346" s="146" t="s">
        <v>514</v>
      </c>
      <c r="C346" s="211"/>
      <c r="D346" s="176">
        <f>$D$338</f>
        <v>43453</v>
      </c>
      <c r="E346" s="137" t="str">
        <f>$E$338</f>
        <v>452-п</v>
      </c>
      <c r="F346" s="12">
        <v>43466</v>
      </c>
      <c r="G346" s="12">
        <v>43646</v>
      </c>
      <c r="H346" s="155"/>
      <c r="I346" s="13">
        <f>$I$338</f>
        <v>2425.8200000000002</v>
      </c>
      <c r="J346" s="14" t="s">
        <v>23</v>
      </c>
      <c r="K346" s="14" t="s">
        <v>23</v>
      </c>
      <c r="L346" s="5" t="s">
        <v>23</v>
      </c>
      <c r="M346" s="5" t="s">
        <v>23</v>
      </c>
      <c r="N346" s="5" t="s">
        <v>23</v>
      </c>
      <c r="O346" s="15" t="s">
        <v>23</v>
      </c>
      <c r="P346" s="153" t="s">
        <v>396</v>
      </c>
      <c r="Q346" s="17" t="e">
        <f t="shared" si="5"/>
        <v>#VALUE!</v>
      </c>
      <c r="S346" s="18"/>
    </row>
    <row r="347" spans="1:19" s="17" customFormat="1" ht="18.95" customHeight="1" outlineLevel="1" x14ac:dyDescent="0.25">
      <c r="A347" s="148"/>
      <c r="B347" s="148"/>
      <c r="C347" s="211"/>
      <c r="D347" s="177"/>
      <c r="E347" s="141"/>
      <c r="F347" s="12">
        <v>43647</v>
      </c>
      <c r="G347" s="12">
        <v>43830</v>
      </c>
      <c r="H347" s="155"/>
      <c r="I347" s="13">
        <f>$I$339</f>
        <v>2467.52</v>
      </c>
      <c r="J347" s="14" t="s">
        <v>23</v>
      </c>
      <c r="K347" s="14" t="s">
        <v>23</v>
      </c>
      <c r="L347" s="5" t="s">
        <v>23</v>
      </c>
      <c r="M347" s="5" t="s">
        <v>23</v>
      </c>
      <c r="N347" s="5" t="s">
        <v>23</v>
      </c>
      <c r="O347" s="15" t="s">
        <v>23</v>
      </c>
      <c r="P347" s="152"/>
      <c r="Q347" s="17" t="e">
        <f t="shared" si="5"/>
        <v>#VALUE!</v>
      </c>
      <c r="S347" s="18"/>
    </row>
    <row r="348" spans="1:19" s="17" customFormat="1" ht="18.95" customHeight="1" outlineLevel="1" x14ac:dyDescent="0.25">
      <c r="A348" s="148"/>
      <c r="B348" s="148"/>
      <c r="C348" s="211"/>
      <c r="D348" s="137">
        <f>$D$340</f>
        <v>43454</v>
      </c>
      <c r="E348" s="137" t="str">
        <f>$E$340</f>
        <v>676-п</v>
      </c>
      <c r="F348" s="12">
        <v>43466</v>
      </c>
      <c r="G348" s="12">
        <v>43646</v>
      </c>
      <c r="H348" s="149"/>
      <c r="I348" s="15" t="s">
        <v>23</v>
      </c>
      <c r="J348" s="14" t="s">
        <v>23</v>
      </c>
      <c r="K348" s="14" t="s">
        <v>23</v>
      </c>
      <c r="L348" s="5" t="s">
        <v>23</v>
      </c>
      <c r="M348" s="5" t="s">
        <v>23</v>
      </c>
      <c r="N348" s="5" t="s">
        <v>23</v>
      </c>
      <c r="O348" s="13">
        <f>$O$340</f>
        <v>2541.8200000000002</v>
      </c>
      <c r="P348" s="139"/>
      <c r="Q348" s="17">
        <f t="shared" si="5"/>
        <v>2118.1833333333334</v>
      </c>
      <c r="S348" s="18"/>
    </row>
    <row r="349" spans="1:19" s="17" customFormat="1" ht="18.95" customHeight="1" outlineLevel="1" x14ac:dyDescent="0.25">
      <c r="A349" s="147"/>
      <c r="B349" s="147"/>
      <c r="C349" s="211"/>
      <c r="D349" s="141"/>
      <c r="E349" s="141"/>
      <c r="F349" s="12">
        <v>43647</v>
      </c>
      <c r="G349" s="12">
        <v>43830</v>
      </c>
      <c r="H349" s="151"/>
      <c r="I349" s="15" t="s">
        <v>23</v>
      </c>
      <c r="J349" s="14" t="s">
        <v>23</v>
      </c>
      <c r="K349" s="14" t="s">
        <v>23</v>
      </c>
      <c r="L349" s="5" t="s">
        <v>23</v>
      </c>
      <c r="M349" s="5" t="s">
        <v>23</v>
      </c>
      <c r="N349" s="5" t="s">
        <v>23</v>
      </c>
      <c r="O349" s="20">
        <f>$O$341</f>
        <v>2541.8200000000002</v>
      </c>
      <c r="P349" s="140"/>
      <c r="Q349" s="17">
        <f t="shared" si="5"/>
        <v>2118.1833333333334</v>
      </c>
      <c r="S349" s="18"/>
    </row>
    <row r="350" spans="1:19" s="17" customFormat="1" ht="18.95" customHeight="1" outlineLevel="1" x14ac:dyDescent="0.25">
      <c r="A350" s="146" t="s">
        <v>243</v>
      </c>
      <c r="B350" s="146" t="s">
        <v>515</v>
      </c>
      <c r="C350" s="211"/>
      <c r="D350" s="176">
        <f>D338</f>
        <v>43453</v>
      </c>
      <c r="E350" s="137" t="str">
        <f>$E$338</f>
        <v>452-п</v>
      </c>
      <c r="F350" s="12">
        <v>43466</v>
      </c>
      <c r="G350" s="12">
        <v>43646</v>
      </c>
      <c r="H350" s="155"/>
      <c r="I350" s="13">
        <f>$I$338</f>
        <v>2425.8200000000002</v>
      </c>
      <c r="J350" s="14" t="s">
        <v>23</v>
      </c>
      <c r="K350" s="14" t="s">
        <v>23</v>
      </c>
      <c r="L350" s="5" t="s">
        <v>23</v>
      </c>
      <c r="M350" s="5" t="s">
        <v>23</v>
      </c>
      <c r="N350" s="5" t="s">
        <v>23</v>
      </c>
      <c r="O350" s="15" t="s">
        <v>23</v>
      </c>
      <c r="P350" s="153" t="s">
        <v>396</v>
      </c>
      <c r="Q350" s="17" t="e">
        <f t="shared" si="5"/>
        <v>#VALUE!</v>
      </c>
      <c r="S350" s="18"/>
    </row>
    <row r="351" spans="1:19" s="17" customFormat="1" ht="18.95" customHeight="1" outlineLevel="1" x14ac:dyDescent="0.25">
      <c r="A351" s="148"/>
      <c r="B351" s="148"/>
      <c r="C351" s="211"/>
      <c r="D351" s="177"/>
      <c r="E351" s="141"/>
      <c r="F351" s="12">
        <v>43647</v>
      </c>
      <c r="G351" s="12">
        <v>43830</v>
      </c>
      <c r="H351" s="155"/>
      <c r="I351" s="13">
        <f>$I$339</f>
        <v>2467.52</v>
      </c>
      <c r="J351" s="14" t="s">
        <v>23</v>
      </c>
      <c r="K351" s="14" t="s">
        <v>23</v>
      </c>
      <c r="L351" s="5" t="s">
        <v>23</v>
      </c>
      <c r="M351" s="5" t="s">
        <v>23</v>
      </c>
      <c r="N351" s="5" t="s">
        <v>23</v>
      </c>
      <c r="O351" s="15" t="s">
        <v>23</v>
      </c>
      <c r="P351" s="152"/>
      <c r="Q351" s="17" t="e">
        <f t="shared" si="5"/>
        <v>#VALUE!</v>
      </c>
      <c r="S351" s="18"/>
    </row>
    <row r="352" spans="1:19" s="17" customFormat="1" ht="18.95" customHeight="1" outlineLevel="1" x14ac:dyDescent="0.25">
      <c r="A352" s="148"/>
      <c r="B352" s="148"/>
      <c r="C352" s="211"/>
      <c r="D352" s="137">
        <f>D340</f>
        <v>43454</v>
      </c>
      <c r="E352" s="137" t="str">
        <f>E340</f>
        <v>676-п</v>
      </c>
      <c r="F352" s="12">
        <v>43466</v>
      </c>
      <c r="G352" s="12">
        <v>43646</v>
      </c>
      <c r="H352" s="149"/>
      <c r="I352" s="13" t="s">
        <v>23</v>
      </c>
      <c r="J352" s="14" t="s">
        <v>23</v>
      </c>
      <c r="K352" s="14" t="s">
        <v>23</v>
      </c>
      <c r="L352" s="5" t="s">
        <v>23</v>
      </c>
      <c r="M352" s="5" t="s">
        <v>23</v>
      </c>
      <c r="N352" s="5" t="s">
        <v>23</v>
      </c>
      <c r="O352" s="13">
        <f>$O$340</f>
        <v>2541.8200000000002</v>
      </c>
      <c r="P352" s="144" t="s">
        <v>444</v>
      </c>
      <c r="Q352" s="17">
        <f t="shared" si="5"/>
        <v>2118.1833333333334</v>
      </c>
      <c r="S352" s="18"/>
    </row>
    <row r="353" spans="1:19" s="17" customFormat="1" ht="18.95" customHeight="1" outlineLevel="1" x14ac:dyDescent="0.25">
      <c r="A353" s="148"/>
      <c r="B353" s="148"/>
      <c r="C353" s="211"/>
      <c r="D353" s="138"/>
      <c r="E353" s="138"/>
      <c r="F353" s="12">
        <v>43647</v>
      </c>
      <c r="G353" s="12">
        <v>43830</v>
      </c>
      <c r="H353" s="150"/>
      <c r="I353" s="15" t="s">
        <v>23</v>
      </c>
      <c r="J353" s="14" t="s">
        <v>23</v>
      </c>
      <c r="K353" s="14" t="s">
        <v>23</v>
      </c>
      <c r="L353" s="5" t="s">
        <v>23</v>
      </c>
      <c r="M353" s="5" t="s">
        <v>23</v>
      </c>
      <c r="N353" s="5" t="s">
        <v>23</v>
      </c>
      <c r="O353" s="20">
        <f>$O$341</f>
        <v>2541.8200000000002</v>
      </c>
      <c r="P353" s="145"/>
      <c r="Q353" s="17">
        <f t="shared" si="5"/>
        <v>2118.1833333333334</v>
      </c>
      <c r="S353" s="18"/>
    </row>
    <row r="354" spans="1:19" s="17" customFormat="1" ht="18.95" customHeight="1" outlineLevel="1" x14ac:dyDescent="0.25">
      <c r="A354" s="148"/>
      <c r="B354" s="148"/>
      <c r="C354" s="211"/>
      <c r="D354" s="138"/>
      <c r="E354" s="138"/>
      <c r="F354" s="12">
        <v>43466</v>
      </c>
      <c r="G354" s="12">
        <v>43646</v>
      </c>
      <c r="H354" s="150"/>
      <c r="I354" s="15" t="s">
        <v>23</v>
      </c>
      <c r="J354" s="14" t="s">
        <v>23</v>
      </c>
      <c r="K354" s="14" t="s">
        <v>23</v>
      </c>
      <c r="L354" s="5" t="s">
        <v>23</v>
      </c>
      <c r="M354" s="5" t="s">
        <v>23</v>
      </c>
      <c r="N354" s="5" t="s">
        <v>23</v>
      </c>
      <c r="O354" s="13">
        <v>1798.65</v>
      </c>
      <c r="P354" s="144" t="s">
        <v>446</v>
      </c>
      <c r="Q354" s="17">
        <f t="shared" si="5"/>
        <v>1498.8750000000002</v>
      </c>
      <c r="S354" s="18"/>
    </row>
    <row r="355" spans="1:19" s="17" customFormat="1" ht="18.95" customHeight="1" outlineLevel="1" x14ac:dyDescent="0.25">
      <c r="A355" s="148"/>
      <c r="B355" s="148"/>
      <c r="C355" s="211"/>
      <c r="D355" s="141"/>
      <c r="E355" s="141"/>
      <c r="F355" s="12">
        <v>43647</v>
      </c>
      <c r="G355" s="12">
        <v>43830</v>
      </c>
      <c r="H355" s="151"/>
      <c r="I355" s="15" t="s">
        <v>23</v>
      </c>
      <c r="J355" s="14" t="s">
        <v>23</v>
      </c>
      <c r="K355" s="14" t="s">
        <v>23</v>
      </c>
      <c r="L355" s="5" t="s">
        <v>23</v>
      </c>
      <c r="M355" s="5" t="s">
        <v>23</v>
      </c>
      <c r="N355" s="5" t="s">
        <v>23</v>
      </c>
      <c r="O355" s="13">
        <v>1834.62</v>
      </c>
      <c r="P355" s="145"/>
      <c r="Q355" s="17">
        <f t="shared" si="5"/>
        <v>1528.85</v>
      </c>
      <c r="S355" s="18"/>
    </row>
    <row r="356" spans="1:19" s="17" customFormat="1" ht="18.95" customHeight="1" outlineLevel="1" x14ac:dyDescent="0.25">
      <c r="A356" s="146" t="s">
        <v>243</v>
      </c>
      <c r="B356" s="146" t="s">
        <v>408</v>
      </c>
      <c r="C356" s="211"/>
      <c r="D356" s="176">
        <f>$D$338</f>
        <v>43453</v>
      </c>
      <c r="E356" s="137" t="str">
        <f>$E$338</f>
        <v>452-п</v>
      </c>
      <c r="F356" s="12">
        <v>43466</v>
      </c>
      <c r="G356" s="12">
        <v>43646</v>
      </c>
      <c r="H356" s="155"/>
      <c r="I356" s="13">
        <f>$I$338</f>
        <v>2425.8200000000002</v>
      </c>
      <c r="J356" s="14" t="s">
        <v>23</v>
      </c>
      <c r="K356" s="14" t="s">
        <v>23</v>
      </c>
      <c r="L356" s="5" t="s">
        <v>23</v>
      </c>
      <c r="M356" s="5" t="s">
        <v>23</v>
      </c>
      <c r="N356" s="5" t="s">
        <v>23</v>
      </c>
      <c r="O356" s="15" t="s">
        <v>23</v>
      </c>
      <c r="P356" s="153" t="s">
        <v>396</v>
      </c>
      <c r="Q356" s="17" t="e">
        <f t="shared" si="5"/>
        <v>#VALUE!</v>
      </c>
      <c r="S356" s="18"/>
    </row>
    <row r="357" spans="1:19" s="17" customFormat="1" ht="18.95" customHeight="1" outlineLevel="1" x14ac:dyDescent="0.25">
      <c r="A357" s="148"/>
      <c r="B357" s="148"/>
      <c r="C357" s="211"/>
      <c r="D357" s="177"/>
      <c r="E357" s="141"/>
      <c r="F357" s="12">
        <v>43647</v>
      </c>
      <c r="G357" s="12">
        <v>43830</v>
      </c>
      <c r="H357" s="155"/>
      <c r="I357" s="13">
        <f>$I$339</f>
        <v>2467.52</v>
      </c>
      <c r="J357" s="14" t="s">
        <v>23</v>
      </c>
      <c r="K357" s="14" t="s">
        <v>23</v>
      </c>
      <c r="L357" s="5" t="s">
        <v>23</v>
      </c>
      <c r="M357" s="5" t="s">
        <v>23</v>
      </c>
      <c r="N357" s="5" t="s">
        <v>23</v>
      </c>
      <c r="O357" s="15" t="s">
        <v>23</v>
      </c>
      <c r="P357" s="152"/>
      <c r="Q357" s="17" t="e">
        <f t="shared" si="5"/>
        <v>#VALUE!</v>
      </c>
      <c r="S357" s="18"/>
    </row>
    <row r="358" spans="1:19" s="17" customFormat="1" ht="18.95" customHeight="1" outlineLevel="1" x14ac:dyDescent="0.25">
      <c r="A358" s="148"/>
      <c r="B358" s="148"/>
      <c r="C358" s="211"/>
      <c r="D358" s="137">
        <f>$D$340</f>
        <v>43454</v>
      </c>
      <c r="E358" s="137" t="str">
        <f>$E$340</f>
        <v>676-п</v>
      </c>
      <c r="F358" s="12">
        <v>43466</v>
      </c>
      <c r="G358" s="12">
        <v>43646</v>
      </c>
      <c r="H358" s="149"/>
      <c r="I358" s="15" t="s">
        <v>23</v>
      </c>
      <c r="J358" s="14" t="s">
        <v>23</v>
      </c>
      <c r="K358" s="14" t="s">
        <v>23</v>
      </c>
      <c r="L358" s="5" t="s">
        <v>23</v>
      </c>
      <c r="M358" s="5" t="s">
        <v>23</v>
      </c>
      <c r="N358" s="5" t="s">
        <v>23</v>
      </c>
      <c r="O358" s="13">
        <f>$O$340</f>
        <v>2541.8200000000002</v>
      </c>
      <c r="P358" s="139"/>
      <c r="Q358" s="17">
        <f t="shared" si="5"/>
        <v>2118.1833333333334</v>
      </c>
      <c r="S358" s="18"/>
    </row>
    <row r="359" spans="1:19" s="17" customFormat="1" ht="18.95" customHeight="1" outlineLevel="1" x14ac:dyDescent="0.25">
      <c r="A359" s="147"/>
      <c r="B359" s="147"/>
      <c r="C359" s="211"/>
      <c r="D359" s="141"/>
      <c r="E359" s="141"/>
      <c r="F359" s="12">
        <v>43647</v>
      </c>
      <c r="G359" s="12">
        <v>43830</v>
      </c>
      <c r="H359" s="151"/>
      <c r="I359" s="15" t="s">
        <v>23</v>
      </c>
      <c r="J359" s="14" t="s">
        <v>23</v>
      </c>
      <c r="K359" s="14" t="s">
        <v>23</v>
      </c>
      <c r="L359" s="5" t="s">
        <v>23</v>
      </c>
      <c r="M359" s="5" t="s">
        <v>23</v>
      </c>
      <c r="N359" s="5" t="s">
        <v>23</v>
      </c>
      <c r="O359" s="20">
        <f>$O$341</f>
        <v>2541.8200000000002</v>
      </c>
      <c r="P359" s="140"/>
      <c r="Q359" s="17">
        <f t="shared" si="5"/>
        <v>2118.1833333333334</v>
      </c>
      <c r="S359" s="18"/>
    </row>
    <row r="360" spans="1:19" s="17" customFormat="1" ht="18.95" customHeight="1" outlineLevel="1" x14ac:dyDescent="0.25">
      <c r="A360" s="146" t="s">
        <v>243</v>
      </c>
      <c r="B360" s="146" t="s">
        <v>409</v>
      </c>
      <c r="C360" s="211"/>
      <c r="D360" s="176">
        <f>$D$338</f>
        <v>43453</v>
      </c>
      <c r="E360" s="137" t="str">
        <f>$E$338</f>
        <v>452-п</v>
      </c>
      <c r="F360" s="12">
        <v>43466</v>
      </c>
      <c r="G360" s="12">
        <v>43646</v>
      </c>
      <c r="H360" s="155"/>
      <c r="I360" s="13">
        <f>$I$338</f>
        <v>2425.8200000000002</v>
      </c>
      <c r="J360" s="14" t="s">
        <v>23</v>
      </c>
      <c r="K360" s="14" t="s">
        <v>23</v>
      </c>
      <c r="L360" s="5" t="s">
        <v>23</v>
      </c>
      <c r="M360" s="5" t="s">
        <v>23</v>
      </c>
      <c r="N360" s="5" t="s">
        <v>23</v>
      </c>
      <c r="O360" s="15" t="s">
        <v>23</v>
      </c>
      <c r="P360" s="153" t="s">
        <v>396</v>
      </c>
      <c r="Q360" s="17" t="e">
        <f t="shared" si="5"/>
        <v>#VALUE!</v>
      </c>
      <c r="S360" s="18"/>
    </row>
    <row r="361" spans="1:19" s="17" customFormat="1" ht="18.95" customHeight="1" outlineLevel="1" x14ac:dyDescent="0.25">
      <c r="A361" s="148"/>
      <c r="B361" s="148"/>
      <c r="C361" s="211"/>
      <c r="D361" s="177"/>
      <c r="E361" s="141"/>
      <c r="F361" s="12">
        <v>43647</v>
      </c>
      <c r="G361" s="12">
        <v>43830</v>
      </c>
      <c r="H361" s="155"/>
      <c r="I361" s="13">
        <f>$I$339</f>
        <v>2467.52</v>
      </c>
      <c r="J361" s="14" t="s">
        <v>23</v>
      </c>
      <c r="K361" s="14" t="s">
        <v>23</v>
      </c>
      <c r="L361" s="5" t="s">
        <v>23</v>
      </c>
      <c r="M361" s="5" t="s">
        <v>23</v>
      </c>
      <c r="N361" s="5" t="s">
        <v>23</v>
      </c>
      <c r="O361" s="15" t="s">
        <v>23</v>
      </c>
      <c r="P361" s="152"/>
      <c r="Q361" s="17" t="e">
        <f t="shared" si="5"/>
        <v>#VALUE!</v>
      </c>
      <c r="S361" s="18"/>
    </row>
    <row r="362" spans="1:19" s="17" customFormat="1" ht="18.95" customHeight="1" outlineLevel="1" x14ac:dyDescent="0.25">
      <c r="A362" s="148"/>
      <c r="B362" s="148"/>
      <c r="C362" s="211"/>
      <c r="D362" s="137">
        <f>$D$340</f>
        <v>43454</v>
      </c>
      <c r="E362" s="137" t="str">
        <f>$E$340</f>
        <v>676-п</v>
      </c>
      <c r="F362" s="12">
        <v>43466</v>
      </c>
      <c r="G362" s="12">
        <v>43646</v>
      </c>
      <c r="H362" s="149"/>
      <c r="I362" s="15" t="s">
        <v>23</v>
      </c>
      <c r="J362" s="14" t="s">
        <v>23</v>
      </c>
      <c r="K362" s="14" t="s">
        <v>23</v>
      </c>
      <c r="L362" s="5" t="s">
        <v>23</v>
      </c>
      <c r="M362" s="5" t="s">
        <v>23</v>
      </c>
      <c r="N362" s="5" t="s">
        <v>23</v>
      </c>
      <c r="O362" s="13">
        <f>$O$340</f>
        <v>2541.8200000000002</v>
      </c>
      <c r="P362" s="139"/>
      <c r="Q362" s="17">
        <f t="shared" si="5"/>
        <v>2118.1833333333334</v>
      </c>
      <c r="S362" s="18"/>
    </row>
    <row r="363" spans="1:19" s="17" customFormat="1" ht="18.95" customHeight="1" outlineLevel="1" x14ac:dyDescent="0.25">
      <c r="A363" s="147"/>
      <c r="B363" s="147"/>
      <c r="C363" s="211"/>
      <c r="D363" s="141"/>
      <c r="E363" s="141"/>
      <c r="F363" s="12">
        <v>43647</v>
      </c>
      <c r="G363" s="12">
        <v>43830</v>
      </c>
      <c r="H363" s="151"/>
      <c r="I363" s="15" t="s">
        <v>23</v>
      </c>
      <c r="J363" s="14" t="s">
        <v>23</v>
      </c>
      <c r="K363" s="14" t="s">
        <v>23</v>
      </c>
      <c r="L363" s="5" t="s">
        <v>23</v>
      </c>
      <c r="M363" s="5" t="s">
        <v>23</v>
      </c>
      <c r="N363" s="5" t="s">
        <v>23</v>
      </c>
      <c r="O363" s="20">
        <f>$O$341</f>
        <v>2541.8200000000002</v>
      </c>
      <c r="P363" s="140"/>
      <c r="Q363" s="17">
        <f t="shared" si="5"/>
        <v>2118.1833333333334</v>
      </c>
      <c r="S363" s="18"/>
    </row>
    <row r="364" spans="1:19" s="17" customFormat="1" ht="18.95" customHeight="1" outlineLevel="1" x14ac:dyDescent="0.25">
      <c r="A364" s="146" t="s">
        <v>243</v>
      </c>
      <c r="B364" s="146" t="s">
        <v>410</v>
      </c>
      <c r="C364" s="211"/>
      <c r="D364" s="176">
        <f>$D$338</f>
        <v>43453</v>
      </c>
      <c r="E364" s="137" t="str">
        <f>$E$338</f>
        <v>452-п</v>
      </c>
      <c r="F364" s="12">
        <v>43466</v>
      </c>
      <c r="G364" s="12">
        <v>43646</v>
      </c>
      <c r="H364" s="155"/>
      <c r="I364" s="13">
        <f>$I$338</f>
        <v>2425.8200000000002</v>
      </c>
      <c r="J364" s="14" t="s">
        <v>23</v>
      </c>
      <c r="K364" s="14" t="s">
        <v>23</v>
      </c>
      <c r="L364" s="5" t="s">
        <v>23</v>
      </c>
      <c r="M364" s="5" t="s">
        <v>23</v>
      </c>
      <c r="N364" s="5" t="s">
        <v>23</v>
      </c>
      <c r="O364" s="15" t="s">
        <v>23</v>
      </c>
      <c r="P364" s="153" t="s">
        <v>396</v>
      </c>
      <c r="Q364" s="17" t="e">
        <f t="shared" si="5"/>
        <v>#VALUE!</v>
      </c>
      <c r="S364" s="18"/>
    </row>
    <row r="365" spans="1:19" s="10" customFormat="1" ht="18.95" customHeight="1" x14ac:dyDescent="0.25">
      <c r="A365" s="148"/>
      <c r="B365" s="148"/>
      <c r="C365" s="211"/>
      <c r="D365" s="177"/>
      <c r="E365" s="141"/>
      <c r="F365" s="12">
        <v>43647</v>
      </c>
      <c r="G365" s="12">
        <v>43830</v>
      </c>
      <c r="H365" s="155"/>
      <c r="I365" s="13">
        <f>$I$339</f>
        <v>2467.52</v>
      </c>
      <c r="J365" s="14" t="s">
        <v>23</v>
      </c>
      <c r="K365" s="14" t="s">
        <v>23</v>
      </c>
      <c r="L365" s="5" t="s">
        <v>23</v>
      </c>
      <c r="M365" s="5" t="s">
        <v>23</v>
      </c>
      <c r="N365" s="5" t="s">
        <v>23</v>
      </c>
      <c r="O365" s="15" t="s">
        <v>23</v>
      </c>
      <c r="P365" s="152"/>
      <c r="Q365" s="17" t="e">
        <f t="shared" si="5"/>
        <v>#VALUE!</v>
      </c>
      <c r="S365" s="11"/>
    </row>
    <row r="366" spans="1:19" s="17" customFormat="1" ht="18.95" customHeight="1" outlineLevel="1" x14ac:dyDescent="0.25">
      <c r="A366" s="148"/>
      <c r="B366" s="148"/>
      <c r="C366" s="211"/>
      <c r="D366" s="137">
        <f>$D$340</f>
        <v>43454</v>
      </c>
      <c r="E366" s="137" t="str">
        <f>$E$340</f>
        <v>676-п</v>
      </c>
      <c r="F366" s="12">
        <v>43466</v>
      </c>
      <c r="G366" s="12">
        <v>43646</v>
      </c>
      <c r="H366" s="149"/>
      <c r="I366" s="15" t="s">
        <v>23</v>
      </c>
      <c r="J366" s="14" t="s">
        <v>23</v>
      </c>
      <c r="K366" s="14" t="s">
        <v>23</v>
      </c>
      <c r="L366" s="5" t="s">
        <v>23</v>
      </c>
      <c r="M366" s="5" t="s">
        <v>23</v>
      </c>
      <c r="N366" s="5" t="s">
        <v>23</v>
      </c>
      <c r="O366" s="13">
        <f>$O$340</f>
        <v>2541.8200000000002</v>
      </c>
      <c r="P366" s="139"/>
      <c r="Q366" s="17">
        <f t="shared" si="5"/>
        <v>2118.1833333333334</v>
      </c>
      <c r="S366" s="18"/>
    </row>
    <row r="367" spans="1:19" s="17" customFormat="1" ht="18.95" customHeight="1" outlineLevel="1" x14ac:dyDescent="0.25">
      <c r="A367" s="147"/>
      <c r="B367" s="147"/>
      <c r="C367" s="211"/>
      <c r="D367" s="141"/>
      <c r="E367" s="141"/>
      <c r="F367" s="12">
        <v>43647</v>
      </c>
      <c r="G367" s="12">
        <v>43830</v>
      </c>
      <c r="H367" s="151"/>
      <c r="I367" s="15" t="s">
        <v>23</v>
      </c>
      <c r="J367" s="14" t="s">
        <v>23</v>
      </c>
      <c r="K367" s="14" t="s">
        <v>23</v>
      </c>
      <c r="L367" s="5" t="s">
        <v>23</v>
      </c>
      <c r="M367" s="5" t="s">
        <v>23</v>
      </c>
      <c r="N367" s="5" t="s">
        <v>23</v>
      </c>
      <c r="O367" s="20">
        <f>$O$341</f>
        <v>2541.8200000000002</v>
      </c>
      <c r="P367" s="140"/>
      <c r="Q367" s="17">
        <f t="shared" si="5"/>
        <v>2118.1833333333334</v>
      </c>
      <c r="S367" s="18"/>
    </row>
    <row r="368" spans="1:19" s="17" customFormat="1" ht="18.95" customHeight="1" outlineLevel="1" x14ac:dyDescent="0.25">
      <c r="A368" s="146" t="s">
        <v>243</v>
      </c>
      <c r="B368" s="146" t="s">
        <v>516</v>
      </c>
      <c r="C368" s="211"/>
      <c r="D368" s="176">
        <f>$D$338</f>
        <v>43453</v>
      </c>
      <c r="E368" s="137" t="str">
        <f>$E$338</f>
        <v>452-п</v>
      </c>
      <c r="F368" s="12">
        <v>43466</v>
      </c>
      <c r="G368" s="12">
        <v>43646</v>
      </c>
      <c r="H368" s="155"/>
      <c r="I368" s="13">
        <f>$I$338</f>
        <v>2425.8200000000002</v>
      </c>
      <c r="J368" s="14" t="s">
        <v>23</v>
      </c>
      <c r="K368" s="14" t="s">
        <v>23</v>
      </c>
      <c r="L368" s="5" t="s">
        <v>23</v>
      </c>
      <c r="M368" s="5" t="s">
        <v>23</v>
      </c>
      <c r="N368" s="5" t="s">
        <v>23</v>
      </c>
      <c r="O368" s="15" t="s">
        <v>23</v>
      </c>
      <c r="P368" s="153" t="s">
        <v>396</v>
      </c>
      <c r="Q368" s="17" t="e">
        <f t="shared" si="5"/>
        <v>#VALUE!</v>
      </c>
      <c r="S368" s="18"/>
    </row>
    <row r="369" spans="1:19" s="17" customFormat="1" ht="18.95" customHeight="1" outlineLevel="1" x14ac:dyDescent="0.25">
      <c r="A369" s="148"/>
      <c r="B369" s="148"/>
      <c r="C369" s="211"/>
      <c r="D369" s="177"/>
      <c r="E369" s="141"/>
      <c r="F369" s="12">
        <v>43647</v>
      </c>
      <c r="G369" s="12">
        <v>43830</v>
      </c>
      <c r="H369" s="155"/>
      <c r="I369" s="13">
        <f>$I$339</f>
        <v>2467.52</v>
      </c>
      <c r="J369" s="14" t="s">
        <v>23</v>
      </c>
      <c r="K369" s="14" t="s">
        <v>23</v>
      </c>
      <c r="L369" s="5" t="s">
        <v>23</v>
      </c>
      <c r="M369" s="5" t="s">
        <v>23</v>
      </c>
      <c r="N369" s="5" t="s">
        <v>23</v>
      </c>
      <c r="O369" s="15" t="s">
        <v>23</v>
      </c>
      <c r="P369" s="152"/>
      <c r="Q369" s="17" t="e">
        <f t="shared" si="5"/>
        <v>#VALUE!</v>
      </c>
      <c r="S369" s="18"/>
    </row>
    <row r="370" spans="1:19" s="17" customFormat="1" ht="18.95" customHeight="1" outlineLevel="1" x14ac:dyDescent="0.25">
      <c r="A370" s="148"/>
      <c r="B370" s="148"/>
      <c r="C370" s="211"/>
      <c r="D370" s="137">
        <f>$D$340</f>
        <v>43454</v>
      </c>
      <c r="E370" s="137" t="str">
        <f>$E$340</f>
        <v>676-п</v>
      </c>
      <c r="F370" s="12">
        <v>43466</v>
      </c>
      <c r="G370" s="12">
        <v>43646</v>
      </c>
      <c r="H370" s="149"/>
      <c r="I370" s="15" t="s">
        <v>23</v>
      </c>
      <c r="J370" s="14" t="s">
        <v>23</v>
      </c>
      <c r="K370" s="14" t="s">
        <v>23</v>
      </c>
      <c r="L370" s="5" t="s">
        <v>23</v>
      </c>
      <c r="M370" s="5" t="s">
        <v>23</v>
      </c>
      <c r="N370" s="5" t="s">
        <v>23</v>
      </c>
      <c r="O370" s="13">
        <f>$O$340</f>
        <v>2541.8200000000002</v>
      </c>
      <c r="P370" s="139"/>
      <c r="Q370" s="17">
        <f t="shared" si="5"/>
        <v>2118.1833333333334</v>
      </c>
      <c r="S370" s="18"/>
    </row>
    <row r="371" spans="1:19" s="17" customFormat="1" ht="18.95" customHeight="1" outlineLevel="1" x14ac:dyDescent="0.25">
      <c r="A371" s="147"/>
      <c r="B371" s="147"/>
      <c r="C371" s="211"/>
      <c r="D371" s="141"/>
      <c r="E371" s="141"/>
      <c r="F371" s="12">
        <v>43647</v>
      </c>
      <c r="G371" s="12">
        <v>43830</v>
      </c>
      <c r="H371" s="151"/>
      <c r="I371" s="15" t="s">
        <v>23</v>
      </c>
      <c r="J371" s="14" t="s">
        <v>23</v>
      </c>
      <c r="K371" s="14" t="s">
        <v>23</v>
      </c>
      <c r="L371" s="5" t="s">
        <v>23</v>
      </c>
      <c r="M371" s="5" t="s">
        <v>23</v>
      </c>
      <c r="N371" s="5" t="s">
        <v>23</v>
      </c>
      <c r="O371" s="20">
        <f>$O$341</f>
        <v>2541.8200000000002</v>
      </c>
      <c r="P371" s="140"/>
      <c r="Q371" s="17">
        <f t="shared" si="5"/>
        <v>2118.1833333333334</v>
      </c>
      <c r="S371" s="18"/>
    </row>
    <row r="372" spans="1:19" s="17" customFormat="1" ht="18.95" customHeight="1" outlineLevel="1" x14ac:dyDescent="0.25">
      <c r="A372" s="146" t="s">
        <v>243</v>
      </c>
      <c r="B372" s="146" t="s">
        <v>411</v>
      </c>
      <c r="C372" s="211"/>
      <c r="D372" s="176">
        <f>$D$338</f>
        <v>43453</v>
      </c>
      <c r="E372" s="137" t="str">
        <f>$E$338</f>
        <v>452-п</v>
      </c>
      <c r="F372" s="12">
        <v>43466</v>
      </c>
      <c r="G372" s="12">
        <v>43646</v>
      </c>
      <c r="H372" s="155"/>
      <c r="I372" s="13">
        <f>$I$338</f>
        <v>2425.8200000000002</v>
      </c>
      <c r="J372" s="14" t="s">
        <v>23</v>
      </c>
      <c r="K372" s="14" t="s">
        <v>23</v>
      </c>
      <c r="L372" s="5" t="s">
        <v>23</v>
      </c>
      <c r="M372" s="5" t="s">
        <v>23</v>
      </c>
      <c r="N372" s="5" t="s">
        <v>23</v>
      </c>
      <c r="O372" s="15" t="s">
        <v>23</v>
      </c>
      <c r="P372" s="153" t="s">
        <v>396</v>
      </c>
      <c r="Q372" s="17" t="e">
        <f t="shared" si="5"/>
        <v>#VALUE!</v>
      </c>
      <c r="S372" s="18"/>
    </row>
    <row r="373" spans="1:19" s="17" customFormat="1" ht="18.95" customHeight="1" outlineLevel="1" x14ac:dyDescent="0.25">
      <c r="A373" s="148"/>
      <c r="B373" s="148"/>
      <c r="C373" s="211"/>
      <c r="D373" s="177"/>
      <c r="E373" s="141"/>
      <c r="F373" s="12">
        <v>43647</v>
      </c>
      <c r="G373" s="12">
        <v>43830</v>
      </c>
      <c r="H373" s="155"/>
      <c r="I373" s="13">
        <f>$I$339</f>
        <v>2467.52</v>
      </c>
      <c r="J373" s="14" t="s">
        <v>23</v>
      </c>
      <c r="K373" s="14" t="s">
        <v>23</v>
      </c>
      <c r="L373" s="5" t="s">
        <v>23</v>
      </c>
      <c r="M373" s="5" t="s">
        <v>23</v>
      </c>
      <c r="N373" s="5" t="s">
        <v>23</v>
      </c>
      <c r="O373" s="15" t="s">
        <v>23</v>
      </c>
      <c r="P373" s="152"/>
      <c r="Q373" s="17" t="e">
        <f t="shared" si="5"/>
        <v>#VALUE!</v>
      </c>
      <c r="S373" s="18"/>
    </row>
    <row r="374" spans="1:19" s="17" customFormat="1" ht="18.95" customHeight="1" outlineLevel="1" x14ac:dyDescent="0.25">
      <c r="A374" s="148"/>
      <c r="B374" s="148"/>
      <c r="C374" s="211"/>
      <c r="D374" s="137">
        <f>$D$340</f>
        <v>43454</v>
      </c>
      <c r="E374" s="137" t="str">
        <f>$E$340</f>
        <v>676-п</v>
      </c>
      <c r="F374" s="12">
        <v>43466</v>
      </c>
      <c r="G374" s="12">
        <v>43646</v>
      </c>
      <c r="H374" s="149"/>
      <c r="I374" s="15" t="s">
        <v>23</v>
      </c>
      <c r="J374" s="14" t="s">
        <v>23</v>
      </c>
      <c r="K374" s="14" t="s">
        <v>23</v>
      </c>
      <c r="L374" s="5" t="s">
        <v>23</v>
      </c>
      <c r="M374" s="5" t="s">
        <v>23</v>
      </c>
      <c r="N374" s="5" t="s">
        <v>23</v>
      </c>
      <c r="O374" s="13">
        <f>$O$340</f>
        <v>2541.8200000000002</v>
      </c>
      <c r="P374" s="139"/>
      <c r="Q374" s="17">
        <f t="shared" si="5"/>
        <v>2118.1833333333334</v>
      </c>
      <c r="S374" s="18"/>
    </row>
    <row r="375" spans="1:19" s="17" customFormat="1" ht="18.95" customHeight="1" outlineLevel="1" x14ac:dyDescent="0.25">
      <c r="A375" s="147"/>
      <c r="B375" s="147"/>
      <c r="C375" s="211"/>
      <c r="D375" s="141"/>
      <c r="E375" s="141"/>
      <c r="F375" s="12">
        <v>43647</v>
      </c>
      <c r="G375" s="12">
        <v>43830</v>
      </c>
      <c r="H375" s="151"/>
      <c r="I375" s="15" t="s">
        <v>23</v>
      </c>
      <c r="J375" s="14" t="s">
        <v>23</v>
      </c>
      <c r="K375" s="14" t="s">
        <v>23</v>
      </c>
      <c r="L375" s="5" t="s">
        <v>23</v>
      </c>
      <c r="M375" s="5" t="s">
        <v>23</v>
      </c>
      <c r="N375" s="5" t="s">
        <v>23</v>
      </c>
      <c r="O375" s="20">
        <f>$O$341</f>
        <v>2541.8200000000002</v>
      </c>
      <c r="P375" s="140"/>
      <c r="Q375" s="17">
        <f t="shared" si="5"/>
        <v>2118.1833333333334</v>
      </c>
      <c r="S375" s="18"/>
    </row>
    <row r="376" spans="1:19" s="17" customFormat="1" ht="18.95" customHeight="1" outlineLevel="1" x14ac:dyDescent="0.25">
      <c r="A376" s="146" t="s">
        <v>243</v>
      </c>
      <c r="B376" s="146" t="s">
        <v>412</v>
      </c>
      <c r="C376" s="211"/>
      <c r="D376" s="176">
        <f>$D$338</f>
        <v>43453</v>
      </c>
      <c r="E376" s="137" t="str">
        <f>$E$338</f>
        <v>452-п</v>
      </c>
      <c r="F376" s="12">
        <v>43466</v>
      </c>
      <c r="G376" s="12">
        <v>43646</v>
      </c>
      <c r="H376" s="155"/>
      <c r="I376" s="13">
        <f>$I$338</f>
        <v>2425.8200000000002</v>
      </c>
      <c r="J376" s="14" t="s">
        <v>23</v>
      </c>
      <c r="K376" s="14" t="s">
        <v>23</v>
      </c>
      <c r="L376" s="5" t="s">
        <v>23</v>
      </c>
      <c r="M376" s="5" t="s">
        <v>23</v>
      </c>
      <c r="N376" s="5" t="s">
        <v>23</v>
      </c>
      <c r="O376" s="15" t="s">
        <v>23</v>
      </c>
      <c r="P376" s="153" t="s">
        <v>396</v>
      </c>
      <c r="Q376" s="17" t="e">
        <f t="shared" ref="Q376:Q381" si="6">O376/1.2</f>
        <v>#VALUE!</v>
      </c>
      <c r="S376" s="18"/>
    </row>
    <row r="377" spans="1:19" s="17" customFormat="1" ht="18.95" customHeight="1" outlineLevel="1" x14ac:dyDescent="0.25">
      <c r="A377" s="148"/>
      <c r="B377" s="148"/>
      <c r="C377" s="211"/>
      <c r="D377" s="177"/>
      <c r="E377" s="141"/>
      <c r="F377" s="12">
        <v>43647</v>
      </c>
      <c r="G377" s="12">
        <v>43830</v>
      </c>
      <c r="H377" s="155"/>
      <c r="I377" s="13">
        <f>$I$339</f>
        <v>2467.52</v>
      </c>
      <c r="J377" s="14" t="s">
        <v>23</v>
      </c>
      <c r="K377" s="14" t="s">
        <v>23</v>
      </c>
      <c r="L377" s="5" t="s">
        <v>23</v>
      </c>
      <c r="M377" s="5" t="s">
        <v>23</v>
      </c>
      <c r="N377" s="5" t="s">
        <v>23</v>
      </c>
      <c r="O377" s="15" t="s">
        <v>23</v>
      </c>
      <c r="P377" s="152"/>
      <c r="Q377" s="17" t="e">
        <f t="shared" si="6"/>
        <v>#VALUE!</v>
      </c>
      <c r="S377" s="18"/>
    </row>
    <row r="378" spans="1:19" s="17" customFormat="1" ht="18.95" customHeight="1" outlineLevel="1" x14ac:dyDescent="0.25">
      <c r="A378" s="148"/>
      <c r="B378" s="148"/>
      <c r="C378" s="211"/>
      <c r="D378" s="137">
        <f>$D$340</f>
        <v>43454</v>
      </c>
      <c r="E378" s="137" t="str">
        <f>$E$340</f>
        <v>676-п</v>
      </c>
      <c r="F378" s="12">
        <v>43466</v>
      </c>
      <c r="G378" s="12">
        <v>43646</v>
      </c>
      <c r="H378" s="149"/>
      <c r="I378" s="15" t="s">
        <v>23</v>
      </c>
      <c r="J378" s="14" t="s">
        <v>23</v>
      </c>
      <c r="K378" s="14" t="s">
        <v>23</v>
      </c>
      <c r="L378" s="5" t="s">
        <v>23</v>
      </c>
      <c r="M378" s="5" t="s">
        <v>23</v>
      </c>
      <c r="N378" s="5" t="s">
        <v>23</v>
      </c>
      <c r="O378" s="13">
        <f>$O$340</f>
        <v>2541.8200000000002</v>
      </c>
      <c r="P378" s="139"/>
      <c r="Q378" s="17">
        <f t="shared" si="6"/>
        <v>2118.1833333333334</v>
      </c>
      <c r="S378" s="18"/>
    </row>
    <row r="379" spans="1:19" s="17" customFormat="1" ht="18.95" customHeight="1" outlineLevel="1" x14ac:dyDescent="0.25">
      <c r="A379" s="147"/>
      <c r="B379" s="147"/>
      <c r="C379" s="211"/>
      <c r="D379" s="141"/>
      <c r="E379" s="141"/>
      <c r="F379" s="12">
        <v>43647</v>
      </c>
      <c r="G379" s="12">
        <v>43830</v>
      </c>
      <c r="H379" s="151"/>
      <c r="I379" s="15" t="s">
        <v>23</v>
      </c>
      <c r="J379" s="14" t="s">
        <v>23</v>
      </c>
      <c r="K379" s="14" t="s">
        <v>23</v>
      </c>
      <c r="L379" s="5" t="s">
        <v>23</v>
      </c>
      <c r="M379" s="5" t="s">
        <v>23</v>
      </c>
      <c r="N379" s="5" t="s">
        <v>23</v>
      </c>
      <c r="O379" s="20">
        <f>$O$341</f>
        <v>2541.8200000000002</v>
      </c>
      <c r="P379" s="140"/>
      <c r="Q379" s="17">
        <f t="shared" si="6"/>
        <v>2118.1833333333334</v>
      </c>
      <c r="S379" s="18"/>
    </row>
    <row r="380" spans="1:19" s="17" customFormat="1" ht="18.95" customHeight="1" outlineLevel="1" x14ac:dyDescent="0.25">
      <c r="A380" s="146" t="s">
        <v>243</v>
      </c>
      <c r="B380" s="146" t="s">
        <v>413</v>
      </c>
      <c r="C380" s="211"/>
      <c r="D380" s="176">
        <f>$D$338</f>
        <v>43453</v>
      </c>
      <c r="E380" s="137" t="str">
        <f>$E$338</f>
        <v>452-п</v>
      </c>
      <c r="F380" s="12">
        <v>43466</v>
      </c>
      <c r="G380" s="12">
        <v>43646</v>
      </c>
      <c r="H380" s="155"/>
      <c r="I380" s="13">
        <f>$I$338</f>
        <v>2425.8200000000002</v>
      </c>
      <c r="J380" s="14" t="s">
        <v>23</v>
      </c>
      <c r="K380" s="14" t="s">
        <v>23</v>
      </c>
      <c r="L380" s="5" t="s">
        <v>23</v>
      </c>
      <c r="M380" s="5" t="s">
        <v>23</v>
      </c>
      <c r="N380" s="5" t="s">
        <v>23</v>
      </c>
      <c r="O380" s="15" t="s">
        <v>23</v>
      </c>
      <c r="P380" s="153" t="s">
        <v>396</v>
      </c>
      <c r="Q380" s="17" t="e">
        <f t="shared" si="6"/>
        <v>#VALUE!</v>
      </c>
      <c r="S380" s="18"/>
    </row>
    <row r="381" spans="1:19" s="17" customFormat="1" ht="18.95" customHeight="1" outlineLevel="1" x14ac:dyDescent="0.25">
      <c r="A381" s="148"/>
      <c r="B381" s="148"/>
      <c r="C381" s="211"/>
      <c r="D381" s="177"/>
      <c r="E381" s="141"/>
      <c r="F381" s="12">
        <v>43647</v>
      </c>
      <c r="G381" s="12">
        <v>43830</v>
      </c>
      <c r="H381" s="155"/>
      <c r="I381" s="13">
        <f>$I$339</f>
        <v>2467.52</v>
      </c>
      <c r="J381" s="14" t="s">
        <v>23</v>
      </c>
      <c r="K381" s="14" t="s">
        <v>23</v>
      </c>
      <c r="L381" s="5" t="s">
        <v>23</v>
      </c>
      <c r="M381" s="5" t="s">
        <v>23</v>
      </c>
      <c r="N381" s="5" t="s">
        <v>23</v>
      </c>
      <c r="O381" s="15" t="s">
        <v>23</v>
      </c>
      <c r="P381" s="152"/>
      <c r="Q381" s="17" t="e">
        <f t="shared" si="6"/>
        <v>#VALUE!</v>
      </c>
      <c r="S381" s="18"/>
    </row>
    <row r="382" spans="1:19" s="17" customFormat="1" ht="18.95" customHeight="1" outlineLevel="1" x14ac:dyDescent="0.25">
      <c r="A382" s="148"/>
      <c r="B382" s="148"/>
      <c r="C382" s="211"/>
      <c r="D382" s="137">
        <f>$D$340</f>
        <v>43454</v>
      </c>
      <c r="E382" s="137" t="str">
        <f>$E$340</f>
        <v>676-п</v>
      </c>
      <c r="F382" s="12">
        <v>43466</v>
      </c>
      <c r="G382" s="12">
        <v>43646</v>
      </c>
      <c r="H382" s="149"/>
      <c r="I382" s="15" t="s">
        <v>23</v>
      </c>
      <c r="J382" s="14" t="s">
        <v>23</v>
      </c>
      <c r="K382" s="14" t="s">
        <v>23</v>
      </c>
      <c r="L382" s="5" t="s">
        <v>23</v>
      </c>
      <c r="M382" s="5" t="s">
        <v>23</v>
      </c>
      <c r="N382" s="5" t="s">
        <v>23</v>
      </c>
      <c r="O382" s="13">
        <f>$O$340</f>
        <v>2541.8200000000002</v>
      </c>
      <c r="P382" s="139"/>
      <c r="S382" s="18"/>
    </row>
    <row r="383" spans="1:19" s="17" customFormat="1" ht="18.95" customHeight="1" outlineLevel="1" x14ac:dyDescent="0.25">
      <c r="A383" s="147"/>
      <c r="B383" s="147"/>
      <c r="C383" s="211"/>
      <c r="D383" s="141"/>
      <c r="E383" s="141"/>
      <c r="F383" s="12">
        <v>43647</v>
      </c>
      <c r="G383" s="12">
        <v>43830</v>
      </c>
      <c r="H383" s="151"/>
      <c r="I383" s="15" t="s">
        <v>23</v>
      </c>
      <c r="J383" s="14" t="s">
        <v>23</v>
      </c>
      <c r="K383" s="14" t="s">
        <v>23</v>
      </c>
      <c r="L383" s="5" t="s">
        <v>23</v>
      </c>
      <c r="M383" s="5" t="s">
        <v>23</v>
      </c>
      <c r="N383" s="5" t="s">
        <v>23</v>
      </c>
      <c r="O383" s="20">
        <f>$O$341</f>
        <v>2541.8200000000002</v>
      </c>
      <c r="P383" s="140"/>
      <c r="S383" s="18"/>
    </row>
    <row r="384" spans="1:19" s="17" customFormat="1" ht="18.95" customHeight="1" outlineLevel="1" x14ac:dyDescent="0.25">
      <c r="A384" s="146" t="s">
        <v>243</v>
      </c>
      <c r="B384" s="146" t="s">
        <v>414</v>
      </c>
      <c r="C384" s="211"/>
      <c r="D384" s="176">
        <f>$D$338</f>
        <v>43453</v>
      </c>
      <c r="E384" s="137" t="str">
        <f>$E$338</f>
        <v>452-п</v>
      </c>
      <c r="F384" s="12">
        <v>43466</v>
      </c>
      <c r="G384" s="12">
        <v>43646</v>
      </c>
      <c r="H384" s="155"/>
      <c r="I384" s="13">
        <f>$I$338</f>
        <v>2425.8200000000002</v>
      </c>
      <c r="J384" s="14" t="s">
        <v>23</v>
      </c>
      <c r="K384" s="14" t="s">
        <v>23</v>
      </c>
      <c r="L384" s="5" t="s">
        <v>23</v>
      </c>
      <c r="M384" s="5" t="s">
        <v>23</v>
      </c>
      <c r="N384" s="5" t="s">
        <v>23</v>
      </c>
      <c r="O384" s="15" t="s">
        <v>23</v>
      </c>
      <c r="P384" s="153" t="s">
        <v>396</v>
      </c>
      <c r="S384" s="18"/>
    </row>
    <row r="385" spans="1:19" s="17" customFormat="1" ht="18.95" customHeight="1" outlineLevel="1" x14ac:dyDescent="0.25">
      <c r="A385" s="148"/>
      <c r="B385" s="148"/>
      <c r="C385" s="211"/>
      <c r="D385" s="177"/>
      <c r="E385" s="141"/>
      <c r="F385" s="12">
        <v>43647</v>
      </c>
      <c r="G385" s="12">
        <v>43830</v>
      </c>
      <c r="H385" s="155"/>
      <c r="I385" s="13">
        <f>$I$339</f>
        <v>2467.52</v>
      </c>
      <c r="J385" s="14" t="s">
        <v>23</v>
      </c>
      <c r="K385" s="14" t="s">
        <v>23</v>
      </c>
      <c r="L385" s="5" t="s">
        <v>23</v>
      </c>
      <c r="M385" s="5" t="s">
        <v>23</v>
      </c>
      <c r="N385" s="5" t="s">
        <v>23</v>
      </c>
      <c r="O385" s="15" t="s">
        <v>23</v>
      </c>
      <c r="P385" s="152"/>
      <c r="S385" s="18"/>
    </row>
    <row r="386" spans="1:19" s="17" customFormat="1" ht="18.95" customHeight="1" outlineLevel="1" x14ac:dyDescent="0.25">
      <c r="A386" s="148"/>
      <c r="B386" s="148"/>
      <c r="C386" s="211"/>
      <c r="D386" s="137">
        <f>$D$340</f>
        <v>43454</v>
      </c>
      <c r="E386" s="137" t="str">
        <f>$E$340</f>
        <v>676-п</v>
      </c>
      <c r="F386" s="12">
        <v>43466</v>
      </c>
      <c r="G386" s="12">
        <v>43646</v>
      </c>
      <c r="H386" s="149"/>
      <c r="I386" s="15" t="s">
        <v>23</v>
      </c>
      <c r="J386" s="14" t="s">
        <v>23</v>
      </c>
      <c r="K386" s="14" t="s">
        <v>23</v>
      </c>
      <c r="L386" s="5" t="s">
        <v>23</v>
      </c>
      <c r="M386" s="5" t="s">
        <v>23</v>
      </c>
      <c r="N386" s="5" t="s">
        <v>23</v>
      </c>
      <c r="O386" s="13">
        <f>$O$340</f>
        <v>2541.8200000000002</v>
      </c>
      <c r="P386" s="139"/>
      <c r="S386" s="18"/>
    </row>
    <row r="387" spans="1:19" s="17" customFormat="1" ht="18.95" customHeight="1" outlineLevel="1" x14ac:dyDescent="0.25">
      <c r="A387" s="147"/>
      <c r="B387" s="147"/>
      <c r="C387" s="211"/>
      <c r="D387" s="141"/>
      <c r="E387" s="141"/>
      <c r="F387" s="12">
        <v>43647</v>
      </c>
      <c r="G387" s="12">
        <v>43830</v>
      </c>
      <c r="H387" s="151"/>
      <c r="I387" s="15" t="s">
        <v>23</v>
      </c>
      <c r="J387" s="14" t="s">
        <v>23</v>
      </c>
      <c r="K387" s="14" t="s">
        <v>23</v>
      </c>
      <c r="L387" s="5" t="s">
        <v>23</v>
      </c>
      <c r="M387" s="5" t="s">
        <v>23</v>
      </c>
      <c r="N387" s="5" t="s">
        <v>23</v>
      </c>
      <c r="O387" s="20">
        <f>$O$341</f>
        <v>2541.8200000000002</v>
      </c>
      <c r="P387" s="140"/>
      <c r="S387" s="18"/>
    </row>
    <row r="388" spans="1:19" s="17" customFormat="1" ht="18.95" customHeight="1" outlineLevel="1" x14ac:dyDescent="0.25">
      <c r="A388" s="146" t="s">
        <v>243</v>
      </c>
      <c r="B388" s="146" t="s">
        <v>415</v>
      </c>
      <c r="C388" s="211"/>
      <c r="D388" s="176">
        <f>$D$338</f>
        <v>43453</v>
      </c>
      <c r="E388" s="137" t="str">
        <f>$E$338</f>
        <v>452-п</v>
      </c>
      <c r="F388" s="12">
        <v>43466</v>
      </c>
      <c r="G388" s="12">
        <v>43646</v>
      </c>
      <c r="H388" s="155"/>
      <c r="I388" s="13">
        <f>$I$338</f>
        <v>2425.8200000000002</v>
      </c>
      <c r="J388" s="14" t="s">
        <v>23</v>
      </c>
      <c r="K388" s="14" t="s">
        <v>23</v>
      </c>
      <c r="L388" s="5" t="s">
        <v>23</v>
      </c>
      <c r="M388" s="5" t="s">
        <v>23</v>
      </c>
      <c r="N388" s="5" t="s">
        <v>23</v>
      </c>
      <c r="O388" s="15" t="s">
        <v>23</v>
      </c>
      <c r="P388" s="153" t="s">
        <v>396</v>
      </c>
      <c r="S388" s="18"/>
    </row>
    <row r="389" spans="1:19" s="17" customFormat="1" ht="18.95" customHeight="1" outlineLevel="1" x14ac:dyDescent="0.25">
      <c r="A389" s="148"/>
      <c r="B389" s="148"/>
      <c r="C389" s="211"/>
      <c r="D389" s="177"/>
      <c r="E389" s="141"/>
      <c r="F389" s="12">
        <v>43647</v>
      </c>
      <c r="G389" s="12">
        <v>43830</v>
      </c>
      <c r="H389" s="155"/>
      <c r="I389" s="13">
        <f>$I$339</f>
        <v>2467.52</v>
      </c>
      <c r="J389" s="14" t="s">
        <v>23</v>
      </c>
      <c r="K389" s="14" t="s">
        <v>23</v>
      </c>
      <c r="L389" s="5" t="s">
        <v>23</v>
      </c>
      <c r="M389" s="5" t="s">
        <v>23</v>
      </c>
      <c r="N389" s="5" t="s">
        <v>23</v>
      </c>
      <c r="O389" s="15" t="s">
        <v>23</v>
      </c>
      <c r="P389" s="152"/>
      <c r="S389" s="18"/>
    </row>
    <row r="390" spans="1:19" s="17" customFormat="1" ht="18.95" customHeight="1" outlineLevel="1" x14ac:dyDescent="0.25">
      <c r="A390" s="148"/>
      <c r="B390" s="148"/>
      <c r="C390" s="211"/>
      <c r="D390" s="137">
        <f>$D$340</f>
        <v>43454</v>
      </c>
      <c r="E390" s="137" t="str">
        <f>$E$340</f>
        <v>676-п</v>
      </c>
      <c r="F390" s="12">
        <v>43466</v>
      </c>
      <c r="G390" s="12">
        <v>43646</v>
      </c>
      <c r="H390" s="149"/>
      <c r="I390" s="15" t="s">
        <v>23</v>
      </c>
      <c r="J390" s="14" t="s">
        <v>23</v>
      </c>
      <c r="K390" s="14" t="s">
        <v>23</v>
      </c>
      <c r="L390" s="5" t="s">
        <v>23</v>
      </c>
      <c r="M390" s="5" t="s">
        <v>23</v>
      </c>
      <c r="N390" s="5" t="s">
        <v>23</v>
      </c>
      <c r="O390" s="13">
        <f>$O$340</f>
        <v>2541.8200000000002</v>
      </c>
      <c r="P390" s="139"/>
      <c r="S390" s="18"/>
    </row>
    <row r="391" spans="1:19" s="17" customFormat="1" ht="18.95" customHeight="1" outlineLevel="1" x14ac:dyDescent="0.25">
      <c r="A391" s="147"/>
      <c r="B391" s="147"/>
      <c r="C391" s="211"/>
      <c r="D391" s="141"/>
      <c r="E391" s="141"/>
      <c r="F391" s="12">
        <v>43647</v>
      </c>
      <c r="G391" s="12">
        <v>43830</v>
      </c>
      <c r="H391" s="151"/>
      <c r="I391" s="15" t="s">
        <v>23</v>
      </c>
      <c r="J391" s="14" t="s">
        <v>23</v>
      </c>
      <c r="K391" s="14" t="s">
        <v>23</v>
      </c>
      <c r="L391" s="5" t="s">
        <v>23</v>
      </c>
      <c r="M391" s="5" t="s">
        <v>23</v>
      </c>
      <c r="N391" s="5" t="s">
        <v>23</v>
      </c>
      <c r="O391" s="20">
        <f>$O$341</f>
        <v>2541.8200000000002</v>
      </c>
      <c r="P391" s="140"/>
      <c r="S391" s="18"/>
    </row>
    <row r="392" spans="1:19" s="17" customFormat="1" ht="18.95" customHeight="1" outlineLevel="1" x14ac:dyDescent="0.25">
      <c r="A392" s="146" t="s">
        <v>243</v>
      </c>
      <c r="B392" s="146" t="s">
        <v>416</v>
      </c>
      <c r="C392" s="211"/>
      <c r="D392" s="176">
        <f>$D$338</f>
        <v>43453</v>
      </c>
      <c r="E392" s="137" t="str">
        <f>$E$338</f>
        <v>452-п</v>
      </c>
      <c r="F392" s="12">
        <v>43466</v>
      </c>
      <c r="G392" s="12">
        <v>43646</v>
      </c>
      <c r="H392" s="155"/>
      <c r="I392" s="13">
        <f>$I$338</f>
        <v>2425.8200000000002</v>
      </c>
      <c r="J392" s="14" t="s">
        <v>23</v>
      </c>
      <c r="K392" s="14" t="s">
        <v>23</v>
      </c>
      <c r="L392" s="5" t="s">
        <v>23</v>
      </c>
      <c r="M392" s="5" t="s">
        <v>23</v>
      </c>
      <c r="N392" s="5" t="s">
        <v>23</v>
      </c>
      <c r="O392" s="15" t="s">
        <v>23</v>
      </c>
      <c r="P392" s="153" t="s">
        <v>396</v>
      </c>
      <c r="S392" s="18"/>
    </row>
    <row r="393" spans="1:19" s="17" customFormat="1" ht="18.95" customHeight="1" outlineLevel="1" x14ac:dyDescent="0.25">
      <c r="A393" s="148"/>
      <c r="B393" s="148"/>
      <c r="C393" s="211"/>
      <c r="D393" s="177"/>
      <c r="E393" s="141"/>
      <c r="F393" s="12">
        <v>43647</v>
      </c>
      <c r="G393" s="12">
        <v>43830</v>
      </c>
      <c r="H393" s="155"/>
      <c r="I393" s="13">
        <f>$I$339</f>
        <v>2467.52</v>
      </c>
      <c r="J393" s="14" t="s">
        <v>23</v>
      </c>
      <c r="K393" s="14" t="s">
        <v>23</v>
      </c>
      <c r="L393" s="5" t="s">
        <v>23</v>
      </c>
      <c r="M393" s="5" t="s">
        <v>23</v>
      </c>
      <c r="N393" s="5" t="s">
        <v>23</v>
      </c>
      <c r="O393" s="15" t="s">
        <v>23</v>
      </c>
      <c r="P393" s="152"/>
      <c r="S393" s="18"/>
    </row>
    <row r="394" spans="1:19" s="17" customFormat="1" ht="18.95" customHeight="1" outlineLevel="1" x14ac:dyDescent="0.25">
      <c r="A394" s="148"/>
      <c r="B394" s="148"/>
      <c r="C394" s="211"/>
      <c r="D394" s="137">
        <f>$D$340</f>
        <v>43454</v>
      </c>
      <c r="E394" s="137" t="str">
        <f>$E$340</f>
        <v>676-п</v>
      </c>
      <c r="F394" s="12">
        <v>43466</v>
      </c>
      <c r="G394" s="12">
        <v>43646</v>
      </c>
      <c r="H394" s="149"/>
      <c r="I394" s="15" t="s">
        <v>23</v>
      </c>
      <c r="J394" s="14" t="s">
        <v>23</v>
      </c>
      <c r="K394" s="14" t="s">
        <v>23</v>
      </c>
      <c r="L394" s="5" t="s">
        <v>23</v>
      </c>
      <c r="M394" s="5" t="s">
        <v>23</v>
      </c>
      <c r="N394" s="5" t="s">
        <v>23</v>
      </c>
      <c r="O394" s="13">
        <f>$O$340</f>
        <v>2541.8200000000002</v>
      </c>
      <c r="P394" s="139"/>
      <c r="S394" s="18"/>
    </row>
    <row r="395" spans="1:19" s="17" customFormat="1" ht="18.95" customHeight="1" outlineLevel="1" x14ac:dyDescent="0.25">
      <c r="A395" s="147"/>
      <c r="B395" s="147"/>
      <c r="C395" s="211"/>
      <c r="D395" s="141"/>
      <c r="E395" s="141"/>
      <c r="F395" s="12">
        <v>43647</v>
      </c>
      <c r="G395" s="12">
        <v>43830</v>
      </c>
      <c r="H395" s="151"/>
      <c r="I395" s="15" t="s">
        <v>23</v>
      </c>
      <c r="J395" s="14" t="s">
        <v>23</v>
      </c>
      <c r="K395" s="14" t="s">
        <v>23</v>
      </c>
      <c r="L395" s="5" t="s">
        <v>23</v>
      </c>
      <c r="M395" s="5" t="s">
        <v>23</v>
      </c>
      <c r="N395" s="5" t="s">
        <v>23</v>
      </c>
      <c r="O395" s="20">
        <f>$O$341</f>
        <v>2541.8200000000002</v>
      </c>
      <c r="P395" s="140"/>
      <c r="S395" s="18"/>
    </row>
    <row r="396" spans="1:19" s="17" customFormat="1" ht="18.95" customHeight="1" outlineLevel="1" x14ac:dyDescent="0.25">
      <c r="A396" s="146" t="s">
        <v>243</v>
      </c>
      <c r="B396" s="146" t="s">
        <v>417</v>
      </c>
      <c r="C396" s="211"/>
      <c r="D396" s="176">
        <f>$D$338</f>
        <v>43453</v>
      </c>
      <c r="E396" s="137" t="str">
        <f>$E$338</f>
        <v>452-п</v>
      </c>
      <c r="F396" s="12">
        <v>43466</v>
      </c>
      <c r="G396" s="12">
        <v>43646</v>
      </c>
      <c r="H396" s="155"/>
      <c r="I396" s="13">
        <f>$I$338</f>
        <v>2425.8200000000002</v>
      </c>
      <c r="J396" s="14" t="s">
        <v>23</v>
      </c>
      <c r="K396" s="14" t="s">
        <v>23</v>
      </c>
      <c r="L396" s="5" t="s">
        <v>23</v>
      </c>
      <c r="M396" s="5" t="s">
        <v>23</v>
      </c>
      <c r="N396" s="5" t="s">
        <v>23</v>
      </c>
      <c r="O396" s="15" t="s">
        <v>23</v>
      </c>
      <c r="P396" s="153" t="s">
        <v>396</v>
      </c>
      <c r="S396" s="18"/>
    </row>
    <row r="397" spans="1:19" s="17" customFormat="1" ht="18.95" customHeight="1" outlineLevel="1" x14ac:dyDescent="0.25">
      <c r="A397" s="148"/>
      <c r="B397" s="148"/>
      <c r="C397" s="211"/>
      <c r="D397" s="177"/>
      <c r="E397" s="141"/>
      <c r="F397" s="12">
        <v>43647</v>
      </c>
      <c r="G397" s="12">
        <v>43830</v>
      </c>
      <c r="H397" s="155"/>
      <c r="I397" s="13">
        <f>$I$339</f>
        <v>2467.52</v>
      </c>
      <c r="J397" s="14" t="s">
        <v>23</v>
      </c>
      <c r="K397" s="14" t="s">
        <v>23</v>
      </c>
      <c r="L397" s="5" t="s">
        <v>23</v>
      </c>
      <c r="M397" s="5" t="s">
        <v>23</v>
      </c>
      <c r="N397" s="5" t="s">
        <v>23</v>
      </c>
      <c r="O397" s="15" t="s">
        <v>23</v>
      </c>
      <c r="P397" s="152"/>
      <c r="S397" s="18"/>
    </row>
    <row r="398" spans="1:19" s="17" customFormat="1" ht="18.95" customHeight="1" outlineLevel="1" x14ac:dyDescent="0.25">
      <c r="A398" s="148"/>
      <c r="B398" s="148"/>
      <c r="C398" s="211"/>
      <c r="D398" s="137">
        <f>$D$340</f>
        <v>43454</v>
      </c>
      <c r="E398" s="137" t="str">
        <f>$E$340</f>
        <v>676-п</v>
      </c>
      <c r="F398" s="12">
        <v>43466</v>
      </c>
      <c r="G398" s="12">
        <v>43646</v>
      </c>
      <c r="H398" s="149"/>
      <c r="I398" s="15" t="s">
        <v>23</v>
      </c>
      <c r="J398" s="14" t="s">
        <v>23</v>
      </c>
      <c r="K398" s="14" t="s">
        <v>23</v>
      </c>
      <c r="L398" s="5" t="s">
        <v>23</v>
      </c>
      <c r="M398" s="5" t="s">
        <v>23</v>
      </c>
      <c r="N398" s="5" t="s">
        <v>23</v>
      </c>
      <c r="O398" s="13">
        <f>$O$340</f>
        <v>2541.8200000000002</v>
      </c>
      <c r="P398" s="139"/>
      <c r="S398" s="18"/>
    </row>
    <row r="399" spans="1:19" s="17" customFormat="1" ht="18.95" customHeight="1" outlineLevel="1" x14ac:dyDescent="0.25">
      <c r="A399" s="147"/>
      <c r="B399" s="147"/>
      <c r="C399" s="211"/>
      <c r="D399" s="141"/>
      <c r="E399" s="141"/>
      <c r="F399" s="12">
        <v>43647</v>
      </c>
      <c r="G399" s="12">
        <v>43830</v>
      </c>
      <c r="H399" s="151"/>
      <c r="I399" s="15" t="s">
        <v>23</v>
      </c>
      <c r="J399" s="14" t="s">
        <v>23</v>
      </c>
      <c r="K399" s="14" t="s">
        <v>23</v>
      </c>
      <c r="L399" s="5" t="s">
        <v>23</v>
      </c>
      <c r="M399" s="5" t="s">
        <v>23</v>
      </c>
      <c r="N399" s="5" t="s">
        <v>23</v>
      </c>
      <c r="O399" s="20">
        <f>$O$341</f>
        <v>2541.8200000000002</v>
      </c>
      <c r="P399" s="140"/>
      <c r="S399" s="18"/>
    </row>
    <row r="400" spans="1:19" s="17" customFormat="1" ht="18.95" customHeight="1" outlineLevel="1" x14ac:dyDescent="0.25">
      <c r="A400" s="146" t="s">
        <v>243</v>
      </c>
      <c r="B400" s="146" t="s">
        <v>418</v>
      </c>
      <c r="C400" s="211"/>
      <c r="D400" s="176">
        <f>$D$338</f>
        <v>43453</v>
      </c>
      <c r="E400" s="137" t="str">
        <f>$E$338</f>
        <v>452-п</v>
      </c>
      <c r="F400" s="12">
        <v>43466</v>
      </c>
      <c r="G400" s="12">
        <v>43646</v>
      </c>
      <c r="H400" s="155"/>
      <c r="I400" s="13">
        <f>$I$338</f>
        <v>2425.8200000000002</v>
      </c>
      <c r="J400" s="14" t="s">
        <v>23</v>
      </c>
      <c r="K400" s="14" t="s">
        <v>23</v>
      </c>
      <c r="L400" s="5" t="s">
        <v>23</v>
      </c>
      <c r="M400" s="5" t="s">
        <v>23</v>
      </c>
      <c r="N400" s="5" t="s">
        <v>23</v>
      </c>
      <c r="O400" s="15" t="s">
        <v>23</v>
      </c>
      <c r="P400" s="153" t="s">
        <v>396</v>
      </c>
      <c r="S400" s="18"/>
    </row>
    <row r="401" spans="1:19" s="17" customFormat="1" ht="18.95" customHeight="1" outlineLevel="1" x14ac:dyDescent="0.25">
      <c r="A401" s="148"/>
      <c r="B401" s="148"/>
      <c r="C401" s="211"/>
      <c r="D401" s="177"/>
      <c r="E401" s="141"/>
      <c r="F401" s="12">
        <v>43647</v>
      </c>
      <c r="G401" s="12">
        <v>43830</v>
      </c>
      <c r="H401" s="155"/>
      <c r="I401" s="13">
        <f>$I$339</f>
        <v>2467.52</v>
      </c>
      <c r="J401" s="14" t="s">
        <v>23</v>
      </c>
      <c r="K401" s="14" t="s">
        <v>23</v>
      </c>
      <c r="L401" s="5" t="s">
        <v>23</v>
      </c>
      <c r="M401" s="5" t="s">
        <v>23</v>
      </c>
      <c r="N401" s="5" t="s">
        <v>23</v>
      </c>
      <c r="O401" s="15" t="s">
        <v>23</v>
      </c>
      <c r="P401" s="152"/>
      <c r="S401" s="18"/>
    </row>
    <row r="402" spans="1:19" s="17" customFormat="1" ht="18.95" customHeight="1" outlineLevel="1" x14ac:dyDescent="0.25">
      <c r="A402" s="148"/>
      <c r="B402" s="148"/>
      <c r="C402" s="211"/>
      <c r="D402" s="137">
        <f>$D$340</f>
        <v>43454</v>
      </c>
      <c r="E402" s="137" t="str">
        <f>$E$340</f>
        <v>676-п</v>
      </c>
      <c r="F402" s="12">
        <v>43466</v>
      </c>
      <c r="G402" s="12">
        <v>43646</v>
      </c>
      <c r="H402" s="149"/>
      <c r="I402" s="15" t="s">
        <v>23</v>
      </c>
      <c r="J402" s="14" t="s">
        <v>23</v>
      </c>
      <c r="K402" s="14" t="s">
        <v>23</v>
      </c>
      <c r="L402" s="5" t="s">
        <v>23</v>
      </c>
      <c r="M402" s="5" t="s">
        <v>23</v>
      </c>
      <c r="N402" s="5" t="s">
        <v>23</v>
      </c>
      <c r="O402" s="13">
        <f>$O$340</f>
        <v>2541.8200000000002</v>
      </c>
      <c r="P402" s="139"/>
      <c r="S402" s="18"/>
    </row>
    <row r="403" spans="1:19" s="17" customFormat="1" ht="18.95" customHeight="1" outlineLevel="1" x14ac:dyDescent="0.25">
      <c r="A403" s="147"/>
      <c r="B403" s="147"/>
      <c r="C403" s="212"/>
      <c r="D403" s="141"/>
      <c r="E403" s="141"/>
      <c r="F403" s="12">
        <v>43647</v>
      </c>
      <c r="G403" s="12">
        <v>43830</v>
      </c>
      <c r="H403" s="151"/>
      <c r="I403" s="15" t="s">
        <v>23</v>
      </c>
      <c r="J403" s="14" t="s">
        <v>23</v>
      </c>
      <c r="K403" s="14" t="s">
        <v>23</v>
      </c>
      <c r="L403" s="5" t="s">
        <v>23</v>
      </c>
      <c r="M403" s="5" t="s">
        <v>23</v>
      </c>
      <c r="N403" s="5" t="s">
        <v>23</v>
      </c>
      <c r="O403" s="20">
        <f>$O$341</f>
        <v>2541.8200000000002</v>
      </c>
      <c r="P403" s="140"/>
      <c r="S403" s="18"/>
    </row>
    <row r="404" spans="1:19" s="17" customFormat="1" ht="18.95" customHeight="1" outlineLevel="1" x14ac:dyDescent="0.25">
      <c r="A404" s="6">
        <v>4</v>
      </c>
      <c r="B404" s="6" t="s">
        <v>148</v>
      </c>
      <c r="C404" s="7"/>
      <c r="D404" s="7"/>
      <c r="E404" s="7"/>
      <c r="F404" s="7"/>
      <c r="G404" s="7"/>
      <c r="H404" s="7"/>
      <c r="I404" s="8"/>
      <c r="J404" s="31" t="s">
        <v>23</v>
      </c>
      <c r="K404" s="31" t="s">
        <v>23</v>
      </c>
      <c r="L404" s="32" t="s">
        <v>23</v>
      </c>
      <c r="M404" s="32" t="s">
        <v>23</v>
      </c>
      <c r="N404" s="32" t="s">
        <v>23</v>
      </c>
      <c r="O404" s="8"/>
      <c r="P404" s="9"/>
      <c r="S404" s="18"/>
    </row>
    <row r="405" spans="1:19" s="17" customFormat="1" ht="18.95" customHeight="1" outlineLevel="1" x14ac:dyDescent="0.25">
      <c r="A405" s="146" t="s">
        <v>65</v>
      </c>
      <c r="B405" s="146" t="s">
        <v>169</v>
      </c>
      <c r="C405" s="146" t="s">
        <v>188</v>
      </c>
      <c r="D405" s="137">
        <v>43454</v>
      </c>
      <c r="E405" s="137" t="s">
        <v>783</v>
      </c>
      <c r="F405" s="12">
        <v>43466</v>
      </c>
      <c r="G405" s="12">
        <v>43646</v>
      </c>
      <c r="H405" s="149"/>
      <c r="I405" s="40">
        <v>694.92</v>
      </c>
      <c r="J405" s="14" t="s">
        <v>23</v>
      </c>
      <c r="K405" s="14" t="s">
        <v>23</v>
      </c>
      <c r="L405" s="5" t="s">
        <v>23</v>
      </c>
      <c r="M405" s="5" t="s">
        <v>23</v>
      </c>
      <c r="N405" s="5" t="s">
        <v>23</v>
      </c>
      <c r="O405" s="15" t="s">
        <v>85</v>
      </c>
      <c r="P405" s="153"/>
      <c r="S405" s="18"/>
    </row>
    <row r="406" spans="1:19" s="17" customFormat="1" ht="18.95" customHeight="1" outlineLevel="1" x14ac:dyDescent="0.25">
      <c r="A406" s="147"/>
      <c r="B406" s="147"/>
      <c r="C406" s="147"/>
      <c r="D406" s="141"/>
      <c r="E406" s="141"/>
      <c r="F406" s="12">
        <v>43647</v>
      </c>
      <c r="G406" s="12">
        <v>43830</v>
      </c>
      <c r="H406" s="151"/>
      <c r="I406" s="40">
        <v>729.53</v>
      </c>
      <c r="J406" s="14" t="s">
        <v>23</v>
      </c>
      <c r="K406" s="14" t="s">
        <v>23</v>
      </c>
      <c r="L406" s="5" t="s">
        <v>23</v>
      </c>
      <c r="M406" s="5" t="s">
        <v>23</v>
      </c>
      <c r="N406" s="5" t="s">
        <v>23</v>
      </c>
      <c r="O406" s="15" t="s">
        <v>85</v>
      </c>
      <c r="P406" s="152"/>
      <c r="S406" s="18"/>
    </row>
    <row r="407" spans="1:19" s="17" customFormat="1" ht="18.95" customHeight="1" outlineLevel="1" x14ac:dyDescent="0.25">
      <c r="A407" s="146" t="s">
        <v>65</v>
      </c>
      <c r="B407" s="146" t="s">
        <v>176</v>
      </c>
      <c r="C407" s="184" t="s">
        <v>362</v>
      </c>
      <c r="D407" s="137">
        <v>42720</v>
      </c>
      <c r="E407" s="137" t="s">
        <v>784</v>
      </c>
      <c r="F407" s="12">
        <v>43466</v>
      </c>
      <c r="G407" s="12">
        <v>43646</v>
      </c>
      <c r="H407" s="149" t="s">
        <v>785</v>
      </c>
      <c r="I407" s="40" t="s">
        <v>786</v>
      </c>
      <c r="J407" s="14" t="s">
        <v>23</v>
      </c>
      <c r="K407" s="14" t="s">
        <v>23</v>
      </c>
      <c r="L407" s="5" t="s">
        <v>23</v>
      </c>
      <c r="M407" s="5" t="s">
        <v>23</v>
      </c>
      <c r="N407" s="5" t="s">
        <v>23</v>
      </c>
      <c r="O407" s="15" t="s">
        <v>85</v>
      </c>
      <c r="P407" s="144" t="s">
        <v>381</v>
      </c>
      <c r="S407" s="18"/>
    </row>
    <row r="408" spans="1:19" s="17" customFormat="1" ht="18.95" customHeight="1" outlineLevel="1" x14ac:dyDescent="0.25">
      <c r="A408" s="148"/>
      <c r="B408" s="148"/>
      <c r="C408" s="185"/>
      <c r="D408" s="141"/>
      <c r="E408" s="141"/>
      <c r="F408" s="12">
        <v>43647</v>
      </c>
      <c r="G408" s="12">
        <v>43830</v>
      </c>
      <c r="H408" s="151"/>
      <c r="I408" s="40" t="s">
        <v>787</v>
      </c>
      <c r="J408" s="14" t="s">
        <v>23</v>
      </c>
      <c r="K408" s="14" t="s">
        <v>23</v>
      </c>
      <c r="L408" s="5" t="s">
        <v>23</v>
      </c>
      <c r="M408" s="5" t="s">
        <v>23</v>
      </c>
      <c r="N408" s="5" t="s">
        <v>23</v>
      </c>
      <c r="O408" s="15" t="s">
        <v>85</v>
      </c>
      <c r="P408" s="145"/>
      <c r="S408" s="18"/>
    </row>
    <row r="409" spans="1:19" s="17" customFormat="1" ht="18.95" customHeight="1" outlineLevel="1" x14ac:dyDescent="0.25">
      <c r="A409" s="148"/>
      <c r="B409" s="148"/>
      <c r="C409" s="185"/>
      <c r="D409" s="137">
        <v>43454</v>
      </c>
      <c r="E409" s="137" t="s">
        <v>740</v>
      </c>
      <c r="F409" s="12">
        <v>43466</v>
      </c>
      <c r="G409" s="12">
        <v>43646</v>
      </c>
      <c r="H409" s="146"/>
      <c r="I409" s="26">
        <v>1696.83</v>
      </c>
      <c r="J409" s="14" t="s">
        <v>23</v>
      </c>
      <c r="K409" s="14" t="s">
        <v>23</v>
      </c>
      <c r="L409" s="5" t="s">
        <v>23</v>
      </c>
      <c r="M409" s="5" t="s">
        <v>23</v>
      </c>
      <c r="N409" s="5" t="s">
        <v>23</v>
      </c>
      <c r="O409" s="4" t="s">
        <v>23</v>
      </c>
      <c r="P409" s="153" t="s">
        <v>380</v>
      </c>
      <c r="S409" s="18"/>
    </row>
    <row r="410" spans="1:19" s="17" customFormat="1" ht="18.95" customHeight="1" outlineLevel="1" x14ac:dyDescent="0.25">
      <c r="A410" s="148"/>
      <c r="B410" s="148"/>
      <c r="C410" s="185"/>
      <c r="D410" s="141"/>
      <c r="E410" s="141"/>
      <c r="F410" s="12">
        <v>43647</v>
      </c>
      <c r="G410" s="12">
        <v>43830</v>
      </c>
      <c r="H410" s="147"/>
      <c r="I410" s="26">
        <v>1732.58</v>
      </c>
      <c r="J410" s="14" t="s">
        <v>23</v>
      </c>
      <c r="K410" s="14" t="s">
        <v>23</v>
      </c>
      <c r="L410" s="5" t="s">
        <v>23</v>
      </c>
      <c r="M410" s="5" t="s">
        <v>23</v>
      </c>
      <c r="N410" s="5" t="s">
        <v>23</v>
      </c>
      <c r="O410" s="4" t="s">
        <v>23</v>
      </c>
      <c r="P410" s="152"/>
      <c r="S410" s="18"/>
    </row>
    <row r="411" spans="1:19" s="17" customFormat="1" ht="18.95" customHeight="1" outlineLevel="1" x14ac:dyDescent="0.25">
      <c r="A411" s="148"/>
      <c r="B411" s="148"/>
      <c r="C411" s="185"/>
      <c r="D411" s="137">
        <v>43454</v>
      </c>
      <c r="E411" s="137" t="s">
        <v>642</v>
      </c>
      <c r="F411" s="12">
        <v>43466</v>
      </c>
      <c r="G411" s="12">
        <v>43646</v>
      </c>
      <c r="H411" s="149"/>
      <c r="I411" s="15" t="s">
        <v>23</v>
      </c>
      <c r="J411" s="14" t="s">
        <v>23</v>
      </c>
      <c r="K411" s="14" t="s">
        <v>23</v>
      </c>
      <c r="L411" s="5" t="s">
        <v>23</v>
      </c>
      <c r="M411" s="5" t="s">
        <v>23</v>
      </c>
      <c r="N411" s="5" t="s">
        <v>23</v>
      </c>
      <c r="O411" s="13">
        <v>1864.91</v>
      </c>
      <c r="P411" s="144" t="s">
        <v>444</v>
      </c>
      <c r="S411" s="18"/>
    </row>
    <row r="412" spans="1:19" s="17" customFormat="1" ht="18.95" customHeight="1" outlineLevel="1" x14ac:dyDescent="0.25">
      <c r="A412" s="148"/>
      <c r="B412" s="148"/>
      <c r="C412" s="185"/>
      <c r="D412" s="138"/>
      <c r="E412" s="138"/>
      <c r="F412" s="12">
        <v>43647</v>
      </c>
      <c r="G412" s="12">
        <v>43830</v>
      </c>
      <c r="H412" s="150"/>
      <c r="I412" s="15" t="s">
        <v>23</v>
      </c>
      <c r="J412" s="14" t="s">
        <v>23</v>
      </c>
      <c r="K412" s="14" t="s">
        <v>23</v>
      </c>
      <c r="L412" s="5" t="s">
        <v>23</v>
      </c>
      <c r="M412" s="5" t="s">
        <v>23</v>
      </c>
      <c r="N412" s="5" t="s">
        <v>23</v>
      </c>
      <c r="O412" s="13">
        <v>1902.21</v>
      </c>
      <c r="P412" s="145"/>
      <c r="S412" s="18"/>
    </row>
    <row r="413" spans="1:19" s="17" customFormat="1" ht="18.95" customHeight="1" outlineLevel="1" x14ac:dyDescent="0.25">
      <c r="A413" s="148"/>
      <c r="B413" s="148"/>
      <c r="C413" s="185"/>
      <c r="D413" s="138"/>
      <c r="E413" s="138"/>
      <c r="F413" s="12">
        <v>43466</v>
      </c>
      <c r="G413" s="12">
        <v>43646</v>
      </c>
      <c r="H413" s="150"/>
      <c r="I413" s="15" t="s">
        <v>23</v>
      </c>
      <c r="J413" s="14" t="s">
        <v>23</v>
      </c>
      <c r="K413" s="14" t="s">
        <v>23</v>
      </c>
      <c r="L413" s="5" t="s">
        <v>23</v>
      </c>
      <c r="M413" s="5" t="s">
        <v>23</v>
      </c>
      <c r="N413" s="5" t="s">
        <v>23</v>
      </c>
      <c r="O413" s="13">
        <v>1243.18</v>
      </c>
      <c r="P413" s="144" t="s">
        <v>446</v>
      </c>
      <c r="S413" s="18"/>
    </row>
    <row r="414" spans="1:19" s="17" customFormat="1" ht="18.95" customHeight="1" outlineLevel="1" x14ac:dyDescent="0.25">
      <c r="A414" s="147"/>
      <c r="B414" s="147"/>
      <c r="C414" s="186"/>
      <c r="D414" s="141"/>
      <c r="E414" s="141"/>
      <c r="F414" s="12">
        <v>43647</v>
      </c>
      <c r="G414" s="12">
        <v>43830</v>
      </c>
      <c r="H414" s="151"/>
      <c r="I414" s="15" t="s">
        <v>23</v>
      </c>
      <c r="J414" s="14" t="s">
        <v>23</v>
      </c>
      <c r="K414" s="14" t="s">
        <v>23</v>
      </c>
      <c r="L414" s="5" t="s">
        <v>23</v>
      </c>
      <c r="M414" s="5" t="s">
        <v>23</v>
      </c>
      <c r="N414" s="5" t="s">
        <v>23</v>
      </c>
      <c r="O414" s="13">
        <v>1268.04</v>
      </c>
      <c r="P414" s="145"/>
      <c r="S414" s="18"/>
    </row>
    <row r="415" spans="1:19" s="17" customFormat="1" ht="18.95" customHeight="1" outlineLevel="1" x14ac:dyDescent="0.25">
      <c r="A415" s="146" t="s">
        <v>65</v>
      </c>
      <c r="B415" s="146" t="s">
        <v>406</v>
      </c>
      <c r="C415" s="146" t="s">
        <v>162</v>
      </c>
      <c r="D415" s="137">
        <v>42723</v>
      </c>
      <c r="E415" s="178" t="s">
        <v>643</v>
      </c>
      <c r="F415" s="12">
        <v>43466</v>
      </c>
      <c r="G415" s="12">
        <v>43646</v>
      </c>
      <c r="H415" s="142" t="s">
        <v>644</v>
      </c>
      <c r="I415" s="26">
        <v>2501.2800000000002</v>
      </c>
      <c r="J415" s="14" t="s">
        <v>23</v>
      </c>
      <c r="K415" s="14" t="s">
        <v>23</v>
      </c>
      <c r="L415" s="5" t="s">
        <v>23</v>
      </c>
      <c r="M415" s="5" t="s">
        <v>23</v>
      </c>
      <c r="N415" s="5" t="s">
        <v>23</v>
      </c>
      <c r="O415" s="4" t="s">
        <v>23</v>
      </c>
      <c r="P415" s="153"/>
      <c r="Q415" s="17" t="e">
        <f t="shared" ref="Q415:Q460" si="7">O415/1.2</f>
        <v>#VALUE!</v>
      </c>
      <c r="S415" s="18"/>
    </row>
    <row r="416" spans="1:19" s="17" customFormat="1" ht="18.95" customHeight="1" outlineLevel="1" x14ac:dyDescent="0.25">
      <c r="A416" s="148"/>
      <c r="B416" s="148"/>
      <c r="C416" s="148"/>
      <c r="D416" s="141"/>
      <c r="E416" s="179"/>
      <c r="F416" s="12">
        <v>43647</v>
      </c>
      <c r="G416" s="12">
        <v>43830</v>
      </c>
      <c r="H416" s="143"/>
      <c r="I416" s="26">
        <v>2600.1999999999998</v>
      </c>
      <c r="J416" s="14" t="s">
        <v>23</v>
      </c>
      <c r="K416" s="14" t="s">
        <v>23</v>
      </c>
      <c r="L416" s="5" t="s">
        <v>23</v>
      </c>
      <c r="M416" s="5" t="s">
        <v>23</v>
      </c>
      <c r="N416" s="5" t="s">
        <v>23</v>
      </c>
      <c r="O416" s="4" t="s">
        <v>23</v>
      </c>
      <c r="P416" s="152"/>
      <c r="Q416" s="17" t="e">
        <f t="shared" si="7"/>
        <v>#VALUE!</v>
      </c>
      <c r="S416" s="18"/>
    </row>
    <row r="417" spans="1:19" s="17" customFormat="1" ht="18.95" customHeight="1" outlineLevel="1" x14ac:dyDescent="0.25">
      <c r="A417" s="148"/>
      <c r="B417" s="148"/>
      <c r="C417" s="148"/>
      <c r="D417" s="137">
        <v>43454</v>
      </c>
      <c r="E417" s="137" t="s">
        <v>642</v>
      </c>
      <c r="F417" s="12">
        <v>43466</v>
      </c>
      <c r="G417" s="12">
        <v>43646</v>
      </c>
      <c r="H417" s="149"/>
      <c r="I417" s="15" t="s">
        <v>23</v>
      </c>
      <c r="J417" s="14" t="s">
        <v>23</v>
      </c>
      <c r="K417" s="14" t="s">
        <v>23</v>
      </c>
      <c r="L417" s="5" t="s">
        <v>23</v>
      </c>
      <c r="M417" s="5" t="s">
        <v>23</v>
      </c>
      <c r="N417" s="5" t="s">
        <v>23</v>
      </c>
      <c r="O417" s="13">
        <v>2284.35</v>
      </c>
      <c r="P417" s="153"/>
      <c r="Q417" s="17">
        <f t="shared" si="7"/>
        <v>1903.625</v>
      </c>
      <c r="R417" s="67">
        <f>I415-Q417</f>
        <v>597.6550000000002</v>
      </c>
      <c r="S417" s="18">
        <f>R417*317.428</f>
        <v>189712.43134000007</v>
      </c>
    </row>
    <row r="418" spans="1:19" s="17" customFormat="1" ht="18.95" customHeight="1" outlineLevel="1" x14ac:dyDescent="0.25">
      <c r="A418" s="147"/>
      <c r="B418" s="147"/>
      <c r="C418" s="148"/>
      <c r="D418" s="141"/>
      <c r="E418" s="141"/>
      <c r="F418" s="12">
        <v>43647</v>
      </c>
      <c r="G418" s="12">
        <v>43830</v>
      </c>
      <c r="H418" s="151"/>
      <c r="I418" s="15" t="s">
        <v>23</v>
      </c>
      <c r="J418" s="14" t="s">
        <v>23</v>
      </c>
      <c r="K418" s="14" t="s">
        <v>23</v>
      </c>
      <c r="L418" s="5" t="s">
        <v>23</v>
      </c>
      <c r="M418" s="5" t="s">
        <v>23</v>
      </c>
      <c r="N418" s="5" t="s">
        <v>23</v>
      </c>
      <c r="O418" s="13">
        <v>2330.04</v>
      </c>
      <c r="P418" s="152"/>
      <c r="Q418" s="17">
        <f t="shared" si="7"/>
        <v>1941.7</v>
      </c>
      <c r="S418" s="18"/>
    </row>
    <row r="419" spans="1:19" s="17" customFormat="1" ht="18.95" customHeight="1" outlineLevel="1" x14ac:dyDescent="0.25">
      <c r="A419" s="146" t="s">
        <v>65</v>
      </c>
      <c r="B419" s="146" t="s">
        <v>405</v>
      </c>
      <c r="C419" s="148"/>
      <c r="D419" s="137">
        <v>42723</v>
      </c>
      <c r="E419" s="178" t="s">
        <v>643</v>
      </c>
      <c r="F419" s="12">
        <v>43466</v>
      </c>
      <c r="G419" s="12">
        <v>43646</v>
      </c>
      <c r="H419" s="142" t="s">
        <v>644</v>
      </c>
      <c r="I419" s="26">
        <v>2501.2800000000002</v>
      </c>
      <c r="J419" s="14" t="s">
        <v>23</v>
      </c>
      <c r="K419" s="14" t="s">
        <v>23</v>
      </c>
      <c r="L419" s="5" t="s">
        <v>23</v>
      </c>
      <c r="M419" s="5" t="s">
        <v>23</v>
      </c>
      <c r="N419" s="5" t="s">
        <v>23</v>
      </c>
      <c r="O419" s="4" t="s">
        <v>23</v>
      </c>
      <c r="P419" s="153"/>
      <c r="Q419" s="17" t="e">
        <f t="shared" si="7"/>
        <v>#VALUE!</v>
      </c>
      <c r="S419" s="18"/>
    </row>
    <row r="420" spans="1:19" s="17" customFormat="1" ht="18.95" customHeight="1" outlineLevel="1" x14ac:dyDescent="0.25">
      <c r="A420" s="148"/>
      <c r="B420" s="148"/>
      <c r="C420" s="148"/>
      <c r="D420" s="141"/>
      <c r="E420" s="179"/>
      <c r="F420" s="12">
        <v>43647</v>
      </c>
      <c r="G420" s="12">
        <v>43830</v>
      </c>
      <c r="H420" s="143"/>
      <c r="I420" s="26">
        <v>2600.1999999999998</v>
      </c>
      <c r="J420" s="14" t="s">
        <v>23</v>
      </c>
      <c r="K420" s="14" t="s">
        <v>23</v>
      </c>
      <c r="L420" s="5" t="s">
        <v>23</v>
      </c>
      <c r="M420" s="5" t="s">
        <v>23</v>
      </c>
      <c r="N420" s="5" t="s">
        <v>23</v>
      </c>
      <c r="O420" s="4" t="s">
        <v>23</v>
      </c>
      <c r="P420" s="152"/>
      <c r="Q420" s="17" t="e">
        <f t="shared" si="7"/>
        <v>#VALUE!</v>
      </c>
      <c r="S420" s="18"/>
    </row>
    <row r="421" spans="1:19" s="17" customFormat="1" ht="18.95" customHeight="1" outlineLevel="1" x14ac:dyDescent="0.25">
      <c r="A421" s="148"/>
      <c r="B421" s="148"/>
      <c r="C421" s="148"/>
      <c r="D421" s="137">
        <v>43454</v>
      </c>
      <c r="E421" s="137" t="s">
        <v>642</v>
      </c>
      <c r="F421" s="12">
        <v>43466</v>
      </c>
      <c r="G421" s="12">
        <v>43646</v>
      </c>
      <c r="H421" s="149"/>
      <c r="I421" s="15" t="s">
        <v>23</v>
      </c>
      <c r="J421" s="14" t="s">
        <v>23</v>
      </c>
      <c r="K421" s="14" t="s">
        <v>23</v>
      </c>
      <c r="L421" s="5" t="s">
        <v>23</v>
      </c>
      <c r="M421" s="5" t="s">
        <v>23</v>
      </c>
      <c r="N421" s="5" t="s">
        <v>23</v>
      </c>
      <c r="O421" s="13">
        <v>2284.35</v>
      </c>
      <c r="P421" s="153"/>
      <c r="Q421" s="17">
        <f t="shared" si="7"/>
        <v>1903.625</v>
      </c>
      <c r="R421" s="67">
        <f>I419-Q421</f>
        <v>597.6550000000002</v>
      </c>
      <c r="S421" s="18">
        <f>R421*337.428</f>
        <v>201665.53134000007</v>
      </c>
    </row>
    <row r="422" spans="1:19" s="17" customFormat="1" ht="18.95" customHeight="1" outlineLevel="1" x14ac:dyDescent="0.25">
      <c r="A422" s="147"/>
      <c r="B422" s="147"/>
      <c r="C422" s="148"/>
      <c r="D422" s="141"/>
      <c r="E422" s="141"/>
      <c r="F422" s="12">
        <v>43647</v>
      </c>
      <c r="G422" s="12">
        <v>43830</v>
      </c>
      <c r="H422" s="151"/>
      <c r="I422" s="15" t="s">
        <v>23</v>
      </c>
      <c r="J422" s="14" t="s">
        <v>23</v>
      </c>
      <c r="K422" s="14" t="s">
        <v>23</v>
      </c>
      <c r="L422" s="5" t="s">
        <v>23</v>
      </c>
      <c r="M422" s="5" t="s">
        <v>23</v>
      </c>
      <c r="N422" s="5" t="s">
        <v>23</v>
      </c>
      <c r="O422" s="13">
        <v>2330.04</v>
      </c>
      <c r="P422" s="152"/>
      <c r="Q422" s="17">
        <f t="shared" si="7"/>
        <v>1941.7</v>
      </c>
      <c r="S422" s="18"/>
    </row>
    <row r="423" spans="1:19" s="17" customFormat="1" ht="18.95" customHeight="1" outlineLevel="1" x14ac:dyDescent="0.25">
      <c r="A423" s="146" t="s">
        <v>65</v>
      </c>
      <c r="B423" s="146" t="s">
        <v>163</v>
      </c>
      <c r="C423" s="148"/>
      <c r="D423" s="137">
        <v>42723</v>
      </c>
      <c r="E423" s="178" t="s">
        <v>643</v>
      </c>
      <c r="F423" s="12">
        <v>43466</v>
      </c>
      <c r="G423" s="12">
        <v>43646</v>
      </c>
      <c r="H423" s="142" t="s">
        <v>644</v>
      </c>
      <c r="I423" s="26">
        <v>2501.2800000000002</v>
      </c>
      <c r="J423" s="14" t="s">
        <v>23</v>
      </c>
      <c r="K423" s="14" t="s">
        <v>23</v>
      </c>
      <c r="L423" s="5" t="s">
        <v>23</v>
      </c>
      <c r="M423" s="5" t="s">
        <v>23</v>
      </c>
      <c r="N423" s="5" t="s">
        <v>23</v>
      </c>
      <c r="O423" s="4" t="s">
        <v>23</v>
      </c>
      <c r="P423" s="153"/>
      <c r="Q423" s="17" t="e">
        <f t="shared" si="7"/>
        <v>#VALUE!</v>
      </c>
      <c r="S423" s="18"/>
    </row>
    <row r="424" spans="1:19" s="17" customFormat="1" ht="18.95" customHeight="1" outlineLevel="1" x14ac:dyDescent="0.25">
      <c r="A424" s="148"/>
      <c r="B424" s="148"/>
      <c r="C424" s="148"/>
      <c r="D424" s="141"/>
      <c r="E424" s="179"/>
      <c r="F424" s="12">
        <v>43647</v>
      </c>
      <c r="G424" s="12">
        <v>43830</v>
      </c>
      <c r="H424" s="143"/>
      <c r="I424" s="26">
        <v>2600.1999999999998</v>
      </c>
      <c r="J424" s="14" t="s">
        <v>23</v>
      </c>
      <c r="K424" s="14" t="s">
        <v>23</v>
      </c>
      <c r="L424" s="5" t="s">
        <v>23</v>
      </c>
      <c r="M424" s="5" t="s">
        <v>23</v>
      </c>
      <c r="N424" s="5" t="s">
        <v>23</v>
      </c>
      <c r="O424" s="4" t="s">
        <v>23</v>
      </c>
      <c r="P424" s="152"/>
      <c r="Q424" s="17" t="e">
        <f t="shared" si="7"/>
        <v>#VALUE!</v>
      </c>
      <c r="S424" s="18"/>
    </row>
    <row r="425" spans="1:19" s="17" customFormat="1" ht="18.95" customHeight="1" outlineLevel="1" x14ac:dyDescent="0.25">
      <c r="A425" s="148"/>
      <c r="B425" s="148"/>
      <c r="C425" s="148"/>
      <c r="D425" s="137">
        <v>43454</v>
      </c>
      <c r="E425" s="137" t="s">
        <v>642</v>
      </c>
      <c r="F425" s="12">
        <v>43466</v>
      </c>
      <c r="G425" s="12">
        <v>43646</v>
      </c>
      <c r="H425" s="149"/>
      <c r="I425" s="15" t="s">
        <v>23</v>
      </c>
      <c r="J425" s="14" t="s">
        <v>23</v>
      </c>
      <c r="K425" s="14" t="s">
        <v>23</v>
      </c>
      <c r="L425" s="5" t="s">
        <v>23</v>
      </c>
      <c r="M425" s="5" t="s">
        <v>23</v>
      </c>
      <c r="N425" s="5" t="s">
        <v>23</v>
      </c>
      <c r="O425" s="13">
        <v>2514.2199999999998</v>
      </c>
      <c r="P425" s="153"/>
      <c r="Q425" s="17">
        <f t="shared" si="7"/>
        <v>2095.1833333333334</v>
      </c>
      <c r="R425" s="67">
        <f>I423-Q425</f>
        <v>406.09666666666681</v>
      </c>
      <c r="S425" s="18">
        <f>R425*321.737</f>
        <v>130656.32324333339</v>
      </c>
    </row>
    <row r="426" spans="1:19" s="17" customFormat="1" ht="18.95" customHeight="1" outlineLevel="1" x14ac:dyDescent="0.25">
      <c r="A426" s="147"/>
      <c r="B426" s="147"/>
      <c r="C426" s="148"/>
      <c r="D426" s="141"/>
      <c r="E426" s="141"/>
      <c r="F426" s="12">
        <v>43647</v>
      </c>
      <c r="G426" s="12">
        <v>43830</v>
      </c>
      <c r="H426" s="151"/>
      <c r="I426" s="15" t="s">
        <v>23</v>
      </c>
      <c r="J426" s="14" t="s">
        <v>23</v>
      </c>
      <c r="K426" s="14" t="s">
        <v>23</v>
      </c>
      <c r="L426" s="5" t="s">
        <v>23</v>
      </c>
      <c r="M426" s="5" t="s">
        <v>23</v>
      </c>
      <c r="N426" s="5" t="s">
        <v>23</v>
      </c>
      <c r="O426" s="13">
        <v>2514.2199999999998</v>
      </c>
      <c r="P426" s="152"/>
      <c r="Q426" s="17">
        <f t="shared" si="7"/>
        <v>2095.1833333333334</v>
      </c>
      <c r="S426" s="18"/>
    </row>
    <row r="427" spans="1:19" s="17" customFormat="1" ht="18.95" customHeight="1" outlineLevel="1" x14ac:dyDescent="0.25">
      <c r="A427" s="146" t="s">
        <v>65</v>
      </c>
      <c r="B427" s="146" t="s">
        <v>164</v>
      </c>
      <c r="C427" s="148"/>
      <c r="D427" s="137">
        <v>42723</v>
      </c>
      <c r="E427" s="178" t="s">
        <v>643</v>
      </c>
      <c r="F427" s="12">
        <v>43466</v>
      </c>
      <c r="G427" s="12">
        <v>43646</v>
      </c>
      <c r="H427" s="142" t="s">
        <v>644</v>
      </c>
      <c r="I427" s="26">
        <v>2501.2800000000002</v>
      </c>
      <c r="J427" s="14" t="s">
        <v>23</v>
      </c>
      <c r="K427" s="14" t="s">
        <v>23</v>
      </c>
      <c r="L427" s="5" t="s">
        <v>23</v>
      </c>
      <c r="M427" s="5" t="s">
        <v>23</v>
      </c>
      <c r="N427" s="5" t="s">
        <v>23</v>
      </c>
      <c r="O427" s="4"/>
      <c r="P427" s="153"/>
      <c r="Q427" s="17">
        <f t="shared" si="7"/>
        <v>0</v>
      </c>
      <c r="S427" s="18"/>
    </row>
    <row r="428" spans="1:19" s="17" customFormat="1" ht="18.95" customHeight="1" outlineLevel="1" x14ac:dyDescent="0.25">
      <c r="A428" s="148"/>
      <c r="B428" s="148"/>
      <c r="C428" s="148"/>
      <c r="D428" s="141"/>
      <c r="E428" s="179"/>
      <c r="F428" s="12">
        <v>43647</v>
      </c>
      <c r="G428" s="12">
        <v>43830</v>
      </c>
      <c r="H428" s="143"/>
      <c r="I428" s="26">
        <v>2600.1999999999998</v>
      </c>
      <c r="J428" s="14" t="s">
        <v>23</v>
      </c>
      <c r="K428" s="14" t="s">
        <v>23</v>
      </c>
      <c r="L428" s="5" t="s">
        <v>23</v>
      </c>
      <c r="M428" s="5" t="s">
        <v>23</v>
      </c>
      <c r="N428" s="5" t="s">
        <v>23</v>
      </c>
      <c r="O428" s="4" t="s">
        <v>23</v>
      </c>
      <c r="P428" s="152"/>
      <c r="Q428" s="17" t="e">
        <f t="shared" si="7"/>
        <v>#VALUE!</v>
      </c>
      <c r="S428" s="18"/>
    </row>
    <row r="429" spans="1:19" s="17" customFormat="1" ht="18.95" customHeight="1" outlineLevel="1" x14ac:dyDescent="0.25">
      <c r="A429" s="148"/>
      <c r="B429" s="148"/>
      <c r="C429" s="148"/>
      <c r="D429" s="137">
        <v>43454</v>
      </c>
      <c r="E429" s="137" t="s">
        <v>642</v>
      </c>
      <c r="F429" s="12">
        <v>43466</v>
      </c>
      <c r="G429" s="12">
        <v>43646</v>
      </c>
      <c r="H429" s="149"/>
      <c r="I429" s="15" t="s">
        <v>23</v>
      </c>
      <c r="J429" s="14" t="s">
        <v>23</v>
      </c>
      <c r="K429" s="14" t="s">
        <v>23</v>
      </c>
      <c r="L429" s="5" t="s">
        <v>23</v>
      </c>
      <c r="M429" s="5" t="s">
        <v>23</v>
      </c>
      <c r="N429" s="5" t="s">
        <v>23</v>
      </c>
      <c r="O429" s="13">
        <v>2305.15</v>
      </c>
      <c r="P429" s="153"/>
      <c r="Q429" s="17">
        <f t="shared" si="7"/>
        <v>1920.9583333333335</v>
      </c>
      <c r="R429" s="67">
        <f>I427-Q429</f>
        <v>580.32166666666672</v>
      </c>
      <c r="S429" s="18">
        <f>R429*616.275</f>
        <v>357637.73512500001</v>
      </c>
    </row>
    <row r="430" spans="1:19" s="17" customFormat="1" ht="18.95" customHeight="1" outlineLevel="1" x14ac:dyDescent="0.25">
      <c r="A430" s="147"/>
      <c r="B430" s="147"/>
      <c r="C430" s="148"/>
      <c r="D430" s="141"/>
      <c r="E430" s="141"/>
      <c r="F430" s="12">
        <v>43647</v>
      </c>
      <c r="G430" s="12">
        <v>43830</v>
      </c>
      <c r="H430" s="151"/>
      <c r="I430" s="15" t="s">
        <v>23</v>
      </c>
      <c r="J430" s="14" t="s">
        <v>23</v>
      </c>
      <c r="K430" s="14" t="s">
        <v>23</v>
      </c>
      <c r="L430" s="5" t="s">
        <v>23</v>
      </c>
      <c r="M430" s="5" t="s">
        <v>23</v>
      </c>
      <c r="N430" s="5" t="s">
        <v>23</v>
      </c>
      <c r="O430" s="13">
        <v>2351.25</v>
      </c>
      <c r="P430" s="152"/>
      <c r="Q430" s="17">
        <f t="shared" si="7"/>
        <v>1959.375</v>
      </c>
      <c r="S430" s="18"/>
    </row>
    <row r="431" spans="1:19" s="17" customFormat="1" ht="18.95" customHeight="1" outlineLevel="1" x14ac:dyDescent="0.25">
      <c r="A431" s="146" t="s">
        <v>65</v>
      </c>
      <c r="B431" s="146" t="s">
        <v>165</v>
      </c>
      <c r="C431" s="148"/>
      <c r="D431" s="137">
        <v>42723</v>
      </c>
      <c r="E431" s="178" t="s">
        <v>643</v>
      </c>
      <c r="F431" s="12">
        <v>43466</v>
      </c>
      <c r="G431" s="12">
        <v>43646</v>
      </c>
      <c r="H431" s="142" t="s">
        <v>644</v>
      </c>
      <c r="I431" s="26">
        <v>2501.2800000000002</v>
      </c>
      <c r="J431" s="14" t="s">
        <v>23</v>
      </c>
      <c r="K431" s="14" t="s">
        <v>23</v>
      </c>
      <c r="L431" s="5" t="s">
        <v>23</v>
      </c>
      <c r="M431" s="5" t="s">
        <v>23</v>
      </c>
      <c r="N431" s="5" t="s">
        <v>23</v>
      </c>
      <c r="O431" s="4" t="s">
        <v>23</v>
      </c>
      <c r="P431" s="153"/>
      <c r="Q431" s="17" t="e">
        <f t="shared" si="7"/>
        <v>#VALUE!</v>
      </c>
      <c r="S431" s="18"/>
    </row>
    <row r="432" spans="1:19" s="17" customFormat="1" ht="18.95" customHeight="1" outlineLevel="1" x14ac:dyDescent="0.25">
      <c r="A432" s="148"/>
      <c r="B432" s="148"/>
      <c r="C432" s="148"/>
      <c r="D432" s="141"/>
      <c r="E432" s="179"/>
      <c r="F432" s="12">
        <v>43647</v>
      </c>
      <c r="G432" s="12">
        <v>43830</v>
      </c>
      <c r="H432" s="143"/>
      <c r="I432" s="26">
        <v>2600.1999999999998</v>
      </c>
      <c r="J432" s="14" t="s">
        <v>23</v>
      </c>
      <c r="K432" s="14" t="s">
        <v>23</v>
      </c>
      <c r="L432" s="5" t="s">
        <v>23</v>
      </c>
      <c r="M432" s="5" t="s">
        <v>23</v>
      </c>
      <c r="N432" s="5" t="s">
        <v>23</v>
      </c>
      <c r="O432" s="4" t="s">
        <v>23</v>
      </c>
      <c r="P432" s="152"/>
      <c r="Q432" s="17" t="e">
        <f t="shared" si="7"/>
        <v>#VALUE!</v>
      </c>
      <c r="S432" s="18"/>
    </row>
    <row r="433" spans="1:19" s="17" customFormat="1" ht="18.95" customHeight="1" outlineLevel="1" x14ac:dyDescent="0.25">
      <c r="A433" s="148"/>
      <c r="B433" s="148"/>
      <c r="C433" s="148"/>
      <c r="D433" s="137">
        <v>43454</v>
      </c>
      <c r="E433" s="137" t="s">
        <v>642</v>
      </c>
      <c r="F433" s="12">
        <v>43466</v>
      </c>
      <c r="G433" s="12">
        <v>43646</v>
      </c>
      <c r="H433" s="149"/>
      <c r="I433" s="15" t="s">
        <v>23</v>
      </c>
      <c r="J433" s="14" t="s">
        <v>23</v>
      </c>
      <c r="K433" s="14" t="s">
        <v>23</v>
      </c>
      <c r="L433" s="5" t="s">
        <v>23</v>
      </c>
      <c r="M433" s="5" t="s">
        <v>23</v>
      </c>
      <c r="N433" s="5" t="s">
        <v>23</v>
      </c>
      <c r="O433" s="13">
        <v>2403.5</v>
      </c>
      <c r="P433" s="153"/>
      <c r="Q433" s="17">
        <f t="shared" si="7"/>
        <v>2002.9166666666667</v>
      </c>
      <c r="R433" s="67">
        <f>I431-Q433</f>
        <v>498.36333333333346</v>
      </c>
      <c r="S433" s="18">
        <f>R433*540.475</f>
        <v>269352.92258333339</v>
      </c>
    </row>
    <row r="434" spans="1:19" s="17" customFormat="1" ht="18.95" customHeight="1" outlineLevel="1" x14ac:dyDescent="0.25">
      <c r="A434" s="147"/>
      <c r="B434" s="147"/>
      <c r="C434" s="148"/>
      <c r="D434" s="141"/>
      <c r="E434" s="141"/>
      <c r="F434" s="12">
        <v>43647</v>
      </c>
      <c r="G434" s="12">
        <v>43830</v>
      </c>
      <c r="H434" s="151"/>
      <c r="I434" s="15" t="s">
        <v>23</v>
      </c>
      <c r="J434" s="14" t="s">
        <v>23</v>
      </c>
      <c r="K434" s="14" t="s">
        <v>23</v>
      </c>
      <c r="L434" s="5" t="s">
        <v>23</v>
      </c>
      <c r="M434" s="5" t="s">
        <v>23</v>
      </c>
      <c r="N434" s="5" t="s">
        <v>23</v>
      </c>
      <c r="O434" s="13">
        <v>2451.5700000000002</v>
      </c>
      <c r="P434" s="152"/>
      <c r="Q434" s="17">
        <f t="shared" si="7"/>
        <v>2042.9750000000001</v>
      </c>
      <c r="S434" s="18"/>
    </row>
    <row r="435" spans="1:19" s="17" customFormat="1" ht="18.95" customHeight="1" outlineLevel="1" x14ac:dyDescent="0.25">
      <c r="A435" s="146" t="s">
        <v>65</v>
      </c>
      <c r="B435" s="146" t="s">
        <v>166</v>
      </c>
      <c r="C435" s="148"/>
      <c r="D435" s="137">
        <v>42723</v>
      </c>
      <c r="E435" s="178" t="s">
        <v>643</v>
      </c>
      <c r="F435" s="12">
        <v>43466</v>
      </c>
      <c r="G435" s="12">
        <v>43646</v>
      </c>
      <c r="H435" s="142" t="s">
        <v>644</v>
      </c>
      <c r="I435" s="26">
        <v>2501.2800000000002</v>
      </c>
      <c r="J435" s="14" t="s">
        <v>23</v>
      </c>
      <c r="K435" s="14" t="s">
        <v>23</v>
      </c>
      <c r="L435" s="5" t="s">
        <v>23</v>
      </c>
      <c r="M435" s="5" t="s">
        <v>23</v>
      </c>
      <c r="N435" s="5" t="s">
        <v>23</v>
      </c>
      <c r="O435" s="4" t="s">
        <v>23</v>
      </c>
      <c r="P435" s="153"/>
      <c r="Q435" s="17" t="e">
        <f t="shared" si="7"/>
        <v>#VALUE!</v>
      </c>
      <c r="S435" s="18"/>
    </row>
    <row r="436" spans="1:19" s="17" customFormat="1" ht="18.95" customHeight="1" outlineLevel="1" x14ac:dyDescent="0.25">
      <c r="A436" s="148"/>
      <c r="B436" s="148"/>
      <c r="C436" s="148"/>
      <c r="D436" s="141"/>
      <c r="E436" s="179"/>
      <c r="F436" s="12">
        <v>43647</v>
      </c>
      <c r="G436" s="12">
        <v>43830</v>
      </c>
      <c r="H436" s="143"/>
      <c r="I436" s="26">
        <v>2600.1999999999998</v>
      </c>
      <c r="J436" s="14" t="s">
        <v>23</v>
      </c>
      <c r="K436" s="14" t="s">
        <v>23</v>
      </c>
      <c r="L436" s="5" t="s">
        <v>23</v>
      </c>
      <c r="M436" s="5" t="s">
        <v>23</v>
      </c>
      <c r="N436" s="5" t="s">
        <v>23</v>
      </c>
      <c r="O436" s="4" t="s">
        <v>23</v>
      </c>
      <c r="P436" s="152"/>
      <c r="Q436" s="17" t="e">
        <f t="shared" si="7"/>
        <v>#VALUE!</v>
      </c>
      <c r="S436" s="18"/>
    </row>
    <row r="437" spans="1:19" s="17" customFormat="1" ht="18.95" customHeight="1" outlineLevel="1" x14ac:dyDescent="0.25">
      <c r="A437" s="148"/>
      <c r="B437" s="148"/>
      <c r="C437" s="148"/>
      <c r="D437" s="137">
        <v>43454</v>
      </c>
      <c r="E437" s="137" t="s">
        <v>642</v>
      </c>
      <c r="F437" s="12">
        <v>43466</v>
      </c>
      <c r="G437" s="12">
        <v>43646</v>
      </c>
      <c r="H437" s="149"/>
      <c r="I437" s="15" t="s">
        <v>23</v>
      </c>
      <c r="J437" s="14" t="s">
        <v>23</v>
      </c>
      <c r="K437" s="14" t="s">
        <v>23</v>
      </c>
      <c r="L437" s="5" t="s">
        <v>23</v>
      </c>
      <c r="M437" s="5" t="s">
        <v>23</v>
      </c>
      <c r="N437" s="5" t="s">
        <v>23</v>
      </c>
      <c r="O437" s="13">
        <v>2384</v>
      </c>
      <c r="P437" s="153">
        <v>4</v>
      </c>
      <c r="Q437" s="17">
        <f t="shared" si="7"/>
        <v>1986.6666666666667</v>
      </c>
      <c r="R437" s="67">
        <f>I435-Q437</f>
        <v>514.61333333333346</v>
      </c>
      <c r="S437" s="18">
        <f>R437*303.009</f>
        <v>155932.47152000005</v>
      </c>
    </row>
    <row r="438" spans="1:19" s="17" customFormat="1" ht="18.95" customHeight="1" outlineLevel="1" x14ac:dyDescent="0.25">
      <c r="A438" s="147"/>
      <c r="B438" s="147"/>
      <c r="C438" s="148"/>
      <c r="D438" s="141"/>
      <c r="E438" s="141"/>
      <c r="F438" s="12">
        <v>43647</v>
      </c>
      <c r="G438" s="12">
        <v>43830</v>
      </c>
      <c r="H438" s="151"/>
      <c r="I438" s="15" t="s">
        <v>23</v>
      </c>
      <c r="J438" s="14" t="s">
        <v>23</v>
      </c>
      <c r="K438" s="14" t="s">
        <v>23</v>
      </c>
      <c r="L438" s="5" t="s">
        <v>23</v>
      </c>
      <c r="M438" s="5" t="s">
        <v>23</v>
      </c>
      <c r="N438" s="5" t="s">
        <v>23</v>
      </c>
      <c r="O438" s="13">
        <v>2431.6799999999998</v>
      </c>
      <c r="P438" s="152"/>
      <c r="Q438" s="17">
        <f t="shared" si="7"/>
        <v>2026.3999999999999</v>
      </c>
      <c r="S438" s="18"/>
    </row>
    <row r="439" spans="1:19" s="17" customFormat="1" ht="18.95" customHeight="1" outlineLevel="1" x14ac:dyDescent="0.25">
      <c r="A439" s="146" t="s">
        <v>65</v>
      </c>
      <c r="B439" s="146" t="s">
        <v>167</v>
      </c>
      <c r="C439" s="148"/>
      <c r="D439" s="137">
        <v>42723</v>
      </c>
      <c r="E439" s="178" t="s">
        <v>643</v>
      </c>
      <c r="F439" s="12">
        <v>43466</v>
      </c>
      <c r="G439" s="12">
        <v>43646</v>
      </c>
      <c r="H439" s="142" t="s">
        <v>644</v>
      </c>
      <c r="I439" s="26">
        <v>2501.2800000000002</v>
      </c>
      <c r="J439" s="14" t="s">
        <v>23</v>
      </c>
      <c r="K439" s="14" t="s">
        <v>23</v>
      </c>
      <c r="L439" s="5" t="s">
        <v>23</v>
      </c>
      <c r="M439" s="5" t="s">
        <v>23</v>
      </c>
      <c r="N439" s="5" t="s">
        <v>23</v>
      </c>
      <c r="O439" s="4" t="s">
        <v>23</v>
      </c>
      <c r="P439" s="153"/>
      <c r="Q439" s="17" t="e">
        <f t="shared" si="7"/>
        <v>#VALUE!</v>
      </c>
      <c r="S439" s="18"/>
    </row>
    <row r="440" spans="1:19" s="10" customFormat="1" ht="18.95" customHeight="1" x14ac:dyDescent="0.25">
      <c r="A440" s="148"/>
      <c r="B440" s="148"/>
      <c r="C440" s="148"/>
      <c r="D440" s="141"/>
      <c r="E440" s="179"/>
      <c r="F440" s="12">
        <v>43647</v>
      </c>
      <c r="G440" s="12">
        <v>43830</v>
      </c>
      <c r="H440" s="143"/>
      <c r="I440" s="26">
        <v>2600.1999999999998</v>
      </c>
      <c r="J440" s="14" t="s">
        <v>23</v>
      </c>
      <c r="K440" s="14" t="s">
        <v>23</v>
      </c>
      <c r="L440" s="5" t="s">
        <v>23</v>
      </c>
      <c r="M440" s="5" t="s">
        <v>23</v>
      </c>
      <c r="N440" s="5" t="s">
        <v>23</v>
      </c>
      <c r="O440" s="4" t="s">
        <v>23</v>
      </c>
      <c r="P440" s="152"/>
      <c r="Q440" s="17" t="e">
        <f t="shared" si="7"/>
        <v>#VALUE!</v>
      </c>
      <c r="S440" s="11"/>
    </row>
    <row r="441" spans="1:19" s="17" customFormat="1" ht="18.95" customHeight="1" outlineLevel="1" x14ac:dyDescent="0.25">
      <c r="A441" s="148"/>
      <c r="B441" s="148"/>
      <c r="C441" s="148"/>
      <c r="D441" s="137">
        <v>43454</v>
      </c>
      <c r="E441" s="137" t="s">
        <v>642</v>
      </c>
      <c r="F441" s="12">
        <v>43466</v>
      </c>
      <c r="G441" s="12">
        <v>43646</v>
      </c>
      <c r="H441" s="149"/>
      <c r="I441" s="15" t="s">
        <v>23</v>
      </c>
      <c r="J441" s="14" t="s">
        <v>23</v>
      </c>
      <c r="K441" s="14" t="s">
        <v>23</v>
      </c>
      <c r="L441" s="5" t="s">
        <v>23</v>
      </c>
      <c r="M441" s="5" t="s">
        <v>23</v>
      </c>
      <c r="N441" s="5" t="s">
        <v>23</v>
      </c>
      <c r="O441" s="13">
        <v>2446.31</v>
      </c>
      <c r="P441" s="153"/>
      <c r="Q441" s="17">
        <f t="shared" si="7"/>
        <v>2038.5916666666667</v>
      </c>
      <c r="R441" s="67">
        <f>I439-Q441</f>
        <v>462.6883333333335</v>
      </c>
      <c r="S441" s="18">
        <f>R441*45.759</f>
        <v>21172.155445000008</v>
      </c>
    </row>
    <row r="442" spans="1:19" s="17" customFormat="1" ht="18.95" customHeight="1" outlineLevel="1" x14ac:dyDescent="0.25">
      <c r="A442" s="147"/>
      <c r="B442" s="147"/>
      <c r="C442" s="148"/>
      <c r="D442" s="141"/>
      <c r="E442" s="141"/>
      <c r="F442" s="12">
        <v>43647</v>
      </c>
      <c r="G442" s="12">
        <v>43830</v>
      </c>
      <c r="H442" s="151"/>
      <c r="I442" s="15" t="s">
        <v>23</v>
      </c>
      <c r="J442" s="14" t="s">
        <v>23</v>
      </c>
      <c r="K442" s="14" t="s">
        <v>23</v>
      </c>
      <c r="L442" s="5" t="s">
        <v>23</v>
      </c>
      <c r="M442" s="5" t="s">
        <v>23</v>
      </c>
      <c r="N442" s="5" t="s">
        <v>23</v>
      </c>
      <c r="O442" s="13">
        <v>2495.2399999999998</v>
      </c>
      <c r="P442" s="152"/>
      <c r="Q442" s="17">
        <f t="shared" si="7"/>
        <v>2079.3666666666668</v>
      </c>
      <c r="S442" s="18"/>
    </row>
    <row r="443" spans="1:19" s="17" customFormat="1" ht="18.95" customHeight="1" outlineLevel="1" x14ac:dyDescent="0.25">
      <c r="A443" s="146" t="s">
        <v>65</v>
      </c>
      <c r="B443" s="146" t="s">
        <v>404</v>
      </c>
      <c r="C443" s="148"/>
      <c r="D443" s="137">
        <v>42723</v>
      </c>
      <c r="E443" s="178" t="s">
        <v>643</v>
      </c>
      <c r="F443" s="12">
        <v>43466</v>
      </c>
      <c r="G443" s="12">
        <v>43646</v>
      </c>
      <c r="H443" s="142" t="s">
        <v>644</v>
      </c>
      <c r="I443" s="26">
        <v>2501.2800000000002</v>
      </c>
      <c r="J443" s="14" t="s">
        <v>23</v>
      </c>
      <c r="K443" s="14" t="s">
        <v>23</v>
      </c>
      <c r="L443" s="5" t="s">
        <v>23</v>
      </c>
      <c r="M443" s="5" t="s">
        <v>23</v>
      </c>
      <c r="N443" s="5" t="s">
        <v>23</v>
      </c>
      <c r="O443" s="4" t="s">
        <v>23</v>
      </c>
      <c r="P443" s="153"/>
      <c r="Q443" s="17" t="e">
        <f t="shared" si="7"/>
        <v>#VALUE!</v>
      </c>
      <c r="S443" s="18"/>
    </row>
    <row r="444" spans="1:19" s="17" customFormat="1" ht="18.95" customHeight="1" outlineLevel="1" x14ac:dyDescent="0.25">
      <c r="A444" s="148"/>
      <c r="B444" s="148"/>
      <c r="C444" s="148"/>
      <c r="D444" s="141"/>
      <c r="E444" s="179"/>
      <c r="F444" s="12">
        <v>43647</v>
      </c>
      <c r="G444" s="12">
        <v>43830</v>
      </c>
      <c r="H444" s="143"/>
      <c r="I444" s="26">
        <v>2600.1999999999998</v>
      </c>
      <c r="J444" s="14" t="s">
        <v>23</v>
      </c>
      <c r="K444" s="14" t="s">
        <v>23</v>
      </c>
      <c r="L444" s="5" t="s">
        <v>23</v>
      </c>
      <c r="M444" s="5" t="s">
        <v>23</v>
      </c>
      <c r="N444" s="5" t="s">
        <v>23</v>
      </c>
      <c r="O444" s="4" t="s">
        <v>23</v>
      </c>
      <c r="P444" s="152"/>
      <c r="Q444" s="17" t="e">
        <f t="shared" si="7"/>
        <v>#VALUE!</v>
      </c>
      <c r="S444" s="18"/>
    </row>
    <row r="445" spans="1:19" s="17" customFormat="1" ht="18.95" customHeight="1" outlineLevel="1" x14ac:dyDescent="0.25">
      <c r="A445" s="148"/>
      <c r="B445" s="148"/>
      <c r="C445" s="148"/>
      <c r="D445" s="137">
        <v>43454</v>
      </c>
      <c r="E445" s="137" t="s">
        <v>642</v>
      </c>
      <c r="F445" s="12">
        <v>43466</v>
      </c>
      <c r="G445" s="12">
        <v>43646</v>
      </c>
      <c r="H445" s="149"/>
      <c r="I445" s="15" t="s">
        <v>23</v>
      </c>
      <c r="J445" s="14" t="s">
        <v>23</v>
      </c>
      <c r="K445" s="14" t="s">
        <v>23</v>
      </c>
      <c r="L445" s="5" t="s">
        <v>23</v>
      </c>
      <c r="M445" s="5" t="s">
        <v>23</v>
      </c>
      <c r="N445" s="5" t="s">
        <v>23</v>
      </c>
      <c r="O445" s="13">
        <v>2517.38</v>
      </c>
      <c r="P445" s="153"/>
      <c r="Q445" s="17">
        <f t="shared" si="7"/>
        <v>2097.8166666666671</v>
      </c>
      <c r="R445" s="67">
        <f>I443-Q445</f>
        <v>403.46333333333314</v>
      </c>
      <c r="S445" s="18">
        <f>R445*258.423</f>
        <v>104264.20498999995</v>
      </c>
    </row>
    <row r="446" spans="1:19" s="17" customFormat="1" ht="18.95" customHeight="1" outlineLevel="1" x14ac:dyDescent="0.25">
      <c r="A446" s="147"/>
      <c r="B446" s="147"/>
      <c r="C446" s="148"/>
      <c r="D446" s="141"/>
      <c r="E446" s="141"/>
      <c r="F446" s="12">
        <v>43647</v>
      </c>
      <c r="G446" s="12">
        <v>43830</v>
      </c>
      <c r="H446" s="151"/>
      <c r="I446" s="15" t="s">
        <v>23</v>
      </c>
      <c r="J446" s="14" t="s">
        <v>23</v>
      </c>
      <c r="K446" s="14" t="s">
        <v>23</v>
      </c>
      <c r="L446" s="5" t="s">
        <v>23</v>
      </c>
      <c r="M446" s="5" t="s">
        <v>23</v>
      </c>
      <c r="N446" s="5" t="s">
        <v>23</v>
      </c>
      <c r="O446" s="13">
        <v>2517.38</v>
      </c>
      <c r="P446" s="152"/>
      <c r="Q446" s="17">
        <f t="shared" si="7"/>
        <v>2097.8166666666671</v>
      </c>
      <c r="S446" s="18"/>
    </row>
    <row r="447" spans="1:19" s="17" customFormat="1" ht="18.95" customHeight="1" outlineLevel="1" x14ac:dyDescent="0.25">
      <c r="A447" s="146" t="s">
        <v>65</v>
      </c>
      <c r="B447" s="146" t="s">
        <v>403</v>
      </c>
      <c r="C447" s="148"/>
      <c r="D447" s="137">
        <v>42723</v>
      </c>
      <c r="E447" s="178" t="s">
        <v>643</v>
      </c>
      <c r="F447" s="12">
        <v>43466</v>
      </c>
      <c r="G447" s="12">
        <v>43646</v>
      </c>
      <c r="H447" s="142" t="s">
        <v>644</v>
      </c>
      <c r="I447" s="26">
        <v>2501.2800000000002</v>
      </c>
      <c r="J447" s="14" t="s">
        <v>23</v>
      </c>
      <c r="K447" s="14" t="s">
        <v>23</v>
      </c>
      <c r="L447" s="5" t="s">
        <v>23</v>
      </c>
      <c r="M447" s="5" t="s">
        <v>23</v>
      </c>
      <c r="N447" s="5" t="s">
        <v>23</v>
      </c>
      <c r="O447" s="4" t="s">
        <v>23</v>
      </c>
      <c r="P447" s="41"/>
      <c r="Q447" s="17" t="e">
        <f t="shared" si="7"/>
        <v>#VALUE!</v>
      </c>
      <c r="S447" s="18"/>
    </row>
    <row r="448" spans="1:19" s="17" customFormat="1" ht="18.95" customHeight="1" outlineLevel="1" x14ac:dyDescent="0.25">
      <c r="A448" s="148"/>
      <c r="B448" s="148"/>
      <c r="C448" s="148"/>
      <c r="D448" s="141"/>
      <c r="E448" s="179"/>
      <c r="F448" s="12">
        <v>43647</v>
      </c>
      <c r="G448" s="12">
        <v>43830</v>
      </c>
      <c r="H448" s="143"/>
      <c r="I448" s="26">
        <v>2600.1999999999998</v>
      </c>
      <c r="J448" s="14" t="s">
        <v>23</v>
      </c>
      <c r="K448" s="14" t="s">
        <v>23</v>
      </c>
      <c r="L448" s="5" t="s">
        <v>23</v>
      </c>
      <c r="M448" s="5" t="s">
        <v>23</v>
      </c>
      <c r="N448" s="5" t="s">
        <v>23</v>
      </c>
      <c r="O448" s="4" t="s">
        <v>23</v>
      </c>
      <c r="P448" s="41"/>
      <c r="Q448" s="17" t="e">
        <f t="shared" si="7"/>
        <v>#VALUE!</v>
      </c>
      <c r="S448" s="18"/>
    </row>
    <row r="449" spans="1:19" s="17" customFormat="1" ht="18.95" customHeight="1" outlineLevel="1" x14ac:dyDescent="0.25">
      <c r="A449" s="148"/>
      <c r="B449" s="148"/>
      <c r="C449" s="148"/>
      <c r="D449" s="137">
        <v>43454</v>
      </c>
      <c r="E449" s="137" t="s">
        <v>642</v>
      </c>
      <c r="F449" s="12">
        <v>43466</v>
      </c>
      <c r="G449" s="12">
        <v>43646</v>
      </c>
      <c r="H449" s="149"/>
      <c r="I449" s="15" t="s">
        <v>23</v>
      </c>
      <c r="J449" s="14" t="s">
        <v>23</v>
      </c>
      <c r="K449" s="14" t="s">
        <v>23</v>
      </c>
      <c r="L449" s="5" t="s">
        <v>23</v>
      </c>
      <c r="M449" s="5" t="s">
        <v>23</v>
      </c>
      <c r="N449" s="5" t="s">
        <v>23</v>
      </c>
      <c r="O449" s="13">
        <v>2517.38</v>
      </c>
      <c r="P449" s="41"/>
      <c r="Q449" s="17">
        <f t="shared" si="7"/>
        <v>2097.8166666666671</v>
      </c>
      <c r="R449" s="67">
        <f>I447-Q449</f>
        <v>403.46333333333314</v>
      </c>
      <c r="S449" s="18">
        <f>R449*330.543</f>
        <v>133361.98058999993</v>
      </c>
    </row>
    <row r="450" spans="1:19" s="17" customFormat="1" ht="18.95" customHeight="1" outlineLevel="1" x14ac:dyDescent="0.25">
      <c r="A450" s="147"/>
      <c r="B450" s="147"/>
      <c r="C450" s="148"/>
      <c r="D450" s="141"/>
      <c r="E450" s="141"/>
      <c r="F450" s="12">
        <v>43647</v>
      </c>
      <c r="G450" s="12">
        <v>43830</v>
      </c>
      <c r="H450" s="151"/>
      <c r="I450" s="15" t="s">
        <v>23</v>
      </c>
      <c r="J450" s="14" t="s">
        <v>23</v>
      </c>
      <c r="K450" s="14" t="s">
        <v>23</v>
      </c>
      <c r="L450" s="5" t="s">
        <v>23</v>
      </c>
      <c r="M450" s="5" t="s">
        <v>23</v>
      </c>
      <c r="N450" s="5" t="s">
        <v>23</v>
      </c>
      <c r="O450" s="13">
        <v>2517.38</v>
      </c>
      <c r="P450" s="41"/>
      <c r="Q450" s="17">
        <f t="shared" si="7"/>
        <v>2097.8166666666671</v>
      </c>
      <c r="S450" s="18"/>
    </row>
    <row r="451" spans="1:19" s="17" customFormat="1" ht="18.95" customHeight="1" outlineLevel="1" x14ac:dyDescent="0.25">
      <c r="A451" s="146" t="s">
        <v>65</v>
      </c>
      <c r="B451" s="146" t="s">
        <v>361</v>
      </c>
      <c r="C451" s="148"/>
      <c r="D451" s="137">
        <v>42723</v>
      </c>
      <c r="E451" s="178" t="s">
        <v>643</v>
      </c>
      <c r="F451" s="12">
        <v>43466</v>
      </c>
      <c r="G451" s="12">
        <v>43646</v>
      </c>
      <c r="H451" s="142" t="s">
        <v>644</v>
      </c>
      <c r="I451" s="26">
        <v>2501.2800000000002</v>
      </c>
      <c r="J451" s="14" t="s">
        <v>23</v>
      </c>
      <c r="K451" s="14" t="s">
        <v>23</v>
      </c>
      <c r="L451" s="5" t="s">
        <v>23</v>
      </c>
      <c r="M451" s="5" t="s">
        <v>23</v>
      </c>
      <c r="N451" s="5" t="s">
        <v>23</v>
      </c>
      <c r="O451" s="4" t="s">
        <v>23</v>
      </c>
      <c r="P451" s="153"/>
      <c r="Q451" s="17" t="e">
        <f t="shared" si="7"/>
        <v>#VALUE!</v>
      </c>
      <c r="S451" s="18"/>
    </row>
    <row r="452" spans="1:19" s="17" customFormat="1" ht="18.95" customHeight="1" outlineLevel="1" x14ac:dyDescent="0.25">
      <c r="A452" s="148"/>
      <c r="B452" s="148"/>
      <c r="C452" s="148"/>
      <c r="D452" s="141"/>
      <c r="E452" s="179"/>
      <c r="F452" s="12">
        <v>43647</v>
      </c>
      <c r="G452" s="12">
        <v>43830</v>
      </c>
      <c r="H452" s="143"/>
      <c r="I452" s="26">
        <v>2600.1999999999998</v>
      </c>
      <c r="J452" s="14" t="s">
        <v>23</v>
      </c>
      <c r="K452" s="14" t="s">
        <v>23</v>
      </c>
      <c r="L452" s="5" t="s">
        <v>23</v>
      </c>
      <c r="M452" s="5" t="s">
        <v>23</v>
      </c>
      <c r="N452" s="5" t="s">
        <v>23</v>
      </c>
      <c r="O452" s="4" t="s">
        <v>23</v>
      </c>
      <c r="P452" s="152"/>
      <c r="Q452" s="17" t="e">
        <f t="shared" si="7"/>
        <v>#VALUE!</v>
      </c>
      <c r="S452" s="18"/>
    </row>
    <row r="453" spans="1:19" s="17" customFormat="1" ht="18.95" customHeight="1" outlineLevel="1" x14ac:dyDescent="0.25">
      <c r="A453" s="148"/>
      <c r="B453" s="148"/>
      <c r="C453" s="148"/>
      <c r="D453" s="137">
        <v>43454</v>
      </c>
      <c r="E453" s="137" t="s">
        <v>642</v>
      </c>
      <c r="F453" s="12">
        <v>43466</v>
      </c>
      <c r="G453" s="12">
        <v>43646</v>
      </c>
      <c r="H453" s="149"/>
      <c r="I453" s="15" t="s">
        <v>23</v>
      </c>
      <c r="J453" s="14" t="s">
        <v>23</v>
      </c>
      <c r="K453" s="14" t="s">
        <v>23</v>
      </c>
      <c r="L453" s="5" t="s">
        <v>23</v>
      </c>
      <c r="M453" s="5" t="s">
        <v>23</v>
      </c>
      <c r="N453" s="5" t="s">
        <v>23</v>
      </c>
      <c r="O453" s="13">
        <v>1582.72</v>
      </c>
      <c r="P453" s="153"/>
      <c r="Q453" s="17">
        <f t="shared" si="7"/>
        <v>1318.9333333333334</v>
      </c>
      <c r="R453" s="67">
        <f>I451-Q453</f>
        <v>1182.3466666666668</v>
      </c>
      <c r="S453" s="18">
        <f>R453*2800.425</f>
        <v>3311073.1640000008</v>
      </c>
    </row>
    <row r="454" spans="1:19" s="17" customFormat="1" ht="18.95" customHeight="1" outlineLevel="1" x14ac:dyDescent="0.25">
      <c r="A454" s="147"/>
      <c r="B454" s="147"/>
      <c r="C454" s="148"/>
      <c r="D454" s="141"/>
      <c r="E454" s="141"/>
      <c r="F454" s="12">
        <v>43647</v>
      </c>
      <c r="G454" s="12">
        <v>43830</v>
      </c>
      <c r="H454" s="151"/>
      <c r="I454" s="15" t="s">
        <v>23</v>
      </c>
      <c r="J454" s="14" t="s">
        <v>23</v>
      </c>
      <c r="K454" s="14" t="s">
        <v>23</v>
      </c>
      <c r="L454" s="5" t="s">
        <v>23</v>
      </c>
      <c r="M454" s="5" t="s">
        <v>23</v>
      </c>
      <c r="N454" s="5" t="s">
        <v>23</v>
      </c>
      <c r="O454" s="13">
        <v>1614.37</v>
      </c>
      <c r="P454" s="152"/>
      <c r="Q454" s="17">
        <f t="shared" si="7"/>
        <v>1345.3083333333334</v>
      </c>
      <c r="S454" s="18"/>
    </row>
    <row r="455" spans="1:19" s="17" customFormat="1" ht="18.95" customHeight="1" outlineLevel="1" x14ac:dyDescent="0.25">
      <c r="A455" s="146" t="s">
        <v>65</v>
      </c>
      <c r="B455" s="146" t="s">
        <v>168</v>
      </c>
      <c r="C455" s="148"/>
      <c r="D455" s="137">
        <v>42723</v>
      </c>
      <c r="E455" s="178" t="s">
        <v>643</v>
      </c>
      <c r="F455" s="12">
        <v>43466</v>
      </c>
      <c r="G455" s="12">
        <v>43646</v>
      </c>
      <c r="H455" s="142" t="s">
        <v>644</v>
      </c>
      <c r="I455" s="26">
        <v>2501.2800000000002</v>
      </c>
      <c r="J455" s="14" t="s">
        <v>23</v>
      </c>
      <c r="K455" s="14" t="s">
        <v>23</v>
      </c>
      <c r="L455" s="5" t="s">
        <v>23</v>
      </c>
      <c r="M455" s="5" t="s">
        <v>23</v>
      </c>
      <c r="N455" s="5" t="s">
        <v>23</v>
      </c>
      <c r="O455" s="4" t="s">
        <v>23</v>
      </c>
      <c r="P455" s="153"/>
      <c r="Q455" s="17" t="e">
        <f t="shared" si="7"/>
        <v>#VALUE!</v>
      </c>
      <c r="S455" s="18"/>
    </row>
    <row r="456" spans="1:19" s="17" customFormat="1" ht="18.95" customHeight="1" outlineLevel="1" x14ac:dyDescent="0.25">
      <c r="A456" s="148"/>
      <c r="B456" s="148"/>
      <c r="C456" s="148"/>
      <c r="D456" s="141"/>
      <c r="E456" s="179"/>
      <c r="F456" s="12">
        <v>43647</v>
      </c>
      <c r="G456" s="12">
        <v>43830</v>
      </c>
      <c r="H456" s="143"/>
      <c r="I456" s="26">
        <v>2600.1999999999998</v>
      </c>
      <c r="J456" s="14" t="s">
        <v>23</v>
      </c>
      <c r="K456" s="14" t="s">
        <v>23</v>
      </c>
      <c r="L456" s="5" t="s">
        <v>23</v>
      </c>
      <c r="M456" s="5" t="s">
        <v>23</v>
      </c>
      <c r="N456" s="5" t="s">
        <v>23</v>
      </c>
      <c r="O456" s="4" t="s">
        <v>23</v>
      </c>
      <c r="P456" s="152"/>
      <c r="Q456" s="17" t="e">
        <f t="shared" si="7"/>
        <v>#VALUE!</v>
      </c>
      <c r="S456" s="18"/>
    </row>
    <row r="457" spans="1:19" s="17" customFormat="1" ht="18.95" customHeight="1" outlineLevel="1" x14ac:dyDescent="0.25">
      <c r="A457" s="148"/>
      <c r="B457" s="148"/>
      <c r="C457" s="148"/>
      <c r="D457" s="137">
        <v>43454</v>
      </c>
      <c r="E457" s="137" t="s">
        <v>642</v>
      </c>
      <c r="F457" s="12">
        <v>43466</v>
      </c>
      <c r="G457" s="12">
        <v>43646</v>
      </c>
      <c r="H457" s="149"/>
      <c r="I457" s="15" t="s">
        <v>23</v>
      </c>
      <c r="J457" s="14" t="s">
        <v>23</v>
      </c>
      <c r="K457" s="14" t="s">
        <v>23</v>
      </c>
      <c r="L457" s="5" t="s">
        <v>23</v>
      </c>
      <c r="M457" s="5" t="s">
        <v>23</v>
      </c>
      <c r="N457" s="5" t="s">
        <v>23</v>
      </c>
      <c r="O457" s="13">
        <v>1618.72</v>
      </c>
      <c r="P457" s="153"/>
      <c r="Q457" s="17">
        <f t="shared" si="7"/>
        <v>1348.9333333333334</v>
      </c>
      <c r="R457" s="67">
        <f>I455-Q457</f>
        <v>1152.3466666666668</v>
      </c>
      <c r="S457" s="18">
        <f>R457*525.007</f>
        <v>604990.06642666669</v>
      </c>
    </row>
    <row r="458" spans="1:19" s="17" customFormat="1" ht="18.95" customHeight="1" outlineLevel="1" x14ac:dyDescent="0.25">
      <c r="A458" s="147"/>
      <c r="B458" s="147"/>
      <c r="C458" s="148"/>
      <c r="D458" s="141"/>
      <c r="E458" s="141"/>
      <c r="F458" s="12">
        <v>43647</v>
      </c>
      <c r="G458" s="12">
        <v>43830</v>
      </c>
      <c r="H458" s="151"/>
      <c r="I458" s="15" t="s">
        <v>23</v>
      </c>
      <c r="J458" s="14" t="s">
        <v>23</v>
      </c>
      <c r="K458" s="14" t="s">
        <v>23</v>
      </c>
      <c r="L458" s="5" t="s">
        <v>23</v>
      </c>
      <c r="M458" s="5" t="s">
        <v>23</v>
      </c>
      <c r="N458" s="5" t="s">
        <v>23</v>
      </c>
      <c r="O458" s="13">
        <v>1651.09</v>
      </c>
      <c r="P458" s="152"/>
      <c r="Q458" s="17">
        <f t="shared" si="7"/>
        <v>1375.9083333333333</v>
      </c>
      <c r="S458" s="18"/>
    </row>
    <row r="459" spans="1:19" s="17" customFormat="1" ht="18.95" customHeight="1" outlineLevel="1" x14ac:dyDescent="0.25">
      <c r="A459" s="146" t="s">
        <v>65</v>
      </c>
      <c r="B459" s="146" t="s">
        <v>169</v>
      </c>
      <c r="C459" s="148"/>
      <c r="D459" s="137">
        <v>42723</v>
      </c>
      <c r="E459" s="178" t="s">
        <v>643</v>
      </c>
      <c r="F459" s="12">
        <v>43466</v>
      </c>
      <c r="G459" s="12">
        <v>43646</v>
      </c>
      <c r="H459" s="142" t="s">
        <v>644</v>
      </c>
      <c r="I459" s="26">
        <v>2501.2800000000002</v>
      </c>
      <c r="J459" s="14" t="s">
        <v>23</v>
      </c>
      <c r="K459" s="14" t="s">
        <v>23</v>
      </c>
      <c r="L459" s="5" t="s">
        <v>23</v>
      </c>
      <c r="M459" s="5" t="s">
        <v>23</v>
      </c>
      <c r="N459" s="5" t="s">
        <v>23</v>
      </c>
      <c r="O459" s="4" t="s">
        <v>23</v>
      </c>
      <c r="P459" s="153"/>
      <c r="Q459" s="17" t="e">
        <f t="shared" si="7"/>
        <v>#VALUE!</v>
      </c>
      <c r="S459" s="18"/>
    </row>
    <row r="460" spans="1:19" s="17" customFormat="1" ht="18.95" customHeight="1" outlineLevel="1" x14ac:dyDescent="0.25">
      <c r="A460" s="148"/>
      <c r="B460" s="148"/>
      <c r="C460" s="148"/>
      <c r="D460" s="141"/>
      <c r="E460" s="179"/>
      <c r="F460" s="12">
        <v>43647</v>
      </c>
      <c r="G460" s="12">
        <v>43830</v>
      </c>
      <c r="H460" s="143"/>
      <c r="I460" s="26">
        <v>2600.1999999999998</v>
      </c>
      <c r="J460" s="14" t="s">
        <v>23</v>
      </c>
      <c r="K460" s="14" t="s">
        <v>23</v>
      </c>
      <c r="L460" s="5" t="s">
        <v>23</v>
      </c>
      <c r="M460" s="5" t="s">
        <v>23</v>
      </c>
      <c r="N460" s="5" t="s">
        <v>23</v>
      </c>
      <c r="O460" s="4" t="s">
        <v>23</v>
      </c>
      <c r="P460" s="152"/>
      <c r="Q460" s="17" t="e">
        <f t="shared" si="7"/>
        <v>#VALUE!</v>
      </c>
      <c r="S460" s="18"/>
    </row>
    <row r="461" spans="1:19" s="17" customFormat="1" ht="18.95" customHeight="1" outlineLevel="1" x14ac:dyDescent="0.25">
      <c r="A461" s="148"/>
      <c r="B461" s="148"/>
      <c r="C461" s="148"/>
      <c r="D461" s="137">
        <v>43454</v>
      </c>
      <c r="E461" s="137" t="s">
        <v>642</v>
      </c>
      <c r="F461" s="12">
        <v>43466</v>
      </c>
      <c r="G461" s="12">
        <v>43646</v>
      </c>
      <c r="H461" s="149"/>
      <c r="I461" s="15" t="s">
        <v>23</v>
      </c>
      <c r="J461" s="14" t="s">
        <v>23</v>
      </c>
      <c r="K461" s="14" t="s">
        <v>23</v>
      </c>
      <c r="L461" s="5" t="s">
        <v>23</v>
      </c>
      <c r="M461" s="5" t="s">
        <v>23</v>
      </c>
      <c r="N461" s="5" t="s">
        <v>23</v>
      </c>
      <c r="O461" s="13">
        <v>1510.41</v>
      </c>
      <c r="P461" s="153"/>
      <c r="Q461" s="17">
        <f>O461/1.2</f>
        <v>1258.6750000000002</v>
      </c>
      <c r="R461" s="67">
        <f>I459-Q461</f>
        <v>1242.605</v>
      </c>
      <c r="S461" s="18">
        <f>R461*4074.746</f>
        <v>5063299.7533299997</v>
      </c>
    </row>
    <row r="462" spans="1:19" s="17" customFormat="1" ht="18.95" customHeight="1" outlineLevel="1" x14ac:dyDescent="0.25">
      <c r="A462" s="147"/>
      <c r="B462" s="147"/>
      <c r="C462" s="148"/>
      <c r="D462" s="141"/>
      <c r="E462" s="141"/>
      <c r="F462" s="12">
        <v>43647</v>
      </c>
      <c r="G462" s="12">
        <v>43830</v>
      </c>
      <c r="H462" s="151"/>
      <c r="I462" s="15" t="s">
        <v>23</v>
      </c>
      <c r="J462" s="14" t="s">
        <v>23</v>
      </c>
      <c r="K462" s="14" t="s">
        <v>23</v>
      </c>
      <c r="L462" s="5" t="s">
        <v>23</v>
      </c>
      <c r="M462" s="5" t="s">
        <v>23</v>
      </c>
      <c r="N462" s="5" t="s">
        <v>23</v>
      </c>
      <c r="O462" s="13">
        <v>1540.625</v>
      </c>
      <c r="P462" s="152"/>
      <c r="Q462" s="17">
        <f t="shared" ref="Q462:Q466" si="8">O462/1.2</f>
        <v>1283.8541666666667</v>
      </c>
      <c r="S462" s="18"/>
    </row>
    <row r="463" spans="1:19" s="17" customFormat="1" ht="18.95" customHeight="1" outlineLevel="1" x14ac:dyDescent="0.25">
      <c r="A463" s="146" t="s">
        <v>65</v>
      </c>
      <c r="B463" s="146" t="s">
        <v>517</v>
      </c>
      <c r="C463" s="148"/>
      <c r="D463" s="137">
        <v>42723</v>
      </c>
      <c r="E463" s="178" t="s">
        <v>643</v>
      </c>
      <c r="F463" s="12">
        <v>43466</v>
      </c>
      <c r="G463" s="12">
        <v>43646</v>
      </c>
      <c r="H463" s="142" t="s">
        <v>644</v>
      </c>
      <c r="I463" s="26">
        <v>2501.2800000000002</v>
      </c>
      <c r="J463" s="14" t="s">
        <v>23</v>
      </c>
      <c r="K463" s="14" t="s">
        <v>23</v>
      </c>
      <c r="L463" s="5" t="s">
        <v>23</v>
      </c>
      <c r="M463" s="5" t="s">
        <v>23</v>
      </c>
      <c r="N463" s="5" t="s">
        <v>23</v>
      </c>
      <c r="O463" s="4"/>
      <c r="P463" s="153"/>
      <c r="Q463" s="17">
        <f t="shared" si="8"/>
        <v>0</v>
      </c>
      <c r="S463" s="18"/>
    </row>
    <row r="464" spans="1:19" s="17" customFormat="1" ht="18.95" customHeight="1" outlineLevel="1" x14ac:dyDescent="0.25">
      <c r="A464" s="148"/>
      <c r="B464" s="148"/>
      <c r="C464" s="148"/>
      <c r="D464" s="141"/>
      <c r="E464" s="179"/>
      <c r="F464" s="12">
        <v>43647</v>
      </c>
      <c r="G464" s="12">
        <v>43830</v>
      </c>
      <c r="H464" s="143"/>
      <c r="I464" s="26">
        <v>2600.1999999999998</v>
      </c>
      <c r="J464" s="14" t="s">
        <v>23</v>
      </c>
      <c r="K464" s="14" t="s">
        <v>23</v>
      </c>
      <c r="L464" s="5" t="s">
        <v>23</v>
      </c>
      <c r="M464" s="5" t="s">
        <v>23</v>
      </c>
      <c r="N464" s="5" t="s">
        <v>23</v>
      </c>
      <c r="O464" s="4" t="s">
        <v>23</v>
      </c>
      <c r="P464" s="152"/>
      <c r="Q464" s="17" t="e">
        <f t="shared" si="8"/>
        <v>#VALUE!</v>
      </c>
      <c r="S464" s="18"/>
    </row>
    <row r="465" spans="1:19" s="17" customFormat="1" ht="18.95" customHeight="1" outlineLevel="1" x14ac:dyDescent="0.25">
      <c r="A465" s="148"/>
      <c r="B465" s="148"/>
      <c r="C465" s="148"/>
      <c r="D465" s="137">
        <v>43454</v>
      </c>
      <c r="E465" s="137" t="s">
        <v>642</v>
      </c>
      <c r="F465" s="12">
        <v>43466</v>
      </c>
      <c r="G465" s="12">
        <v>43646</v>
      </c>
      <c r="H465" s="149"/>
      <c r="I465" s="15" t="s">
        <v>23</v>
      </c>
      <c r="J465" s="14" t="s">
        <v>23</v>
      </c>
      <c r="K465" s="14" t="s">
        <v>23</v>
      </c>
      <c r="L465" s="5" t="s">
        <v>23</v>
      </c>
      <c r="M465" s="5" t="s">
        <v>23</v>
      </c>
      <c r="N465" s="5" t="s">
        <v>23</v>
      </c>
      <c r="O465" s="13">
        <v>2547.9299999999998</v>
      </c>
      <c r="P465" s="153"/>
      <c r="Q465" s="17">
        <f t="shared" si="8"/>
        <v>2123.2750000000001</v>
      </c>
      <c r="R465" s="67">
        <f>I463-Q465</f>
        <v>378.00500000000011</v>
      </c>
      <c r="S465" s="18">
        <f>R465*352.698</f>
        <v>133321.60749000002</v>
      </c>
    </row>
    <row r="466" spans="1:19" s="17" customFormat="1" ht="18.95" customHeight="1" outlineLevel="1" x14ac:dyDescent="0.25">
      <c r="A466" s="147"/>
      <c r="B466" s="147"/>
      <c r="C466" s="147"/>
      <c r="D466" s="141"/>
      <c r="E466" s="141"/>
      <c r="F466" s="12">
        <v>43647</v>
      </c>
      <c r="G466" s="12">
        <v>43830</v>
      </c>
      <c r="H466" s="151"/>
      <c r="I466" s="15" t="s">
        <v>23</v>
      </c>
      <c r="J466" s="14" t="s">
        <v>23</v>
      </c>
      <c r="K466" s="14" t="s">
        <v>23</v>
      </c>
      <c r="L466" s="5" t="s">
        <v>23</v>
      </c>
      <c r="M466" s="5" t="s">
        <v>23</v>
      </c>
      <c r="N466" s="5" t="s">
        <v>23</v>
      </c>
      <c r="O466" s="13">
        <v>2547.9299999999998</v>
      </c>
      <c r="P466" s="152"/>
      <c r="Q466" s="17">
        <f t="shared" si="8"/>
        <v>2123.2750000000001</v>
      </c>
      <c r="R466" s="19"/>
      <c r="S466" s="18"/>
    </row>
    <row r="467" spans="1:19" s="17" customFormat="1" ht="18.95" customHeight="1" outlineLevel="1" x14ac:dyDescent="0.25">
      <c r="A467" s="146" t="s">
        <v>65</v>
      </c>
      <c r="B467" s="146" t="s">
        <v>176</v>
      </c>
      <c r="C467" s="157" t="s">
        <v>83</v>
      </c>
      <c r="D467" s="137">
        <v>43453</v>
      </c>
      <c r="E467" s="187" t="s">
        <v>664</v>
      </c>
      <c r="F467" s="12">
        <v>43466</v>
      </c>
      <c r="G467" s="12">
        <v>43646</v>
      </c>
      <c r="H467" s="142"/>
      <c r="I467" s="26">
        <v>2740.79</v>
      </c>
      <c r="J467" s="14" t="s">
        <v>23</v>
      </c>
      <c r="K467" s="14" t="s">
        <v>23</v>
      </c>
      <c r="L467" s="5" t="s">
        <v>23</v>
      </c>
      <c r="M467" s="5" t="s">
        <v>23</v>
      </c>
      <c r="N467" s="5" t="s">
        <v>23</v>
      </c>
      <c r="O467" s="15" t="s">
        <v>23</v>
      </c>
      <c r="P467" s="153"/>
      <c r="S467" s="18"/>
    </row>
    <row r="468" spans="1:19" s="17" customFormat="1" ht="18.95" customHeight="1" outlineLevel="1" x14ac:dyDescent="0.25">
      <c r="A468" s="147"/>
      <c r="B468" s="147"/>
      <c r="C468" s="157"/>
      <c r="D468" s="141"/>
      <c r="E468" s="188"/>
      <c r="F468" s="12">
        <v>43647</v>
      </c>
      <c r="G468" s="12">
        <v>43830</v>
      </c>
      <c r="H468" s="143"/>
      <c r="I468" s="26">
        <v>3579.09</v>
      </c>
      <c r="J468" s="14" t="s">
        <v>23</v>
      </c>
      <c r="K468" s="14" t="s">
        <v>23</v>
      </c>
      <c r="L468" s="5" t="s">
        <v>23</v>
      </c>
      <c r="M468" s="5" t="s">
        <v>23</v>
      </c>
      <c r="N468" s="5" t="s">
        <v>23</v>
      </c>
      <c r="O468" s="15" t="s">
        <v>23</v>
      </c>
      <c r="P468" s="152"/>
      <c r="R468" s="19"/>
      <c r="S468" s="18"/>
    </row>
    <row r="469" spans="1:19" s="17" customFormat="1" ht="18.95" customHeight="1" outlineLevel="1" x14ac:dyDescent="0.25">
      <c r="A469" s="146" t="s">
        <v>65</v>
      </c>
      <c r="B469" s="146" t="s">
        <v>361</v>
      </c>
      <c r="C469" s="146" t="s">
        <v>448</v>
      </c>
      <c r="D469" s="156">
        <v>43083</v>
      </c>
      <c r="E469" s="156" t="s">
        <v>608</v>
      </c>
      <c r="F469" s="12">
        <v>43466</v>
      </c>
      <c r="G469" s="12">
        <v>43646</v>
      </c>
      <c r="H469" s="142" t="s">
        <v>807</v>
      </c>
      <c r="I469" s="13">
        <v>2872.24</v>
      </c>
      <c r="J469" s="14" t="s">
        <v>23</v>
      </c>
      <c r="K469" s="14" t="s">
        <v>23</v>
      </c>
      <c r="L469" s="5" t="s">
        <v>23</v>
      </c>
      <c r="M469" s="5" t="s">
        <v>23</v>
      </c>
      <c r="N469" s="5" t="s">
        <v>23</v>
      </c>
      <c r="O469" s="4" t="s">
        <v>23</v>
      </c>
      <c r="P469" s="144" t="s">
        <v>331</v>
      </c>
      <c r="S469" s="18"/>
    </row>
    <row r="470" spans="1:19" s="17" customFormat="1" ht="18.95" customHeight="1" outlineLevel="1" x14ac:dyDescent="0.25">
      <c r="A470" s="148"/>
      <c r="B470" s="148"/>
      <c r="C470" s="148"/>
      <c r="D470" s="156"/>
      <c r="E470" s="156"/>
      <c r="F470" s="12">
        <v>43647</v>
      </c>
      <c r="G470" s="12">
        <v>43830</v>
      </c>
      <c r="H470" s="143"/>
      <c r="I470" s="13">
        <v>3270.55</v>
      </c>
      <c r="J470" s="14" t="s">
        <v>23</v>
      </c>
      <c r="K470" s="14" t="s">
        <v>23</v>
      </c>
      <c r="L470" s="5" t="s">
        <v>23</v>
      </c>
      <c r="M470" s="5" t="s">
        <v>23</v>
      </c>
      <c r="N470" s="5" t="s">
        <v>23</v>
      </c>
      <c r="O470" s="4" t="s">
        <v>23</v>
      </c>
      <c r="P470" s="158"/>
      <c r="S470" s="18"/>
    </row>
    <row r="471" spans="1:19" s="17" customFormat="1" ht="18.95" customHeight="1" outlineLevel="1" x14ac:dyDescent="0.25">
      <c r="A471" s="148"/>
      <c r="B471" s="148"/>
      <c r="C471" s="148"/>
      <c r="D471" s="137">
        <v>43454</v>
      </c>
      <c r="E471" s="137" t="s">
        <v>808</v>
      </c>
      <c r="F471" s="12">
        <v>43466</v>
      </c>
      <c r="G471" s="12">
        <v>43646</v>
      </c>
      <c r="H471" s="149"/>
      <c r="I471" s="15" t="s">
        <v>23</v>
      </c>
      <c r="J471" s="14" t="s">
        <v>23</v>
      </c>
      <c r="K471" s="14" t="s">
        <v>23</v>
      </c>
      <c r="L471" s="5" t="s">
        <v>23</v>
      </c>
      <c r="M471" s="5" t="s">
        <v>23</v>
      </c>
      <c r="N471" s="5" t="s">
        <v>23</v>
      </c>
      <c r="O471" s="13">
        <v>2794.23</v>
      </c>
      <c r="P471" s="158"/>
      <c r="S471" s="18"/>
    </row>
    <row r="472" spans="1:19" s="17" customFormat="1" ht="18.95" customHeight="1" outlineLevel="1" x14ac:dyDescent="0.25">
      <c r="A472" s="148"/>
      <c r="B472" s="148"/>
      <c r="C472" s="147"/>
      <c r="D472" s="141"/>
      <c r="E472" s="141"/>
      <c r="F472" s="12">
        <v>43647</v>
      </c>
      <c r="G472" s="12">
        <v>43830</v>
      </c>
      <c r="H472" s="151"/>
      <c r="I472" s="15" t="s">
        <v>23</v>
      </c>
      <c r="J472" s="14" t="s">
        <v>23</v>
      </c>
      <c r="K472" s="14" t="s">
        <v>23</v>
      </c>
      <c r="L472" s="5" t="s">
        <v>23</v>
      </c>
      <c r="M472" s="5" t="s">
        <v>23</v>
      </c>
      <c r="N472" s="5" t="s">
        <v>23</v>
      </c>
      <c r="O472" s="13">
        <v>2794.23</v>
      </c>
      <c r="P472" s="145"/>
      <c r="R472" s="19"/>
      <c r="S472" s="18"/>
    </row>
    <row r="473" spans="1:19" s="17" customFormat="1" ht="18.95" customHeight="1" outlineLevel="1" x14ac:dyDescent="0.25">
      <c r="A473" s="146" t="s">
        <v>65</v>
      </c>
      <c r="B473" s="146" t="s">
        <v>261</v>
      </c>
      <c r="C473" s="146" t="s">
        <v>111</v>
      </c>
      <c r="D473" s="137">
        <v>42723</v>
      </c>
      <c r="E473" s="137" t="s">
        <v>637</v>
      </c>
      <c r="F473" s="12">
        <v>43466</v>
      </c>
      <c r="G473" s="12">
        <v>43646</v>
      </c>
      <c r="H473" s="142" t="s">
        <v>636</v>
      </c>
      <c r="I473" s="13">
        <v>1871.72</v>
      </c>
      <c r="J473" s="14" t="s">
        <v>23</v>
      </c>
      <c r="K473" s="14" t="s">
        <v>23</v>
      </c>
      <c r="L473" s="5" t="s">
        <v>23</v>
      </c>
      <c r="M473" s="5" t="s">
        <v>23</v>
      </c>
      <c r="N473" s="5" t="s">
        <v>23</v>
      </c>
      <c r="O473" s="4" t="s">
        <v>23</v>
      </c>
      <c r="P473" s="153"/>
      <c r="S473" s="18"/>
    </row>
    <row r="474" spans="1:19" s="17" customFormat="1" ht="18.95" customHeight="1" outlineLevel="1" x14ac:dyDescent="0.25">
      <c r="A474" s="147" t="s">
        <v>260</v>
      </c>
      <c r="B474" s="147" t="s">
        <v>261</v>
      </c>
      <c r="C474" s="147" t="s">
        <v>22</v>
      </c>
      <c r="D474" s="141"/>
      <c r="E474" s="141"/>
      <c r="F474" s="12">
        <v>43647</v>
      </c>
      <c r="G474" s="12">
        <v>43830</v>
      </c>
      <c r="H474" s="143"/>
      <c r="I474" s="13">
        <v>1933.59</v>
      </c>
      <c r="J474" s="14" t="s">
        <v>23</v>
      </c>
      <c r="K474" s="14" t="s">
        <v>23</v>
      </c>
      <c r="L474" s="5" t="s">
        <v>23</v>
      </c>
      <c r="M474" s="5" t="s">
        <v>23</v>
      </c>
      <c r="N474" s="5" t="s">
        <v>23</v>
      </c>
      <c r="O474" s="4" t="s">
        <v>23</v>
      </c>
      <c r="P474" s="152"/>
      <c r="S474" s="18"/>
    </row>
    <row r="475" spans="1:19" s="17" customFormat="1" ht="18.95" customHeight="1" outlineLevel="1" x14ac:dyDescent="0.25">
      <c r="A475" s="146" t="s">
        <v>65</v>
      </c>
      <c r="B475" s="146" t="s">
        <v>261</v>
      </c>
      <c r="C475" s="146" t="s">
        <v>290</v>
      </c>
      <c r="D475" s="137">
        <v>42723</v>
      </c>
      <c r="E475" s="137" t="s">
        <v>695</v>
      </c>
      <c r="F475" s="12">
        <v>43466</v>
      </c>
      <c r="G475" s="12">
        <v>43646</v>
      </c>
      <c r="H475" s="146" t="s">
        <v>797</v>
      </c>
      <c r="I475" s="13">
        <v>2019.3</v>
      </c>
      <c r="J475" s="14" t="s">
        <v>23</v>
      </c>
      <c r="K475" s="14" t="s">
        <v>23</v>
      </c>
      <c r="L475" s="5" t="s">
        <v>23</v>
      </c>
      <c r="M475" s="5" t="s">
        <v>23</v>
      </c>
      <c r="N475" s="5" t="s">
        <v>23</v>
      </c>
      <c r="O475" s="4" t="s">
        <v>23</v>
      </c>
      <c r="P475" s="153"/>
      <c r="S475" s="18"/>
    </row>
    <row r="476" spans="1:19" s="17" customFormat="1" ht="18.95" customHeight="1" outlineLevel="1" x14ac:dyDescent="0.25">
      <c r="A476" s="148"/>
      <c r="B476" s="148"/>
      <c r="C476" s="148"/>
      <c r="D476" s="141"/>
      <c r="E476" s="141"/>
      <c r="F476" s="12">
        <v>43647</v>
      </c>
      <c r="G476" s="12">
        <v>43830</v>
      </c>
      <c r="H476" s="147"/>
      <c r="I476" s="13">
        <v>2069.86</v>
      </c>
      <c r="J476" s="14" t="s">
        <v>23</v>
      </c>
      <c r="K476" s="14" t="s">
        <v>23</v>
      </c>
      <c r="L476" s="5" t="s">
        <v>23</v>
      </c>
      <c r="M476" s="5" t="s">
        <v>23</v>
      </c>
      <c r="N476" s="5" t="s">
        <v>23</v>
      </c>
      <c r="O476" s="4" t="s">
        <v>23</v>
      </c>
      <c r="P476" s="152"/>
      <c r="S476" s="18"/>
    </row>
    <row r="477" spans="1:19" s="17" customFormat="1" ht="18.95" customHeight="1" outlineLevel="1" x14ac:dyDescent="0.25">
      <c r="A477" s="148"/>
      <c r="B477" s="148"/>
      <c r="C477" s="148"/>
      <c r="D477" s="137">
        <v>43454</v>
      </c>
      <c r="E477" s="137" t="s">
        <v>796</v>
      </c>
      <c r="F477" s="12">
        <v>43466</v>
      </c>
      <c r="G477" s="12">
        <v>43646</v>
      </c>
      <c r="H477" s="149"/>
      <c r="I477" s="15" t="s">
        <v>23</v>
      </c>
      <c r="J477" s="14" t="s">
        <v>23</v>
      </c>
      <c r="K477" s="14" t="s">
        <v>23</v>
      </c>
      <c r="L477" s="5" t="s">
        <v>23</v>
      </c>
      <c r="M477" s="5" t="s">
        <v>23</v>
      </c>
      <c r="N477" s="5" t="s">
        <v>23</v>
      </c>
      <c r="O477" s="13">
        <v>2181.2199999999998</v>
      </c>
      <c r="P477" s="153"/>
      <c r="S477" s="18"/>
    </row>
    <row r="478" spans="1:19" s="17" customFormat="1" ht="18.95" customHeight="1" outlineLevel="1" x14ac:dyDescent="0.25">
      <c r="A478" s="147"/>
      <c r="B478" s="147"/>
      <c r="C478" s="147"/>
      <c r="D478" s="141"/>
      <c r="E478" s="141"/>
      <c r="F478" s="12">
        <v>43647</v>
      </c>
      <c r="G478" s="12">
        <v>43830</v>
      </c>
      <c r="H478" s="151"/>
      <c r="I478" s="15" t="s">
        <v>23</v>
      </c>
      <c r="J478" s="14" t="s">
        <v>23</v>
      </c>
      <c r="K478" s="14" t="s">
        <v>23</v>
      </c>
      <c r="L478" s="5" t="s">
        <v>23</v>
      </c>
      <c r="M478" s="5" t="s">
        <v>23</v>
      </c>
      <c r="N478" s="5" t="s">
        <v>23</v>
      </c>
      <c r="O478" s="13">
        <v>2224.85</v>
      </c>
      <c r="P478" s="152"/>
      <c r="S478" s="18"/>
    </row>
    <row r="479" spans="1:19" s="17" customFormat="1" ht="18.95" customHeight="1" outlineLevel="1" x14ac:dyDescent="0.25">
      <c r="A479" s="6">
        <v>5</v>
      </c>
      <c r="B479" s="6" t="s">
        <v>149</v>
      </c>
      <c r="C479" s="7"/>
      <c r="D479" s="7"/>
      <c r="E479" s="7"/>
      <c r="F479" s="7"/>
      <c r="G479" s="7"/>
      <c r="H479" s="7"/>
      <c r="I479" s="8"/>
      <c r="J479" s="31"/>
      <c r="K479" s="31"/>
      <c r="L479" s="32"/>
      <c r="M479" s="32"/>
      <c r="N479" s="32"/>
      <c r="O479" s="8"/>
      <c r="P479" s="9"/>
      <c r="S479" s="18"/>
    </row>
    <row r="480" spans="1:19" s="17" customFormat="1" ht="18.95" customHeight="1" outlineLevel="1" x14ac:dyDescent="0.25">
      <c r="A480" s="146" t="s">
        <v>55</v>
      </c>
      <c r="B480" s="146" t="s">
        <v>278</v>
      </c>
      <c r="C480" s="146" t="s">
        <v>111</v>
      </c>
      <c r="D480" s="137">
        <v>42723</v>
      </c>
      <c r="E480" s="137" t="s">
        <v>637</v>
      </c>
      <c r="F480" s="12">
        <v>43466</v>
      </c>
      <c r="G480" s="12">
        <v>43646</v>
      </c>
      <c r="H480" s="142" t="s">
        <v>636</v>
      </c>
      <c r="I480" s="13">
        <v>1871.72</v>
      </c>
      <c r="J480" s="14" t="s">
        <v>23</v>
      </c>
      <c r="K480" s="14" t="s">
        <v>23</v>
      </c>
      <c r="L480" s="5" t="s">
        <v>23</v>
      </c>
      <c r="M480" s="5" t="s">
        <v>23</v>
      </c>
      <c r="N480" s="5" t="s">
        <v>23</v>
      </c>
      <c r="O480" s="15" t="s">
        <v>23</v>
      </c>
      <c r="P480" s="153"/>
      <c r="R480" s="19"/>
      <c r="S480" s="18"/>
    </row>
    <row r="481" spans="1:19" s="17" customFormat="1" ht="18.95" customHeight="1" outlineLevel="1" x14ac:dyDescent="0.25">
      <c r="A481" s="148" t="s">
        <v>55</v>
      </c>
      <c r="B481" s="148" t="s">
        <v>274</v>
      </c>
      <c r="C481" s="148" t="s">
        <v>22</v>
      </c>
      <c r="D481" s="141"/>
      <c r="E481" s="141"/>
      <c r="F481" s="12">
        <v>43647</v>
      </c>
      <c r="G481" s="12">
        <v>43830</v>
      </c>
      <c r="H481" s="143"/>
      <c r="I481" s="13">
        <v>1933.59</v>
      </c>
      <c r="J481" s="14" t="s">
        <v>23</v>
      </c>
      <c r="K481" s="14" t="s">
        <v>23</v>
      </c>
      <c r="L481" s="5" t="s">
        <v>23</v>
      </c>
      <c r="M481" s="5" t="s">
        <v>23</v>
      </c>
      <c r="N481" s="5" t="s">
        <v>23</v>
      </c>
      <c r="O481" s="15" t="s">
        <v>23</v>
      </c>
      <c r="P481" s="152"/>
      <c r="S481" s="18"/>
    </row>
    <row r="482" spans="1:19" s="17" customFormat="1" ht="18.95" customHeight="1" outlineLevel="1" x14ac:dyDescent="0.25">
      <c r="A482" s="148"/>
      <c r="B482" s="148"/>
      <c r="C482" s="148"/>
      <c r="D482" s="137">
        <v>43454</v>
      </c>
      <c r="E482" s="137" t="s">
        <v>638</v>
      </c>
      <c r="F482" s="12">
        <v>43466</v>
      </c>
      <c r="G482" s="12">
        <v>43646</v>
      </c>
      <c r="H482" s="142"/>
      <c r="I482" s="73" t="s">
        <v>23</v>
      </c>
      <c r="J482" s="72"/>
      <c r="K482" s="72"/>
      <c r="L482" s="5"/>
      <c r="M482" s="5"/>
      <c r="N482" s="5"/>
      <c r="O482" s="13">
        <v>2246.06</v>
      </c>
      <c r="P482" s="153"/>
      <c r="S482" s="18"/>
    </row>
    <row r="483" spans="1:19" s="17" customFormat="1" ht="18.95" customHeight="1" outlineLevel="1" x14ac:dyDescent="0.25">
      <c r="A483" s="147"/>
      <c r="B483" s="147"/>
      <c r="C483" s="147"/>
      <c r="D483" s="141"/>
      <c r="E483" s="141"/>
      <c r="F483" s="12">
        <v>43647</v>
      </c>
      <c r="G483" s="12">
        <v>43830</v>
      </c>
      <c r="H483" s="143"/>
      <c r="I483" s="73" t="s">
        <v>23</v>
      </c>
      <c r="J483" s="72"/>
      <c r="K483" s="72"/>
      <c r="L483" s="5"/>
      <c r="M483" s="5"/>
      <c r="N483" s="5"/>
      <c r="O483" s="13">
        <v>2290.9899999999998</v>
      </c>
      <c r="P483" s="152"/>
      <c r="S483" s="18"/>
    </row>
    <row r="484" spans="1:19" s="17" customFormat="1" ht="18.95" customHeight="1" outlineLevel="1" x14ac:dyDescent="0.25">
      <c r="A484" s="146" t="s">
        <v>55</v>
      </c>
      <c r="B484" s="146" t="s">
        <v>186</v>
      </c>
      <c r="C484" s="146" t="s">
        <v>187</v>
      </c>
      <c r="D484" s="137">
        <v>43454</v>
      </c>
      <c r="E484" s="137" t="s">
        <v>788</v>
      </c>
      <c r="F484" s="12">
        <v>43466</v>
      </c>
      <c r="G484" s="12">
        <v>43646</v>
      </c>
      <c r="H484" s="142"/>
      <c r="I484" s="13">
        <v>593.84</v>
      </c>
      <c r="J484" s="14" t="s">
        <v>23</v>
      </c>
      <c r="K484" s="14" t="s">
        <v>23</v>
      </c>
      <c r="L484" s="5" t="s">
        <v>23</v>
      </c>
      <c r="M484" s="5" t="s">
        <v>23</v>
      </c>
      <c r="N484" s="5" t="s">
        <v>23</v>
      </c>
      <c r="O484" s="15" t="s">
        <v>85</v>
      </c>
      <c r="P484" s="153"/>
      <c r="R484" s="19"/>
      <c r="S484" s="18"/>
    </row>
    <row r="485" spans="1:19" s="17" customFormat="1" ht="18.95" customHeight="1" outlineLevel="1" x14ac:dyDescent="0.25">
      <c r="A485" s="147" t="s">
        <v>55</v>
      </c>
      <c r="B485" s="147"/>
      <c r="C485" s="147"/>
      <c r="D485" s="141"/>
      <c r="E485" s="141"/>
      <c r="F485" s="12">
        <v>43647</v>
      </c>
      <c r="G485" s="12">
        <v>43830</v>
      </c>
      <c r="H485" s="143"/>
      <c r="I485" s="13">
        <v>605.71</v>
      </c>
      <c r="J485" s="14" t="s">
        <v>23</v>
      </c>
      <c r="K485" s="14" t="s">
        <v>23</v>
      </c>
      <c r="L485" s="5" t="s">
        <v>23</v>
      </c>
      <c r="M485" s="5" t="s">
        <v>23</v>
      </c>
      <c r="N485" s="5" t="s">
        <v>23</v>
      </c>
      <c r="O485" s="15" t="s">
        <v>85</v>
      </c>
      <c r="P485" s="152"/>
      <c r="S485" s="18"/>
    </row>
    <row r="486" spans="1:19" s="17" customFormat="1" ht="18.95" customHeight="1" outlineLevel="1" x14ac:dyDescent="0.25">
      <c r="A486" s="146" t="s">
        <v>55</v>
      </c>
      <c r="B486" s="146" t="s">
        <v>248</v>
      </c>
      <c r="C486" s="146" t="s">
        <v>505</v>
      </c>
      <c r="D486" s="137">
        <v>42720</v>
      </c>
      <c r="E486" s="137" t="s">
        <v>354</v>
      </c>
      <c r="F486" s="12">
        <v>43466</v>
      </c>
      <c r="G486" s="12">
        <v>43646</v>
      </c>
      <c r="H486" s="142" t="s">
        <v>476</v>
      </c>
      <c r="I486" s="13">
        <v>2453.56</v>
      </c>
      <c r="J486" s="14" t="s">
        <v>23</v>
      </c>
      <c r="K486" s="14" t="s">
        <v>23</v>
      </c>
      <c r="L486" s="5" t="s">
        <v>23</v>
      </c>
      <c r="M486" s="5" t="s">
        <v>23</v>
      </c>
      <c r="N486" s="5" t="s">
        <v>23</v>
      </c>
      <c r="O486" s="15" t="s">
        <v>23</v>
      </c>
      <c r="P486" s="153"/>
      <c r="S486" s="18"/>
    </row>
    <row r="487" spans="1:19" s="17" customFormat="1" ht="18.95" customHeight="1" outlineLevel="1" x14ac:dyDescent="0.25">
      <c r="A487" s="147" t="s">
        <v>55</v>
      </c>
      <c r="B487" s="147" t="s">
        <v>250</v>
      </c>
      <c r="C487" s="147" t="s">
        <v>249</v>
      </c>
      <c r="D487" s="141"/>
      <c r="E487" s="141"/>
      <c r="F487" s="12">
        <v>43647</v>
      </c>
      <c r="G487" s="12">
        <v>43830</v>
      </c>
      <c r="H487" s="143"/>
      <c r="I487" s="13">
        <v>2525.54</v>
      </c>
      <c r="J487" s="14" t="s">
        <v>23</v>
      </c>
      <c r="K487" s="14" t="s">
        <v>23</v>
      </c>
      <c r="L487" s="5" t="s">
        <v>23</v>
      </c>
      <c r="M487" s="5" t="s">
        <v>23</v>
      </c>
      <c r="N487" s="5" t="s">
        <v>23</v>
      </c>
      <c r="O487" s="15" t="s">
        <v>23</v>
      </c>
      <c r="P487" s="152"/>
      <c r="S487" s="18"/>
    </row>
    <row r="488" spans="1:19" s="17" customFormat="1" ht="18.95" customHeight="1" outlineLevel="1" x14ac:dyDescent="0.25">
      <c r="A488" s="146" t="s">
        <v>55</v>
      </c>
      <c r="B488" s="146" t="s">
        <v>251</v>
      </c>
      <c r="C488" s="146" t="s">
        <v>252</v>
      </c>
      <c r="D488" s="137">
        <v>43453</v>
      </c>
      <c r="E488" s="137" t="s">
        <v>450</v>
      </c>
      <c r="F488" s="12">
        <v>43466</v>
      </c>
      <c r="G488" s="12">
        <v>43646</v>
      </c>
      <c r="H488" s="142"/>
      <c r="I488" s="13">
        <v>1057.6099999999999</v>
      </c>
      <c r="J488" s="14" t="s">
        <v>23</v>
      </c>
      <c r="K488" s="14" t="s">
        <v>23</v>
      </c>
      <c r="L488" s="5" t="s">
        <v>23</v>
      </c>
      <c r="M488" s="5" t="s">
        <v>23</v>
      </c>
      <c r="N488" s="5" t="s">
        <v>23</v>
      </c>
      <c r="O488" s="4" t="s">
        <v>23</v>
      </c>
      <c r="P488" s="153"/>
      <c r="S488" s="18"/>
    </row>
    <row r="489" spans="1:19" s="17" customFormat="1" ht="18.95" customHeight="1" outlineLevel="1" x14ac:dyDescent="0.25">
      <c r="A489" s="147" t="s">
        <v>55</v>
      </c>
      <c r="B489" s="147" t="s">
        <v>250</v>
      </c>
      <c r="C489" s="147" t="s">
        <v>249</v>
      </c>
      <c r="D489" s="141"/>
      <c r="E489" s="141"/>
      <c r="F489" s="12">
        <v>43647</v>
      </c>
      <c r="G489" s="12">
        <v>43830</v>
      </c>
      <c r="H489" s="143"/>
      <c r="I489" s="13">
        <v>1097.95</v>
      </c>
      <c r="J489" s="14" t="s">
        <v>23</v>
      </c>
      <c r="K489" s="14" t="s">
        <v>23</v>
      </c>
      <c r="L489" s="5" t="s">
        <v>23</v>
      </c>
      <c r="M489" s="5" t="s">
        <v>23</v>
      </c>
      <c r="N489" s="5" t="s">
        <v>23</v>
      </c>
      <c r="O489" s="4" t="s">
        <v>23</v>
      </c>
      <c r="P489" s="152"/>
      <c r="S489" s="18"/>
    </row>
    <row r="490" spans="1:19" s="17" customFormat="1" ht="18.95" customHeight="1" outlineLevel="1" x14ac:dyDescent="0.25">
      <c r="A490" s="146" t="s">
        <v>55</v>
      </c>
      <c r="B490" s="146" t="s">
        <v>253</v>
      </c>
      <c r="C490" s="146" t="s">
        <v>332</v>
      </c>
      <c r="D490" s="137">
        <v>43448</v>
      </c>
      <c r="E490" s="137" t="s">
        <v>477</v>
      </c>
      <c r="F490" s="12">
        <v>43466</v>
      </c>
      <c r="G490" s="12">
        <v>43646</v>
      </c>
      <c r="H490" s="142"/>
      <c r="I490" s="13">
        <v>1637.79</v>
      </c>
      <c r="J490" s="14" t="s">
        <v>23</v>
      </c>
      <c r="K490" s="14" t="s">
        <v>23</v>
      </c>
      <c r="L490" s="5" t="s">
        <v>23</v>
      </c>
      <c r="M490" s="5" t="s">
        <v>23</v>
      </c>
      <c r="N490" s="5" t="s">
        <v>23</v>
      </c>
      <c r="O490" s="15" t="s">
        <v>23</v>
      </c>
      <c r="P490" s="153"/>
      <c r="R490" s="19"/>
      <c r="S490" s="18"/>
    </row>
    <row r="491" spans="1:19" s="17" customFormat="1" ht="18.95" customHeight="1" outlineLevel="1" x14ac:dyDescent="0.25">
      <c r="A491" s="147" t="s">
        <v>55</v>
      </c>
      <c r="B491" s="147" t="s">
        <v>253</v>
      </c>
      <c r="C491" s="147" t="s">
        <v>254</v>
      </c>
      <c r="D491" s="141"/>
      <c r="E491" s="141"/>
      <c r="F491" s="12">
        <v>43647</v>
      </c>
      <c r="G491" s="12">
        <v>43830</v>
      </c>
      <c r="H491" s="143"/>
      <c r="I491" s="13">
        <v>1758.52</v>
      </c>
      <c r="J491" s="14" t="s">
        <v>23</v>
      </c>
      <c r="K491" s="14" t="s">
        <v>23</v>
      </c>
      <c r="L491" s="5" t="s">
        <v>23</v>
      </c>
      <c r="M491" s="5" t="s">
        <v>23</v>
      </c>
      <c r="N491" s="5" t="s">
        <v>23</v>
      </c>
      <c r="O491" s="15" t="s">
        <v>23</v>
      </c>
      <c r="P491" s="152"/>
      <c r="S491" s="18"/>
    </row>
    <row r="492" spans="1:19" s="17" customFormat="1" ht="18.95" customHeight="1" outlineLevel="1" x14ac:dyDescent="0.25">
      <c r="A492" s="146" t="s">
        <v>55</v>
      </c>
      <c r="B492" s="146" t="s">
        <v>255</v>
      </c>
      <c r="C492" s="146" t="s">
        <v>83</v>
      </c>
      <c r="D492" s="137">
        <v>43451</v>
      </c>
      <c r="E492" s="137" t="s">
        <v>478</v>
      </c>
      <c r="F492" s="12">
        <v>43466</v>
      </c>
      <c r="G492" s="12">
        <v>43646</v>
      </c>
      <c r="H492" s="142"/>
      <c r="I492" s="13">
        <v>3309.9</v>
      </c>
      <c r="J492" s="14" t="s">
        <v>23</v>
      </c>
      <c r="K492" s="14" t="s">
        <v>23</v>
      </c>
      <c r="L492" s="5" t="s">
        <v>23</v>
      </c>
      <c r="M492" s="5" t="s">
        <v>23</v>
      </c>
      <c r="N492" s="5" t="s">
        <v>23</v>
      </c>
      <c r="O492" s="4" t="s">
        <v>23</v>
      </c>
      <c r="P492" s="153"/>
      <c r="S492" s="18"/>
    </row>
    <row r="493" spans="1:19" s="17" customFormat="1" ht="18.95" customHeight="1" outlineLevel="1" x14ac:dyDescent="0.25">
      <c r="A493" s="148"/>
      <c r="B493" s="148"/>
      <c r="C493" s="148"/>
      <c r="D493" s="141"/>
      <c r="E493" s="141"/>
      <c r="F493" s="12">
        <v>43647</v>
      </c>
      <c r="G493" s="12">
        <v>43830</v>
      </c>
      <c r="H493" s="143"/>
      <c r="I493" s="13">
        <v>3508.53</v>
      </c>
      <c r="J493" s="14" t="s">
        <v>23</v>
      </c>
      <c r="K493" s="14" t="s">
        <v>23</v>
      </c>
      <c r="L493" s="5" t="s">
        <v>23</v>
      </c>
      <c r="M493" s="5" t="s">
        <v>23</v>
      </c>
      <c r="N493" s="5" t="s">
        <v>23</v>
      </c>
      <c r="O493" s="4" t="s">
        <v>23</v>
      </c>
      <c r="P493" s="152"/>
      <c r="S493" s="18"/>
    </row>
    <row r="494" spans="1:19" s="17" customFormat="1" ht="18.95" customHeight="1" outlineLevel="1" x14ac:dyDescent="0.25">
      <c r="A494" s="148"/>
      <c r="B494" s="148"/>
      <c r="C494" s="148"/>
      <c r="D494" s="137">
        <v>43454</v>
      </c>
      <c r="E494" s="137" t="s">
        <v>479</v>
      </c>
      <c r="F494" s="12">
        <v>43466</v>
      </c>
      <c r="G494" s="12">
        <v>43646</v>
      </c>
      <c r="H494" s="149"/>
      <c r="I494" s="15" t="s">
        <v>23</v>
      </c>
      <c r="J494" s="14" t="s">
        <v>23</v>
      </c>
      <c r="K494" s="14" t="s">
        <v>23</v>
      </c>
      <c r="L494" s="5" t="s">
        <v>23</v>
      </c>
      <c r="M494" s="5" t="s">
        <v>23</v>
      </c>
      <c r="N494" s="5" t="s">
        <v>23</v>
      </c>
      <c r="O494" s="13">
        <v>2979.69</v>
      </c>
      <c r="P494" s="153"/>
      <c r="R494" s="19"/>
      <c r="S494" s="18"/>
    </row>
    <row r="495" spans="1:19" s="17" customFormat="1" ht="18.95" customHeight="1" outlineLevel="1" x14ac:dyDescent="0.25">
      <c r="A495" s="147"/>
      <c r="B495" s="147"/>
      <c r="C495" s="147"/>
      <c r="D495" s="141"/>
      <c r="E495" s="141"/>
      <c r="F495" s="12">
        <v>43647</v>
      </c>
      <c r="G495" s="12">
        <v>43830</v>
      </c>
      <c r="H495" s="151"/>
      <c r="I495" s="15" t="s">
        <v>23</v>
      </c>
      <c r="J495" s="14" t="s">
        <v>23</v>
      </c>
      <c r="K495" s="14" t="s">
        <v>23</v>
      </c>
      <c r="L495" s="5" t="s">
        <v>23</v>
      </c>
      <c r="M495" s="5" t="s">
        <v>23</v>
      </c>
      <c r="N495" s="5" t="s">
        <v>23</v>
      </c>
      <c r="O495" s="13">
        <v>2979.69</v>
      </c>
      <c r="P495" s="152"/>
      <c r="S495" s="18"/>
    </row>
    <row r="496" spans="1:19" s="17" customFormat="1" ht="18.95" customHeight="1" outlineLevel="1" x14ac:dyDescent="0.25">
      <c r="A496" s="146" t="s">
        <v>55</v>
      </c>
      <c r="B496" s="146" t="s">
        <v>186</v>
      </c>
      <c r="C496" s="146" t="s">
        <v>318</v>
      </c>
      <c r="D496" s="137">
        <v>42717</v>
      </c>
      <c r="E496" s="137" t="s">
        <v>355</v>
      </c>
      <c r="F496" s="12">
        <v>43466</v>
      </c>
      <c r="G496" s="12">
        <v>43646</v>
      </c>
      <c r="H496" s="142" t="s">
        <v>480</v>
      </c>
      <c r="I496" s="13">
        <v>1045.54</v>
      </c>
      <c r="J496" s="14" t="s">
        <v>23</v>
      </c>
      <c r="K496" s="14" t="s">
        <v>23</v>
      </c>
      <c r="L496" s="5" t="s">
        <v>23</v>
      </c>
      <c r="M496" s="5" t="s">
        <v>23</v>
      </c>
      <c r="N496" s="5" t="s">
        <v>23</v>
      </c>
      <c r="O496" s="4" t="s">
        <v>23</v>
      </c>
      <c r="P496" s="153"/>
      <c r="S496" s="18"/>
    </row>
    <row r="497" spans="1:19" s="17" customFormat="1" ht="18.95" customHeight="1" outlineLevel="1" x14ac:dyDescent="0.25">
      <c r="A497" s="148"/>
      <c r="B497" s="148"/>
      <c r="C497" s="148"/>
      <c r="D497" s="141"/>
      <c r="E497" s="141"/>
      <c r="F497" s="12">
        <v>43647</v>
      </c>
      <c r="G497" s="12">
        <v>43830</v>
      </c>
      <c r="H497" s="143"/>
      <c r="I497" s="13">
        <v>1066.23</v>
      </c>
      <c r="J497" s="14" t="s">
        <v>23</v>
      </c>
      <c r="K497" s="14" t="s">
        <v>23</v>
      </c>
      <c r="L497" s="5" t="s">
        <v>23</v>
      </c>
      <c r="M497" s="5" t="s">
        <v>23</v>
      </c>
      <c r="N497" s="5" t="s">
        <v>23</v>
      </c>
      <c r="O497" s="4" t="s">
        <v>23</v>
      </c>
      <c r="P497" s="152"/>
      <c r="S497" s="18"/>
    </row>
    <row r="498" spans="1:19" s="17" customFormat="1" ht="18.95" customHeight="1" outlineLevel="1" x14ac:dyDescent="0.25">
      <c r="A498" s="148"/>
      <c r="B498" s="148"/>
      <c r="C498" s="148"/>
      <c r="D498" s="137">
        <v>43454</v>
      </c>
      <c r="E498" s="137" t="s">
        <v>479</v>
      </c>
      <c r="F498" s="12">
        <v>43466</v>
      </c>
      <c r="G498" s="12">
        <v>43646</v>
      </c>
      <c r="H498" s="149"/>
      <c r="I498" s="15" t="s">
        <v>23</v>
      </c>
      <c r="J498" s="14" t="s">
        <v>23</v>
      </c>
      <c r="K498" s="14" t="s">
        <v>23</v>
      </c>
      <c r="L498" s="5" t="s">
        <v>23</v>
      </c>
      <c r="M498" s="5" t="s">
        <v>23</v>
      </c>
      <c r="N498" s="5" t="s">
        <v>23</v>
      </c>
      <c r="O498" s="13">
        <v>1254.6500000000001</v>
      </c>
      <c r="P498" s="144" t="s">
        <v>444</v>
      </c>
      <c r="R498" s="19"/>
      <c r="S498" s="18"/>
    </row>
    <row r="499" spans="1:19" s="17" customFormat="1" ht="18.95" customHeight="1" outlineLevel="1" x14ac:dyDescent="0.25">
      <c r="A499" s="148"/>
      <c r="B499" s="148"/>
      <c r="C499" s="148"/>
      <c r="D499" s="138"/>
      <c r="E499" s="138"/>
      <c r="F499" s="12">
        <v>43647</v>
      </c>
      <c r="G499" s="12">
        <v>43830</v>
      </c>
      <c r="H499" s="150"/>
      <c r="I499" s="15" t="s">
        <v>23</v>
      </c>
      <c r="J499" s="14" t="s">
        <v>23</v>
      </c>
      <c r="K499" s="14" t="s">
        <v>23</v>
      </c>
      <c r="L499" s="5" t="s">
        <v>23</v>
      </c>
      <c r="M499" s="5" t="s">
        <v>23</v>
      </c>
      <c r="N499" s="5" t="s">
        <v>23</v>
      </c>
      <c r="O499" s="13">
        <v>1279.48</v>
      </c>
      <c r="P499" s="145"/>
      <c r="S499" s="18"/>
    </row>
    <row r="500" spans="1:19" s="17" customFormat="1" ht="18.95" customHeight="1" outlineLevel="1" x14ac:dyDescent="0.25">
      <c r="A500" s="148"/>
      <c r="B500" s="148"/>
      <c r="C500" s="148"/>
      <c r="D500" s="138"/>
      <c r="E500" s="138"/>
      <c r="F500" s="12">
        <v>43466</v>
      </c>
      <c r="G500" s="12">
        <v>43646</v>
      </c>
      <c r="H500" s="150"/>
      <c r="I500" s="15" t="s">
        <v>23</v>
      </c>
      <c r="J500" s="14" t="s">
        <v>23</v>
      </c>
      <c r="K500" s="14" t="s">
        <v>23</v>
      </c>
      <c r="L500" s="5" t="s">
        <v>23</v>
      </c>
      <c r="M500" s="5" t="s">
        <v>23</v>
      </c>
      <c r="N500" s="5" t="s">
        <v>23</v>
      </c>
      <c r="O500" s="13">
        <v>933.27</v>
      </c>
      <c r="P500" s="144" t="s">
        <v>446</v>
      </c>
      <c r="S500" s="18"/>
    </row>
    <row r="501" spans="1:19" s="17" customFormat="1" ht="18.95" customHeight="1" outlineLevel="1" x14ac:dyDescent="0.25">
      <c r="A501" s="147"/>
      <c r="B501" s="147"/>
      <c r="C501" s="147"/>
      <c r="D501" s="141"/>
      <c r="E501" s="141"/>
      <c r="F501" s="12">
        <v>43647</v>
      </c>
      <c r="G501" s="12">
        <v>43830</v>
      </c>
      <c r="H501" s="151"/>
      <c r="I501" s="15" t="s">
        <v>23</v>
      </c>
      <c r="J501" s="14" t="s">
        <v>23</v>
      </c>
      <c r="K501" s="14" t="s">
        <v>23</v>
      </c>
      <c r="L501" s="5" t="s">
        <v>23</v>
      </c>
      <c r="M501" s="5" t="s">
        <v>23</v>
      </c>
      <c r="N501" s="5" t="s">
        <v>23</v>
      </c>
      <c r="O501" s="13">
        <v>951.94</v>
      </c>
      <c r="P501" s="145"/>
      <c r="S501" s="18"/>
    </row>
    <row r="502" spans="1:19" s="17" customFormat="1" ht="18.95" customHeight="1" outlineLevel="1" x14ac:dyDescent="0.25">
      <c r="A502" s="157" t="s">
        <v>55</v>
      </c>
      <c r="B502" s="146" t="s">
        <v>255</v>
      </c>
      <c r="C502" s="148"/>
      <c r="D502" s="138">
        <v>43454</v>
      </c>
      <c r="E502" s="138" t="s">
        <v>481</v>
      </c>
      <c r="F502" s="12">
        <v>43466</v>
      </c>
      <c r="G502" s="12">
        <v>43646</v>
      </c>
      <c r="H502" s="142"/>
      <c r="I502" s="13">
        <v>2710.1</v>
      </c>
      <c r="J502" s="14" t="s">
        <v>23</v>
      </c>
      <c r="K502" s="14" t="s">
        <v>23</v>
      </c>
      <c r="L502" s="5" t="s">
        <v>23</v>
      </c>
      <c r="M502" s="5" t="s">
        <v>23</v>
      </c>
      <c r="N502" s="5" t="s">
        <v>23</v>
      </c>
      <c r="O502" s="4" t="s">
        <v>23</v>
      </c>
      <c r="P502" s="153"/>
      <c r="R502" s="19"/>
      <c r="S502" s="18"/>
    </row>
    <row r="503" spans="1:19" s="17" customFormat="1" ht="18.95" customHeight="1" outlineLevel="1" x14ac:dyDescent="0.25">
      <c r="A503" s="157"/>
      <c r="B503" s="148"/>
      <c r="C503" s="148"/>
      <c r="D503" s="138"/>
      <c r="E503" s="138"/>
      <c r="F503" s="12">
        <v>43647</v>
      </c>
      <c r="G503" s="12">
        <v>43830</v>
      </c>
      <c r="H503" s="143"/>
      <c r="I503" s="13">
        <v>2734.19</v>
      </c>
      <c r="J503" s="14" t="s">
        <v>23</v>
      </c>
      <c r="K503" s="14" t="s">
        <v>23</v>
      </c>
      <c r="L503" s="5" t="s">
        <v>23</v>
      </c>
      <c r="M503" s="5" t="s">
        <v>23</v>
      </c>
      <c r="N503" s="5" t="s">
        <v>23</v>
      </c>
      <c r="O503" s="4" t="s">
        <v>23</v>
      </c>
      <c r="P503" s="152"/>
      <c r="S503" s="18"/>
    </row>
    <row r="504" spans="1:19" s="17" customFormat="1" ht="18.95" customHeight="1" outlineLevel="1" x14ac:dyDescent="0.25">
      <c r="A504" s="157"/>
      <c r="B504" s="148"/>
      <c r="C504" s="148"/>
      <c r="D504" s="137">
        <v>43454</v>
      </c>
      <c r="E504" s="137" t="s">
        <v>479</v>
      </c>
      <c r="F504" s="12">
        <v>43466</v>
      </c>
      <c r="G504" s="12">
        <v>43646</v>
      </c>
      <c r="H504" s="149"/>
      <c r="I504" s="15" t="s">
        <v>23</v>
      </c>
      <c r="J504" s="14" t="s">
        <v>23</v>
      </c>
      <c r="K504" s="14" t="s">
        <v>23</v>
      </c>
      <c r="L504" s="5" t="s">
        <v>23</v>
      </c>
      <c r="M504" s="5" t="s">
        <v>23</v>
      </c>
      <c r="N504" s="5" t="s">
        <v>23</v>
      </c>
      <c r="O504" s="13">
        <v>2230.73</v>
      </c>
      <c r="P504" s="144" t="s">
        <v>444</v>
      </c>
      <c r="Q504" s="17">
        <f>O504/1.2</f>
        <v>1858.9416666666668</v>
      </c>
      <c r="R504" s="67">
        <f>I502-Q504</f>
        <v>851.15833333333308</v>
      </c>
      <c r="S504" s="18">
        <f>R504*1321.852</f>
        <v>1125105.3452333331</v>
      </c>
    </row>
    <row r="505" spans="1:19" s="17" customFormat="1" ht="18.95" customHeight="1" outlineLevel="1" x14ac:dyDescent="0.25">
      <c r="A505" s="157"/>
      <c r="B505" s="148"/>
      <c r="C505" s="148"/>
      <c r="D505" s="138"/>
      <c r="E505" s="138"/>
      <c r="F505" s="12">
        <v>43647</v>
      </c>
      <c r="G505" s="12">
        <v>43830</v>
      </c>
      <c r="H505" s="150"/>
      <c r="I505" s="15" t="s">
        <v>23</v>
      </c>
      <c r="J505" s="14" t="s">
        <v>23</v>
      </c>
      <c r="K505" s="14" t="s">
        <v>23</v>
      </c>
      <c r="L505" s="5" t="s">
        <v>23</v>
      </c>
      <c r="M505" s="5" t="s">
        <v>23</v>
      </c>
      <c r="N505" s="5" t="s">
        <v>23</v>
      </c>
      <c r="O505" s="13">
        <v>2275.34</v>
      </c>
      <c r="P505" s="145"/>
      <c r="S505" s="18"/>
    </row>
    <row r="506" spans="1:19" s="17" customFormat="1" ht="18.95" customHeight="1" outlineLevel="1" x14ac:dyDescent="0.25">
      <c r="A506" s="157"/>
      <c r="B506" s="148"/>
      <c r="C506" s="148"/>
      <c r="D506" s="138"/>
      <c r="E506" s="138"/>
      <c r="F506" s="12">
        <v>43466</v>
      </c>
      <c r="G506" s="12">
        <v>43646</v>
      </c>
      <c r="H506" s="150"/>
      <c r="I506" s="15" t="s">
        <v>23</v>
      </c>
      <c r="J506" s="14" t="s">
        <v>23</v>
      </c>
      <c r="K506" s="14" t="s">
        <v>23</v>
      </c>
      <c r="L506" s="5" t="s">
        <v>23</v>
      </c>
      <c r="M506" s="5" t="s">
        <v>23</v>
      </c>
      <c r="N506" s="5" t="s">
        <v>23</v>
      </c>
      <c r="O506" s="13">
        <v>1599.61</v>
      </c>
      <c r="P506" s="144" t="s">
        <v>446</v>
      </c>
      <c r="Q506" s="17">
        <f>O506/1.2</f>
        <v>1333.0083333333332</v>
      </c>
      <c r="R506" s="67">
        <f>I502-Q506</f>
        <v>1377.0916666666667</v>
      </c>
      <c r="S506" s="18">
        <f>R506*33.833</f>
        <v>46591.142358333331</v>
      </c>
    </row>
    <row r="507" spans="1:19" s="17" customFormat="1" ht="18.95" customHeight="1" outlineLevel="1" x14ac:dyDescent="0.25">
      <c r="A507" s="157"/>
      <c r="B507" s="147"/>
      <c r="C507" s="148"/>
      <c r="D507" s="141"/>
      <c r="E507" s="141"/>
      <c r="F507" s="12">
        <v>43647</v>
      </c>
      <c r="G507" s="12">
        <v>43830</v>
      </c>
      <c r="H507" s="151"/>
      <c r="I507" s="15" t="s">
        <v>23</v>
      </c>
      <c r="J507" s="14" t="s">
        <v>23</v>
      </c>
      <c r="K507" s="14" t="s">
        <v>23</v>
      </c>
      <c r="L507" s="5" t="s">
        <v>23</v>
      </c>
      <c r="M507" s="5" t="s">
        <v>23</v>
      </c>
      <c r="N507" s="5" t="s">
        <v>23</v>
      </c>
      <c r="O507" s="13">
        <v>1631.6</v>
      </c>
      <c r="P507" s="145"/>
      <c r="S507" s="18"/>
    </row>
    <row r="508" spans="1:19" s="17" customFormat="1" ht="18.95" customHeight="1" outlineLevel="1" x14ac:dyDescent="0.25">
      <c r="A508" s="157" t="s">
        <v>55</v>
      </c>
      <c r="B508" s="146" t="s">
        <v>518</v>
      </c>
      <c r="C508" s="148"/>
      <c r="D508" s="137">
        <f>$D$502</f>
        <v>43454</v>
      </c>
      <c r="E508" s="137" t="str">
        <f>$E$502</f>
        <v>565-п</v>
      </c>
      <c r="F508" s="12">
        <v>43466</v>
      </c>
      <c r="G508" s="12">
        <v>43646</v>
      </c>
      <c r="H508" s="142"/>
      <c r="I508" s="13">
        <f>$I$502</f>
        <v>2710.1</v>
      </c>
      <c r="J508" s="14" t="s">
        <v>23</v>
      </c>
      <c r="K508" s="14" t="s">
        <v>23</v>
      </c>
      <c r="L508" s="5" t="s">
        <v>23</v>
      </c>
      <c r="M508" s="5" t="s">
        <v>23</v>
      </c>
      <c r="N508" s="5" t="s">
        <v>23</v>
      </c>
      <c r="O508" s="4" t="s">
        <v>23</v>
      </c>
      <c r="P508" s="153"/>
      <c r="R508" s="19"/>
      <c r="S508" s="18"/>
    </row>
    <row r="509" spans="1:19" s="17" customFormat="1" ht="18.95" customHeight="1" outlineLevel="1" x14ac:dyDescent="0.25">
      <c r="A509" s="157"/>
      <c r="B509" s="148"/>
      <c r="C509" s="148"/>
      <c r="D509" s="141"/>
      <c r="E509" s="141"/>
      <c r="F509" s="12">
        <v>43647</v>
      </c>
      <c r="G509" s="12">
        <v>43830</v>
      </c>
      <c r="H509" s="143"/>
      <c r="I509" s="13">
        <f>$I$503</f>
        <v>2734.19</v>
      </c>
      <c r="J509" s="14" t="s">
        <v>23</v>
      </c>
      <c r="K509" s="14" t="s">
        <v>23</v>
      </c>
      <c r="L509" s="5" t="s">
        <v>23</v>
      </c>
      <c r="M509" s="5" t="s">
        <v>23</v>
      </c>
      <c r="N509" s="5" t="s">
        <v>23</v>
      </c>
      <c r="O509" s="4" t="s">
        <v>23</v>
      </c>
      <c r="P509" s="152"/>
      <c r="S509" s="18"/>
    </row>
    <row r="510" spans="1:19" s="17" customFormat="1" ht="18.95" customHeight="1" outlineLevel="1" x14ac:dyDescent="0.25">
      <c r="A510" s="157"/>
      <c r="B510" s="148"/>
      <c r="C510" s="148"/>
      <c r="D510" s="137">
        <f>$D$504</f>
        <v>43454</v>
      </c>
      <c r="E510" s="137" t="str">
        <f>$E$504</f>
        <v>673-п</v>
      </c>
      <c r="F510" s="12">
        <v>43466</v>
      </c>
      <c r="G510" s="12">
        <v>43646</v>
      </c>
      <c r="H510" s="149"/>
      <c r="I510" s="15" t="s">
        <v>23</v>
      </c>
      <c r="J510" s="14" t="s">
        <v>23</v>
      </c>
      <c r="K510" s="14" t="s">
        <v>23</v>
      </c>
      <c r="L510" s="5" t="s">
        <v>23</v>
      </c>
      <c r="M510" s="5" t="s">
        <v>23</v>
      </c>
      <c r="N510" s="5" t="s">
        <v>23</v>
      </c>
      <c r="O510" s="13">
        <v>2642.11</v>
      </c>
      <c r="P510" s="153"/>
      <c r="Q510" s="17">
        <f>O510/1.2</f>
        <v>2201.7583333333337</v>
      </c>
      <c r="R510" s="67">
        <f>I508-Q510</f>
        <v>508.34166666666624</v>
      </c>
      <c r="S510" s="18"/>
    </row>
    <row r="511" spans="1:19" s="17" customFormat="1" ht="18.95" customHeight="1" outlineLevel="1" x14ac:dyDescent="0.25">
      <c r="A511" s="157"/>
      <c r="B511" s="147"/>
      <c r="C511" s="148"/>
      <c r="D511" s="141"/>
      <c r="E511" s="141"/>
      <c r="F511" s="12">
        <v>43647</v>
      </c>
      <c r="G511" s="12">
        <v>43830</v>
      </c>
      <c r="H511" s="151"/>
      <c r="I511" s="15" t="s">
        <v>23</v>
      </c>
      <c r="J511" s="14" t="s">
        <v>23</v>
      </c>
      <c r="K511" s="14" t="s">
        <v>23</v>
      </c>
      <c r="L511" s="5" t="s">
        <v>23</v>
      </c>
      <c r="M511" s="5" t="s">
        <v>23</v>
      </c>
      <c r="N511" s="5" t="s">
        <v>23</v>
      </c>
      <c r="O511" s="13">
        <v>2642.11</v>
      </c>
      <c r="P511" s="152"/>
      <c r="S511" s="18"/>
    </row>
    <row r="512" spans="1:19" s="17" customFormat="1" ht="18.95" customHeight="1" outlineLevel="1" x14ac:dyDescent="0.25">
      <c r="A512" s="157" t="s">
        <v>55</v>
      </c>
      <c r="B512" s="146" t="s">
        <v>519</v>
      </c>
      <c r="C512" s="148"/>
      <c r="D512" s="137">
        <f>D502</f>
        <v>43454</v>
      </c>
      <c r="E512" s="137" t="str">
        <f>E502</f>
        <v>565-п</v>
      </c>
      <c r="F512" s="12">
        <v>43466</v>
      </c>
      <c r="G512" s="12">
        <v>43646</v>
      </c>
      <c r="H512" s="142"/>
      <c r="I512" s="13">
        <f>$I$508</f>
        <v>2710.1</v>
      </c>
      <c r="J512" s="14" t="s">
        <v>23</v>
      </c>
      <c r="K512" s="14" t="s">
        <v>23</v>
      </c>
      <c r="L512" s="5" t="s">
        <v>23</v>
      </c>
      <c r="M512" s="5" t="s">
        <v>23</v>
      </c>
      <c r="N512" s="5" t="s">
        <v>23</v>
      </c>
      <c r="O512" s="4" t="s">
        <v>23</v>
      </c>
      <c r="P512" s="153"/>
      <c r="S512" s="18"/>
    </row>
    <row r="513" spans="1:19" s="17" customFormat="1" ht="18.95" customHeight="1" outlineLevel="1" x14ac:dyDescent="0.25">
      <c r="A513" s="157"/>
      <c r="B513" s="148"/>
      <c r="C513" s="148"/>
      <c r="D513" s="141"/>
      <c r="E513" s="141"/>
      <c r="F513" s="12">
        <v>43647</v>
      </c>
      <c r="G513" s="12">
        <v>43830</v>
      </c>
      <c r="H513" s="143"/>
      <c r="I513" s="13">
        <f>$I$509</f>
        <v>2734.19</v>
      </c>
      <c r="J513" s="14" t="s">
        <v>23</v>
      </c>
      <c r="K513" s="14" t="s">
        <v>23</v>
      </c>
      <c r="L513" s="5" t="s">
        <v>23</v>
      </c>
      <c r="M513" s="5" t="s">
        <v>23</v>
      </c>
      <c r="N513" s="5" t="s">
        <v>23</v>
      </c>
      <c r="O513" s="4" t="s">
        <v>23</v>
      </c>
      <c r="P513" s="152"/>
      <c r="S513" s="18"/>
    </row>
    <row r="514" spans="1:19" s="17" customFormat="1" ht="18.95" customHeight="1" outlineLevel="1" x14ac:dyDescent="0.25">
      <c r="A514" s="157"/>
      <c r="B514" s="148"/>
      <c r="C514" s="148"/>
      <c r="D514" s="137">
        <f>D504</f>
        <v>43454</v>
      </c>
      <c r="E514" s="137" t="str">
        <f>E504</f>
        <v>673-п</v>
      </c>
      <c r="F514" s="12">
        <v>43466</v>
      </c>
      <c r="G514" s="12">
        <v>43646</v>
      </c>
      <c r="H514" s="149"/>
      <c r="I514" s="15" t="s">
        <v>23</v>
      </c>
      <c r="J514" s="14" t="s">
        <v>23</v>
      </c>
      <c r="K514" s="14" t="s">
        <v>23</v>
      </c>
      <c r="L514" s="5" t="s">
        <v>23</v>
      </c>
      <c r="M514" s="5" t="s">
        <v>23</v>
      </c>
      <c r="N514" s="5" t="s">
        <v>23</v>
      </c>
      <c r="O514" s="13">
        <f>$O$510</f>
        <v>2642.11</v>
      </c>
      <c r="P514" s="153"/>
      <c r="Q514" s="17">
        <f>O514/1.2</f>
        <v>2201.7583333333337</v>
      </c>
      <c r="R514" s="19">
        <f>I512-Q514</f>
        <v>508.34166666666624</v>
      </c>
      <c r="S514" s="18"/>
    </row>
    <row r="515" spans="1:19" s="17" customFormat="1" ht="18.95" customHeight="1" outlineLevel="1" x14ac:dyDescent="0.25">
      <c r="A515" s="157"/>
      <c r="B515" s="147"/>
      <c r="C515" s="148"/>
      <c r="D515" s="141"/>
      <c r="E515" s="141"/>
      <c r="F515" s="12">
        <v>43647</v>
      </c>
      <c r="G515" s="12">
        <v>43830</v>
      </c>
      <c r="H515" s="151"/>
      <c r="I515" s="15" t="s">
        <v>23</v>
      </c>
      <c r="J515" s="14" t="s">
        <v>23</v>
      </c>
      <c r="K515" s="14" t="s">
        <v>23</v>
      </c>
      <c r="L515" s="5" t="s">
        <v>23</v>
      </c>
      <c r="M515" s="5" t="s">
        <v>23</v>
      </c>
      <c r="N515" s="5" t="s">
        <v>23</v>
      </c>
      <c r="O515" s="13">
        <f>$O$511</f>
        <v>2642.11</v>
      </c>
      <c r="P515" s="152"/>
      <c r="S515" s="18"/>
    </row>
    <row r="516" spans="1:19" s="17" customFormat="1" ht="18.95" customHeight="1" outlineLevel="1" x14ac:dyDescent="0.25">
      <c r="A516" s="157" t="s">
        <v>55</v>
      </c>
      <c r="B516" s="146" t="s">
        <v>399</v>
      </c>
      <c r="C516" s="148"/>
      <c r="D516" s="137">
        <f>D512</f>
        <v>43454</v>
      </c>
      <c r="E516" s="137" t="str">
        <f>E512</f>
        <v>565-п</v>
      </c>
      <c r="F516" s="12">
        <v>43466</v>
      </c>
      <c r="G516" s="12">
        <v>43646</v>
      </c>
      <c r="H516" s="142"/>
      <c r="I516" s="13">
        <f>$I$508</f>
        <v>2710.1</v>
      </c>
      <c r="J516" s="14" t="s">
        <v>23</v>
      </c>
      <c r="K516" s="14" t="s">
        <v>23</v>
      </c>
      <c r="L516" s="5" t="s">
        <v>23</v>
      </c>
      <c r="M516" s="5" t="s">
        <v>23</v>
      </c>
      <c r="N516" s="5" t="s">
        <v>23</v>
      </c>
      <c r="O516" s="4" t="s">
        <v>23</v>
      </c>
      <c r="P516" s="153"/>
      <c r="S516" s="18"/>
    </row>
    <row r="517" spans="1:19" s="17" customFormat="1" ht="18.95" customHeight="1" outlineLevel="1" x14ac:dyDescent="0.25">
      <c r="A517" s="157"/>
      <c r="B517" s="148"/>
      <c r="C517" s="148"/>
      <c r="D517" s="141"/>
      <c r="E517" s="141"/>
      <c r="F517" s="12">
        <v>43647</v>
      </c>
      <c r="G517" s="12">
        <v>43830</v>
      </c>
      <c r="H517" s="143"/>
      <c r="I517" s="13">
        <f>$I$509</f>
        <v>2734.19</v>
      </c>
      <c r="J517" s="14" t="s">
        <v>23</v>
      </c>
      <c r="K517" s="14" t="s">
        <v>23</v>
      </c>
      <c r="L517" s="5" t="s">
        <v>23</v>
      </c>
      <c r="M517" s="5" t="s">
        <v>23</v>
      </c>
      <c r="N517" s="5" t="s">
        <v>23</v>
      </c>
      <c r="O517" s="4" t="s">
        <v>23</v>
      </c>
      <c r="P517" s="152"/>
      <c r="S517" s="18"/>
    </row>
    <row r="518" spans="1:19" s="17" customFormat="1" ht="18.95" customHeight="1" outlineLevel="1" x14ac:dyDescent="0.25">
      <c r="A518" s="157"/>
      <c r="B518" s="148"/>
      <c r="C518" s="148"/>
      <c r="D518" s="137">
        <f>D514</f>
        <v>43454</v>
      </c>
      <c r="E518" s="137" t="str">
        <f>E514</f>
        <v>673-п</v>
      </c>
      <c r="F518" s="12">
        <v>43466</v>
      </c>
      <c r="G518" s="12">
        <v>43646</v>
      </c>
      <c r="H518" s="149"/>
      <c r="I518" s="15" t="s">
        <v>23</v>
      </c>
      <c r="J518" s="14" t="s">
        <v>23</v>
      </c>
      <c r="K518" s="14" t="s">
        <v>23</v>
      </c>
      <c r="L518" s="5" t="s">
        <v>23</v>
      </c>
      <c r="M518" s="5" t="s">
        <v>23</v>
      </c>
      <c r="N518" s="5" t="s">
        <v>23</v>
      </c>
      <c r="O518" s="13">
        <f>$O$510</f>
        <v>2642.11</v>
      </c>
      <c r="P518" s="153"/>
      <c r="Q518" s="17">
        <f>O518/1.2</f>
        <v>2201.7583333333337</v>
      </c>
      <c r="R518" s="19"/>
      <c r="S518" s="18"/>
    </row>
    <row r="519" spans="1:19" s="17" customFormat="1" ht="18.95" customHeight="1" outlineLevel="1" x14ac:dyDescent="0.25">
      <c r="A519" s="157"/>
      <c r="B519" s="147"/>
      <c r="C519" s="148"/>
      <c r="D519" s="141"/>
      <c r="E519" s="141"/>
      <c r="F519" s="12">
        <v>43647</v>
      </c>
      <c r="G519" s="12">
        <v>43830</v>
      </c>
      <c r="H519" s="151"/>
      <c r="I519" s="15" t="s">
        <v>23</v>
      </c>
      <c r="J519" s="14" t="s">
        <v>23</v>
      </c>
      <c r="K519" s="14" t="s">
        <v>23</v>
      </c>
      <c r="L519" s="5" t="s">
        <v>23</v>
      </c>
      <c r="M519" s="5" t="s">
        <v>23</v>
      </c>
      <c r="N519" s="5" t="s">
        <v>23</v>
      </c>
      <c r="O519" s="13">
        <f>$O$511</f>
        <v>2642.11</v>
      </c>
      <c r="P519" s="152"/>
      <c r="S519" s="18"/>
    </row>
    <row r="520" spans="1:19" s="17" customFormat="1" ht="18.95" customHeight="1" outlineLevel="1" x14ac:dyDescent="0.25">
      <c r="A520" s="157" t="s">
        <v>55</v>
      </c>
      <c r="B520" s="146" t="s">
        <v>400</v>
      </c>
      <c r="C520" s="148"/>
      <c r="D520" s="137">
        <f>D502</f>
        <v>43454</v>
      </c>
      <c r="E520" s="137" t="str">
        <f>E502</f>
        <v>565-п</v>
      </c>
      <c r="F520" s="12">
        <v>43466</v>
      </c>
      <c r="G520" s="12">
        <v>43646</v>
      </c>
      <c r="H520" s="142"/>
      <c r="I520" s="13">
        <f>$I$508</f>
        <v>2710.1</v>
      </c>
      <c r="J520" s="14" t="s">
        <v>23</v>
      </c>
      <c r="K520" s="14" t="s">
        <v>23</v>
      </c>
      <c r="L520" s="5" t="s">
        <v>23</v>
      </c>
      <c r="M520" s="5" t="s">
        <v>23</v>
      </c>
      <c r="N520" s="5" t="s">
        <v>23</v>
      </c>
      <c r="O520" s="4" t="s">
        <v>23</v>
      </c>
      <c r="P520" s="153"/>
      <c r="S520" s="18"/>
    </row>
    <row r="521" spans="1:19" s="17" customFormat="1" ht="18.95" customHeight="1" outlineLevel="1" x14ac:dyDescent="0.25">
      <c r="A521" s="157"/>
      <c r="B521" s="148"/>
      <c r="C521" s="148"/>
      <c r="D521" s="141"/>
      <c r="E521" s="141"/>
      <c r="F521" s="12">
        <v>43647</v>
      </c>
      <c r="G521" s="12">
        <v>43830</v>
      </c>
      <c r="H521" s="143"/>
      <c r="I521" s="13">
        <f>$I$509</f>
        <v>2734.19</v>
      </c>
      <c r="J521" s="14" t="s">
        <v>23</v>
      </c>
      <c r="K521" s="14" t="s">
        <v>23</v>
      </c>
      <c r="L521" s="5" t="s">
        <v>23</v>
      </c>
      <c r="M521" s="5" t="s">
        <v>23</v>
      </c>
      <c r="N521" s="5" t="s">
        <v>23</v>
      </c>
      <c r="O521" s="4" t="s">
        <v>23</v>
      </c>
      <c r="P521" s="152"/>
      <c r="S521" s="18"/>
    </row>
    <row r="522" spans="1:19" s="17" customFormat="1" ht="18.95" customHeight="1" outlineLevel="1" x14ac:dyDescent="0.25">
      <c r="A522" s="157"/>
      <c r="B522" s="148"/>
      <c r="C522" s="148"/>
      <c r="D522" s="137">
        <f>D504</f>
        <v>43454</v>
      </c>
      <c r="E522" s="137" t="str">
        <f>E504</f>
        <v>673-п</v>
      </c>
      <c r="F522" s="12">
        <v>43466</v>
      </c>
      <c r="G522" s="12">
        <v>43646</v>
      </c>
      <c r="H522" s="149"/>
      <c r="I522" s="15" t="s">
        <v>23</v>
      </c>
      <c r="J522" s="14" t="s">
        <v>23</v>
      </c>
      <c r="K522" s="14" t="s">
        <v>23</v>
      </c>
      <c r="L522" s="5" t="s">
        <v>23</v>
      </c>
      <c r="M522" s="5" t="s">
        <v>23</v>
      </c>
      <c r="N522" s="5" t="s">
        <v>23</v>
      </c>
      <c r="O522" s="13">
        <v>2642.11</v>
      </c>
      <c r="P522" s="144" t="s">
        <v>444</v>
      </c>
      <c r="Q522" s="17">
        <f>O522/1.2</f>
        <v>2201.7583333333337</v>
      </c>
      <c r="S522" s="18"/>
    </row>
    <row r="523" spans="1:19" s="17" customFormat="1" ht="18.95" customHeight="1" outlineLevel="1" x14ac:dyDescent="0.25">
      <c r="A523" s="157"/>
      <c r="B523" s="148"/>
      <c r="C523" s="148"/>
      <c r="D523" s="138"/>
      <c r="E523" s="138"/>
      <c r="F523" s="12">
        <v>43647</v>
      </c>
      <c r="G523" s="12">
        <v>43830</v>
      </c>
      <c r="H523" s="150"/>
      <c r="I523" s="15" t="s">
        <v>23</v>
      </c>
      <c r="J523" s="14" t="s">
        <v>23</v>
      </c>
      <c r="K523" s="14" t="s">
        <v>23</v>
      </c>
      <c r="L523" s="5" t="s">
        <v>23</v>
      </c>
      <c r="M523" s="5" t="s">
        <v>23</v>
      </c>
      <c r="N523" s="5" t="s">
        <v>23</v>
      </c>
      <c r="O523" s="13">
        <v>2642.11</v>
      </c>
      <c r="P523" s="145"/>
      <c r="S523" s="18"/>
    </row>
    <row r="524" spans="1:19" s="17" customFormat="1" ht="18.95" customHeight="1" outlineLevel="1" x14ac:dyDescent="0.25">
      <c r="A524" s="157"/>
      <c r="B524" s="148"/>
      <c r="C524" s="148"/>
      <c r="D524" s="138"/>
      <c r="E524" s="138"/>
      <c r="F524" s="12">
        <v>43466</v>
      </c>
      <c r="G524" s="12">
        <v>43646</v>
      </c>
      <c r="H524" s="150"/>
      <c r="I524" s="15" t="s">
        <v>23</v>
      </c>
      <c r="J524" s="14" t="s">
        <v>23</v>
      </c>
      <c r="K524" s="14" t="s">
        <v>23</v>
      </c>
      <c r="L524" s="5" t="s">
        <v>23</v>
      </c>
      <c r="M524" s="5" t="s">
        <v>23</v>
      </c>
      <c r="N524" s="5" t="s">
        <v>23</v>
      </c>
      <c r="O524" s="13">
        <v>1939.73</v>
      </c>
      <c r="P524" s="144" t="s">
        <v>446</v>
      </c>
      <c r="Q524" s="17">
        <f>O524/1.2</f>
        <v>1616.4416666666668</v>
      </c>
      <c r="R524" s="67">
        <f>I520-Q524</f>
        <v>1093.6583333333331</v>
      </c>
      <c r="S524" s="18"/>
    </row>
    <row r="525" spans="1:19" s="17" customFormat="1" ht="18.95" customHeight="1" outlineLevel="1" x14ac:dyDescent="0.25">
      <c r="A525" s="157"/>
      <c r="B525" s="147"/>
      <c r="C525" s="148"/>
      <c r="D525" s="141"/>
      <c r="E525" s="141"/>
      <c r="F525" s="12">
        <v>43647</v>
      </c>
      <c r="G525" s="12">
        <v>43830</v>
      </c>
      <c r="H525" s="151"/>
      <c r="I525" s="15" t="s">
        <v>23</v>
      </c>
      <c r="J525" s="14" t="s">
        <v>23</v>
      </c>
      <c r="K525" s="14" t="s">
        <v>23</v>
      </c>
      <c r="L525" s="5" t="s">
        <v>23</v>
      </c>
      <c r="M525" s="5" t="s">
        <v>23</v>
      </c>
      <c r="N525" s="5" t="s">
        <v>23</v>
      </c>
      <c r="O525" s="13">
        <v>1978.52</v>
      </c>
      <c r="P525" s="145"/>
      <c r="S525" s="18"/>
    </row>
    <row r="526" spans="1:19" s="17" customFormat="1" ht="18.95" customHeight="1" outlineLevel="1" x14ac:dyDescent="0.25">
      <c r="A526" s="157" t="s">
        <v>55</v>
      </c>
      <c r="B526" s="146" t="s">
        <v>401</v>
      </c>
      <c r="C526" s="148"/>
      <c r="D526" s="137">
        <f>D512</f>
        <v>43454</v>
      </c>
      <c r="E526" s="137" t="str">
        <f>E512</f>
        <v>565-п</v>
      </c>
      <c r="F526" s="12">
        <v>43466</v>
      </c>
      <c r="G526" s="12">
        <v>43646</v>
      </c>
      <c r="H526" s="142"/>
      <c r="I526" s="13">
        <f>$I$508</f>
        <v>2710.1</v>
      </c>
      <c r="J526" s="14" t="s">
        <v>23</v>
      </c>
      <c r="K526" s="14" t="s">
        <v>23</v>
      </c>
      <c r="L526" s="5" t="s">
        <v>23</v>
      </c>
      <c r="M526" s="5" t="s">
        <v>23</v>
      </c>
      <c r="N526" s="5" t="s">
        <v>23</v>
      </c>
      <c r="O526" s="4" t="s">
        <v>23</v>
      </c>
      <c r="P526" s="153"/>
      <c r="S526" s="18"/>
    </row>
    <row r="527" spans="1:19" s="17" customFormat="1" ht="18.95" customHeight="1" outlineLevel="1" x14ac:dyDescent="0.25">
      <c r="A527" s="157"/>
      <c r="B527" s="148"/>
      <c r="C527" s="148"/>
      <c r="D527" s="141"/>
      <c r="E527" s="141"/>
      <c r="F527" s="12">
        <v>43647</v>
      </c>
      <c r="G527" s="12">
        <v>43830</v>
      </c>
      <c r="H527" s="143"/>
      <c r="I527" s="13">
        <f>$I$509</f>
        <v>2734.19</v>
      </c>
      <c r="J527" s="14" t="s">
        <v>23</v>
      </c>
      <c r="K527" s="14" t="s">
        <v>23</v>
      </c>
      <c r="L527" s="5" t="s">
        <v>23</v>
      </c>
      <c r="M527" s="5" t="s">
        <v>23</v>
      </c>
      <c r="N527" s="5" t="s">
        <v>23</v>
      </c>
      <c r="O527" s="4" t="s">
        <v>23</v>
      </c>
      <c r="P527" s="152"/>
      <c r="S527" s="18"/>
    </row>
    <row r="528" spans="1:19" s="17" customFormat="1" ht="18.95" customHeight="1" outlineLevel="1" x14ac:dyDescent="0.25">
      <c r="A528" s="157"/>
      <c r="B528" s="148"/>
      <c r="C528" s="148"/>
      <c r="D528" s="137">
        <f>D514</f>
        <v>43454</v>
      </c>
      <c r="E528" s="137" t="str">
        <f>E514</f>
        <v>673-п</v>
      </c>
      <c r="F528" s="12">
        <v>43466</v>
      </c>
      <c r="G528" s="12">
        <v>43646</v>
      </c>
      <c r="H528" s="149"/>
      <c r="I528" s="15" t="s">
        <v>23</v>
      </c>
      <c r="J528" s="14" t="s">
        <v>23</v>
      </c>
      <c r="K528" s="14" t="s">
        <v>23</v>
      </c>
      <c r="L528" s="5" t="s">
        <v>23</v>
      </c>
      <c r="M528" s="5" t="s">
        <v>23</v>
      </c>
      <c r="N528" s="5" t="s">
        <v>23</v>
      </c>
      <c r="O528" s="13">
        <f>$O$510</f>
        <v>2642.11</v>
      </c>
      <c r="P528" s="153"/>
      <c r="Q528" s="17">
        <f>O528/1.2</f>
        <v>2201.7583333333337</v>
      </c>
      <c r="S528" s="18"/>
    </row>
    <row r="529" spans="1:19" s="10" customFormat="1" ht="18.95" customHeight="1" x14ac:dyDescent="0.25">
      <c r="A529" s="157"/>
      <c r="B529" s="147"/>
      <c r="C529" s="148"/>
      <c r="D529" s="141"/>
      <c r="E529" s="141"/>
      <c r="F529" s="12">
        <v>43647</v>
      </c>
      <c r="G529" s="12">
        <v>43830</v>
      </c>
      <c r="H529" s="151"/>
      <c r="I529" s="15" t="s">
        <v>23</v>
      </c>
      <c r="J529" s="14" t="s">
        <v>23</v>
      </c>
      <c r="K529" s="14" t="s">
        <v>23</v>
      </c>
      <c r="L529" s="5" t="s">
        <v>23</v>
      </c>
      <c r="M529" s="5" t="s">
        <v>23</v>
      </c>
      <c r="N529" s="5" t="s">
        <v>23</v>
      </c>
      <c r="O529" s="13">
        <f>$O$511</f>
        <v>2642.11</v>
      </c>
      <c r="P529" s="152"/>
      <c r="S529" s="11"/>
    </row>
    <row r="530" spans="1:19" s="17" customFormat="1" ht="18.95" customHeight="1" outlineLevel="1" x14ac:dyDescent="0.25">
      <c r="A530" s="157" t="s">
        <v>55</v>
      </c>
      <c r="B530" s="146" t="s">
        <v>256</v>
      </c>
      <c r="C530" s="148"/>
      <c r="D530" s="137">
        <f>D526</f>
        <v>43454</v>
      </c>
      <c r="E530" s="137" t="str">
        <f>E526</f>
        <v>565-п</v>
      </c>
      <c r="F530" s="12">
        <v>43466</v>
      </c>
      <c r="G530" s="12">
        <v>43646</v>
      </c>
      <c r="H530" s="142"/>
      <c r="I530" s="13">
        <f>$I$508</f>
        <v>2710.1</v>
      </c>
      <c r="J530" s="14" t="s">
        <v>23</v>
      </c>
      <c r="K530" s="14" t="s">
        <v>23</v>
      </c>
      <c r="L530" s="5" t="s">
        <v>23</v>
      </c>
      <c r="M530" s="5" t="s">
        <v>23</v>
      </c>
      <c r="N530" s="5" t="s">
        <v>23</v>
      </c>
      <c r="O530" s="4" t="s">
        <v>23</v>
      </c>
      <c r="P530" s="153"/>
      <c r="S530" s="18"/>
    </row>
    <row r="531" spans="1:19" s="17" customFormat="1" ht="18.95" customHeight="1" outlineLevel="1" x14ac:dyDescent="0.25">
      <c r="A531" s="157"/>
      <c r="B531" s="148"/>
      <c r="C531" s="148"/>
      <c r="D531" s="141"/>
      <c r="E531" s="141"/>
      <c r="F531" s="12">
        <v>43647</v>
      </c>
      <c r="G531" s="12">
        <v>43830</v>
      </c>
      <c r="H531" s="143"/>
      <c r="I531" s="13">
        <f>$I$509</f>
        <v>2734.19</v>
      </c>
      <c r="J531" s="14" t="s">
        <v>23</v>
      </c>
      <c r="K531" s="14" t="s">
        <v>23</v>
      </c>
      <c r="L531" s="5" t="s">
        <v>23</v>
      </c>
      <c r="M531" s="5" t="s">
        <v>23</v>
      </c>
      <c r="N531" s="5" t="s">
        <v>23</v>
      </c>
      <c r="O531" s="4" t="s">
        <v>23</v>
      </c>
      <c r="P531" s="152"/>
      <c r="S531" s="18"/>
    </row>
    <row r="532" spans="1:19" s="17" customFormat="1" ht="18.95" customHeight="1" outlineLevel="1" x14ac:dyDescent="0.25">
      <c r="A532" s="157"/>
      <c r="B532" s="148"/>
      <c r="C532" s="148"/>
      <c r="D532" s="137">
        <f>D528</f>
        <v>43454</v>
      </c>
      <c r="E532" s="137" t="str">
        <f>E528</f>
        <v>673-п</v>
      </c>
      <c r="F532" s="12">
        <v>43466</v>
      </c>
      <c r="G532" s="12">
        <v>43646</v>
      </c>
      <c r="H532" s="149"/>
      <c r="I532" s="15" t="s">
        <v>23</v>
      </c>
      <c r="J532" s="14" t="s">
        <v>23</v>
      </c>
      <c r="K532" s="14" t="s">
        <v>23</v>
      </c>
      <c r="L532" s="5" t="s">
        <v>23</v>
      </c>
      <c r="M532" s="5" t="s">
        <v>23</v>
      </c>
      <c r="N532" s="5" t="s">
        <v>23</v>
      </c>
      <c r="O532" s="13">
        <f>$O$510</f>
        <v>2642.11</v>
      </c>
      <c r="P532" s="153"/>
      <c r="S532" s="18"/>
    </row>
    <row r="533" spans="1:19" s="17" customFormat="1" ht="18.95" customHeight="1" outlineLevel="1" x14ac:dyDescent="0.25">
      <c r="A533" s="157"/>
      <c r="B533" s="147"/>
      <c r="C533" s="148"/>
      <c r="D533" s="141"/>
      <c r="E533" s="141"/>
      <c r="F533" s="12">
        <v>43647</v>
      </c>
      <c r="G533" s="12">
        <v>43830</v>
      </c>
      <c r="H533" s="151"/>
      <c r="I533" s="15" t="s">
        <v>23</v>
      </c>
      <c r="J533" s="14" t="s">
        <v>23</v>
      </c>
      <c r="K533" s="14" t="s">
        <v>23</v>
      </c>
      <c r="L533" s="5" t="s">
        <v>23</v>
      </c>
      <c r="M533" s="5" t="s">
        <v>23</v>
      </c>
      <c r="N533" s="5" t="s">
        <v>23</v>
      </c>
      <c r="O533" s="13">
        <f>$O$511</f>
        <v>2642.11</v>
      </c>
      <c r="P533" s="152"/>
      <c r="S533" s="18"/>
    </row>
    <row r="534" spans="1:19" s="17" customFormat="1" ht="18.95" customHeight="1" outlineLevel="1" x14ac:dyDescent="0.25">
      <c r="A534" s="157" t="s">
        <v>55</v>
      </c>
      <c r="B534" s="146" t="s">
        <v>402</v>
      </c>
      <c r="C534" s="148"/>
      <c r="D534" s="137">
        <f>D530</f>
        <v>43454</v>
      </c>
      <c r="E534" s="137" t="str">
        <f>E530</f>
        <v>565-п</v>
      </c>
      <c r="F534" s="12">
        <v>43466</v>
      </c>
      <c r="G534" s="12">
        <v>43646</v>
      </c>
      <c r="H534" s="142"/>
      <c r="I534" s="13">
        <f>$I$508</f>
        <v>2710.1</v>
      </c>
      <c r="J534" s="14" t="s">
        <v>23</v>
      </c>
      <c r="K534" s="14" t="s">
        <v>23</v>
      </c>
      <c r="L534" s="5" t="s">
        <v>23</v>
      </c>
      <c r="M534" s="5" t="s">
        <v>23</v>
      </c>
      <c r="N534" s="5" t="s">
        <v>23</v>
      </c>
      <c r="O534" s="4" t="s">
        <v>23</v>
      </c>
      <c r="P534" s="153"/>
      <c r="S534" s="18"/>
    </row>
    <row r="535" spans="1:19" s="17" customFormat="1" ht="18.95" customHeight="1" outlineLevel="1" x14ac:dyDescent="0.25">
      <c r="A535" s="157"/>
      <c r="B535" s="148"/>
      <c r="C535" s="148"/>
      <c r="D535" s="141"/>
      <c r="E535" s="141"/>
      <c r="F535" s="12">
        <v>43647</v>
      </c>
      <c r="G535" s="12">
        <v>43830</v>
      </c>
      <c r="H535" s="143"/>
      <c r="I535" s="13">
        <f>$I$509</f>
        <v>2734.19</v>
      </c>
      <c r="J535" s="14" t="s">
        <v>23</v>
      </c>
      <c r="K535" s="14" t="s">
        <v>23</v>
      </c>
      <c r="L535" s="5" t="s">
        <v>23</v>
      </c>
      <c r="M535" s="5" t="s">
        <v>23</v>
      </c>
      <c r="N535" s="5" t="s">
        <v>23</v>
      </c>
      <c r="O535" s="4" t="s">
        <v>23</v>
      </c>
      <c r="P535" s="152"/>
      <c r="S535" s="18"/>
    </row>
    <row r="536" spans="1:19" s="17" customFormat="1" ht="18.95" customHeight="1" outlineLevel="1" x14ac:dyDescent="0.25">
      <c r="A536" s="157"/>
      <c r="B536" s="148"/>
      <c r="C536" s="148"/>
      <c r="D536" s="137">
        <f>D532</f>
        <v>43454</v>
      </c>
      <c r="E536" s="137" t="str">
        <f>E532</f>
        <v>673-п</v>
      </c>
      <c r="F536" s="12">
        <v>43466</v>
      </c>
      <c r="G536" s="12">
        <v>43646</v>
      </c>
      <c r="H536" s="149"/>
      <c r="I536" s="15" t="s">
        <v>23</v>
      </c>
      <c r="J536" s="14" t="s">
        <v>23</v>
      </c>
      <c r="K536" s="14" t="s">
        <v>23</v>
      </c>
      <c r="L536" s="5" t="s">
        <v>23</v>
      </c>
      <c r="M536" s="5" t="s">
        <v>23</v>
      </c>
      <c r="N536" s="5" t="s">
        <v>23</v>
      </c>
      <c r="O536" s="13">
        <f>$O$510</f>
        <v>2642.11</v>
      </c>
      <c r="P536" s="153"/>
      <c r="Q536" s="17">
        <f>O536/1.2</f>
        <v>2201.7583333333337</v>
      </c>
      <c r="S536" s="18"/>
    </row>
    <row r="537" spans="1:19" s="17" customFormat="1" ht="18.95" customHeight="1" outlineLevel="1" x14ac:dyDescent="0.25">
      <c r="A537" s="157"/>
      <c r="B537" s="147"/>
      <c r="C537" s="148"/>
      <c r="D537" s="141"/>
      <c r="E537" s="141"/>
      <c r="F537" s="12">
        <v>43647</v>
      </c>
      <c r="G537" s="12">
        <v>43830</v>
      </c>
      <c r="H537" s="151"/>
      <c r="I537" s="15" t="s">
        <v>23</v>
      </c>
      <c r="J537" s="14" t="s">
        <v>23</v>
      </c>
      <c r="K537" s="14" t="s">
        <v>23</v>
      </c>
      <c r="L537" s="5" t="s">
        <v>23</v>
      </c>
      <c r="M537" s="5" t="s">
        <v>23</v>
      </c>
      <c r="N537" s="5" t="s">
        <v>23</v>
      </c>
      <c r="O537" s="13">
        <f>$O$511</f>
        <v>2642.11</v>
      </c>
      <c r="P537" s="152"/>
      <c r="S537" s="18"/>
    </row>
    <row r="538" spans="1:19" s="17" customFormat="1" ht="18.95" customHeight="1" outlineLevel="1" x14ac:dyDescent="0.25">
      <c r="A538" s="157" t="s">
        <v>55</v>
      </c>
      <c r="B538" s="146" t="s">
        <v>358</v>
      </c>
      <c r="C538" s="148"/>
      <c r="D538" s="137">
        <f>D534</f>
        <v>43454</v>
      </c>
      <c r="E538" s="137" t="str">
        <f>E534</f>
        <v>565-п</v>
      </c>
      <c r="F538" s="12">
        <v>43466</v>
      </c>
      <c r="G538" s="12">
        <v>43646</v>
      </c>
      <c r="H538" s="142"/>
      <c r="I538" s="13">
        <f>$I$508</f>
        <v>2710.1</v>
      </c>
      <c r="J538" s="14" t="s">
        <v>23</v>
      </c>
      <c r="K538" s="14" t="s">
        <v>23</v>
      </c>
      <c r="L538" s="5" t="s">
        <v>23</v>
      </c>
      <c r="M538" s="5" t="s">
        <v>23</v>
      </c>
      <c r="N538" s="5" t="s">
        <v>23</v>
      </c>
      <c r="O538" s="4" t="s">
        <v>23</v>
      </c>
      <c r="P538" s="153"/>
      <c r="S538" s="18"/>
    </row>
    <row r="539" spans="1:19" s="17" customFormat="1" ht="18.95" customHeight="1" outlineLevel="1" x14ac:dyDescent="0.25">
      <c r="A539" s="157"/>
      <c r="B539" s="148"/>
      <c r="C539" s="148"/>
      <c r="D539" s="141"/>
      <c r="E539" s="141"/>
      <c r="F539" s="12">
        <v>43647</v>
      </c>
      <c r="G539" s="12">
        <v>43830</v>
      </c>
      <c r="H539" s="143"/>
      <c r="I539" s="13">
        <f>$I$509</f>
        <v>2734.19</v>
      </c>
      <c r="J539" s="14" t="s">
        <v>23</v>
      </c>
      <c r="K539" s="14" t="s">
        <v>23</v>
      </c>
      <c r="L539" s="5" t="s">
        <v>23</v>
      </c>
      <c r="M539" s="5" t="s">
        <v>23</v>
      </c>
      <c r="N539" s="5" t="s">
        <v>23</v>
      </c>
      <c r="O539" s="4" t="s">
        <v>23</v>
      </c>
      <c r="P539" s="152"/>
      <c r="S539" s="18"/>
    </row>
    <row r="540" spans="1:19" s="17" customFormat="1" ht="18.95" customHeight="1" outlineLevel="1" x14ac:dyDescent="0.25">
      <c r="A540" s="157"/>
      <c r="B540" s="148"/>
      <c r="C540" s="148"/>
      <c r="D540" s="137">
        <f>D536</f>
        <v>43454</v>
      </c>
      <c r="E540" s="137" t="str">
        <f>E536</f>
        <v>673-п</v>
      </c>
      <c r="F540" s="12">
        <v>43466</v>
      </c>
      <c r="G540" s="12">
        <v>43646</v>
      </c>
      <c r="H540" s="149"/>
      <c r="I540" s="15" t="s">
        <v>23</v>
      </c>
      <c r="J540" s="14" t="s">
        <v>23</v>
      </c>
      <c r="K540" s="14" t="s">
        <v>23</v>
      </c>
      <c r="L540" s="5" t="s">
        <v>23</v>
      </c>
      <c r="M540" s="5" t="s">
        <v>23</v>
      </c>
      <c r="N540" s="5" t="s">
        <v>23</v>
      </c>
      <c r="O540" s="13">
        <v>2642.11</v>
      </c>
      <c r="P540" s="144" t="s">
        <v>444</v>
      </c>
      <c r="Q540" s="17">
        <f>O540/1.2</f>
        <v>2201.7583333333337</v>
      </c>
      <c r="S540" s="18"/>
    </row>
    <row r="541" spans="1:19" s="17" customFormat="1" ht="18.95" customHeight="1" outlineLevel="1" x14ac:dyDescent="0.25">
      <c r="A541" s="157"/>
      <c r="B541" s="148"/>
      <c r="C541" s="148"/>
      <c r="D541" s="138"/>
      <c r="E541" s="138"/>
      <c r="F541" s="12">
        <v>43647</v>
      </c>
      <c r="G541" s="12">
        <v>43830</v>
      </c>
      <c r="H541" s="150"/>
      <c r="I541" s="15" t="s">
        <v>23</v>
      </c>
      <c r="J541" s="14" t="s">
        <v>23</v>
      </c>
      <c r="K541" s="14" t="s">
        <v>23</v>
      </c>
      <c r="L541" s="5" t="s">
        <v>23</v>
      </c>
      <c r="M541" s="5" t="s">
        <v>23</v>
      </c>
      <c r="N541" s="5" t="s">
        <v>23</v>
      </c>
      <c r="O541" s="13">
        <v>2642.11</v>
      </c>
      <c r="P541" s="145"/>
      <c r="S541" s="18"/>
    </row>
    <row r="542" spans="1:19" s="17" customFormat="1" ht="18.95" customHeight="1" outlineLevel="1" x14ac:dyDescent="0.25">
      <c r="A542" s="157"/>
      <c r="B542" s="148"/>
      <c r="C542" s="148"/>
      <c r="D542" s="138"/>
      <c r="E542" s="138"/>
      <c r="F542" s="12">
        <v>43466</v>
      </c>
      <c r="G542" s="12">
        <v>43646</v>
      </c>
      <c r="H542" s="150"/>
      <c r="I542" s="15" t="s">
        <v>23</v>
      </c>
      <c r="J542" s="14" t="s">
        <v>23</v>
      </c>
      <c r="K542" s="14" t="s">
        <v>23</v>
      </c>
      <c r="L542" s="5" t="s">
        <v>23</v>
      </c>
      <c r="M542" s="5" t="s">
        <v>23</v>
      </c>
      <c r="N542" s="5" t="s">
        <v>23</v>
      </c>
      <c r="O542" s="13">
        <v>1939.73</v>
      </c>
      <c r="P542" s="144" t="s">
        <v>446</v>
      </c>
      <c r="Q542" s="17">
        <f>O542/1.2</f>
        <v>1616.4416666666668</v>
      </c>
      <c r="R542" s="67">
        <f>I538-Q542</f>
        <v>1093.6583333333331</v>
      </c>
      <c r="S542" s="18">
        <f>R542*149.74</f>
        <v>163764.39883333331</v>
      </c>
    </row>
    <row r="543" spans="1:19" s="17" customFormat="1" ht="18.95" customHeight="1" outlineLevel="1" x14ac:dyDescent="0.25">
      <c r="A543" s="157"/>
      <c r="B543" s="147"/>
      <c r="C543" s="148"/>
      <c r="D543" s="141"/>
      <c r="E543" s="141"/>
      <c r="F543" s="12">
        <v>43647</v>
      </c>
      <c r="G543" s="12">
        <v>43830</v>
      </c>
      <c r="H543" s="151"/>
      <c r="I543" s="15" t="s">
        <v>23</v>
      </c>
      <c r="J543" s="14" t="s">
        <v>23</v>
      </c>
      <c r="K543" s="14" t="s">
        <v>23</v>
      </c>
      <c r="L543" s="5" t="s">
        <v>23</v>
      </c>
      <c r="M543" s="5" t="s">
        <v>23</v>
      </c>
      <c r="N543" s="5" t="s">
        <v>23</v>
      </c>
      <c r="O543" s="13">
        <v>1978.52</v>
      </c>
      <c r="P543" s="145"/>
      <c r="S543" s="18"/>
    </row>
    <row r="544" spans="1:19" s="17" customFormat="1" ht="18.95" customHeight="1" outlineLevel="1" x14ac:dyDescent="0.25">
      <c r="A544" s="157" t="s">
        <v>55</v>
      </c>
      <c r="B544" s="146" t="s">
        <v>248</v>
      </c>
      <c r="C544" s="148"/>
      <c r="D544" s="137">
        <f>D538</f>
        <v>43454</v>
      </c>
      <c r="E544" s="137" t="str">
        <f>E538</f>
        <v>565-п</v>
      </c>
      <c r="F544" s="12">
        <v>43466</v>
      </c>
      <c r="G544" s="12">
        <v>43646</v>
      </c>
      <c r="H544" s="142"/>
      <c r="I544" s="13">
        <f>$I$508</f>
        <v>2710.1</v>
      </c>
      <c r="J544" s="14" t="s">
        <v>23</v>
      </c>
      <c r="K544" s="14" t="s">
        <v>23</v>
      </c>
      <c r="L544" s="5" t="s">
        <v>23</v>
      </c>
      <c r="M544" s="5" t="s">
        <v>23</v>
      </c>
      <c r="N544" s="5" t="s">
        <v>23</v>
      </c>
      <c r="O544" s="4" t="s">
        <v>23</v>
      </c>
      <c r="P544" s="153"/>
      <c r="S544" s="18"/>
    </row>
    <row r="545" spans="1:19" s="17" customFormat="1" ht="18.95" customHeight="1" outlineLevel="1" x14ac:dyDescent="0.25">
      <c r="A545" s="157"/>
      <c r="B545" s="148"/>
      <c r="C545" s="148"/>
      <c r="D545" s="141"/>
      <c r="E545" s="141"/>
      <c r="F545" s="12">
        <v>43647</v>
      </c>
      <c r="G545" s="12">
        <v>43830</v>
      </c>
      <c r="H545" s="143"/>
      <c r="I545" s="13">
        <f>$I$509</f>
        <v>2734.19</v>
      </c>
      <c r="J545" s="14" t="s">
        <v>23</v>
      </c>
      <c r="K545" s="14" t="s">
        <v>23</v>
      </c>
      <c r="L545" s="5" t="s">
        <v>23</v>
      </c>
      <c r="M545" s="5" t="s">
        <v>23</v>
      </c>
      <c r="N545" s="5" t="s">
        <v>23</v>
      </c>
      <c r="O545" s="4" t="s">
        <v>23</v>
      </c>
      <c r="P545" s="152"/>
      <c r="S545" s="18"/>
    </row>
    <row r="546" spans="1:19" s="17" customFormat="1" ht="18.95" customHeight="1" outlineLevel="1" x14ac:dyDescent="0.25">
      <c r="A546" s="157"/>
      <c r="B546" s="148"/>
      <c r="C546" s="148"/>
      <c r="D546" s="137">
        <f>D540</f>
        <v>43454</v>
      </c>
      <c r="E546" s="137" t="str">
        <f>E540</f>
        <v>673-п</v>
      </c>
      <c r="F546" s="12">
        <v>43466</v>
      </c>
      <c r="G546" s="12">
        <v>43646</v>
      </c>
      <c r="H546" s="149"/>
      <c r="I546" s="15" t="s">
        <v>23</v>
      </c>
      <c r="J546" s="14" t="s">
        <v>23</v>
      </c>
      <c r="K546" s="14" t="s">
        <v>23</v>
      </c>
      <c r="L546" s="5" t="s">
        <v>23</v>
      </c>
      <c r="M546" s="5" t="s">
        <v>23</v>
      </c>
      <c r="N546" s="5" t="s">
        <v>23</v>
      </c>
      <c r="O546" s="13">
        <f>O540</f>
        <v>2642.11</v>
      </c>
      <c r="P546" s="144" t="s">
        <v>444</v>
      </c>
      <c r="Q546" s="17">
        <f>O546/1.2</f>
        <v>2201.7583333333337</v>
      </c>
      <c r="S546" s="18"/>
    </row>
    <row r="547" spans="1:19" s="17" customFormat="1" ht="18.95" customHeight="1" outlineLevel="1" x14ac:dyDescent="0.25">
      <c r="A547" s="157"/>
      <c r="B547" s="148"/>
      <c r="C547" s="148"/>
      <c r="D547" s="138"/>
      <c r="E547" s="138"/>
      <c r="F547" s="12">
        <v>43647</v>
      </c>
      <c r="G547" s="12">
        <v>43830</v>
      </c>
      <c r="H547" s="150"/>
      <c r="I547" s="15" t="s">
        <v>23</v>
      </c>
      <c r="J547" s="14" t="s">
        <v>23</v>
      </c>
      <c r="K547" s="14" t="s">
        <v>23</v>
      </c>
      <c r="L547" s="5" t="s">
        <v>23</v>
      </c>
      <c r="M547" s="5" t="s">
        <v>23</v>
      </c>
      <c r="N547" s="5" t="s">
        <v>23</v>
      </c>
      <c r="O547" s="13">
        <f>O541</f>
        <v>2642.11</v>
      </c>
      <c r="P547" s="145"/>
      <c r="S547" s="18"/>
    </row>
    <row r="548" spans="1:19" s="17" customFormat="1" ht="18.95" customHeight="1" outlineLevel="1" x14ac:dyDescent="0.25">
      <c r="A548" s="157"/>
      <c r="B548" s="148"/>
      <c r="C548" s="148"/>
      <c r="D548" s="138"/>
      <c r="E548" s="138"/>
      <c r="F548" s="12">
        <v>43466</v>
      </c>
      <c r="G548" s="12">
        <v>43646</v>
      </c>
      <c r="H548" s="150"/>
      <c r="I548" s="15" t="s">
        <v>23</v>
      </c>
      <c r="J548" s="14" t="s">
        <v>23</v>
      </c>
      <c r="K548" s="14" t="s">
        <v>23</v>
      </c>
      <c r="L548" s="5" t="s">
        <v>23</v>
      </c>
      <c r="M548" s="5" t="s">
        <v>23</v>
      </c>
      <c r="N548" s="5" t="s">
        <v>23</v>
      </c>
      <c r="O548" s="13">
        <f>O542</f>
        <v>1939.73</v>
      </c>
      <c r="P548" s="144" t="s">
        <v>446</v>
      </c>
      <c r="Q548" s="17">
        <f>O548/1.2</f>
        <v>1616.4416666666668</v>
      </c>
      <c r="R548" s="67">
        <f>I544-Q548</f>
        <v>1093.6583333333331</v>
      </c>
      <c r="S548" s="18">
        <f>R548*105.339</f>
        <v>115204.87517499996</v>
      </c>
    </row>
    <row r="549" spans="1:19" s="17" customFormat="1" ht="18.95" customHeight="1" outlineLevel="1" x14ac:dyDescent="0.25">
      <c r="A549" s="157"/>
      <c r="B549" s="147"/>
      <c r="C549" s="148"/>
      <c r="D549" s="141"/>
      <c r="E549" s="141"/>
      <c r="F549" s="12">
        <v>43647</v>
      </c>
      <c r="G549" s="12">
        <v>43830</v>
      </c>
      <c r="H549" s="151"/>
      <c r="I549" s="15" t="s">
        <v>23</v>
      </c>
      <c r="J549" s="14" t="s">
        <v>23</v>
      </c>
      <c r="K549" s="14" t="s">
        <v>23</v>
      </c>
      <c r="L549" s="5" t="s">
        <v>23</v>
      </c>
      <c r="M549" s="5" t="s">
        <v>23</v>
      </c>
      <c r="N549" s="5" t="s">
        <v>23</v>
      </c>
      <c r="O549" s="13">
        <f>O543</f>
        <v>1978.52</v>
      </c>
      <c r="P549" s="145"/>
      <c r="S549" s="18"/>
    </row>
    <row r="550" spans="1:19" s="17" customFormat="1" ht="18.95" customHeight="1" outlineLevel="1" x14ac:dyDescent="0.25">
      <c r="A550" s="157" t="s">
        <v>55</v>
      </c>
      <c r="B550" s="146" t="s">
        <v>365</v>
      </c>
      <c r="C550" s="148"/>
      <c r="D550" s="137">
        <f>D544</f>
        <v>43454</v>
      </c>
      <c r="E550" s="137" t="str">
        <f>E544</f>
        <v>565-п</v>
      </c>
      <c r="F550" s="12">
        <v>43466</v>
      </c>
      <c r="G550" s="12">
        <v>43646</v>
      </c>
      <c r="H550" s="142"/>
      <c r="I550" s="13">
        <f>$I$508</f>
        <v>2710.1</v>
      </c>
      <c r="J550" s="14" t="s">
        <v>23</v>
      </c>
      <c r="K550" s="14" t="s">
        <v>23</v>
      </c>
      <c r="L550" s="5" t="s">
        <v>23</v>
      </c>
      <c r="M550" s="5" t="s">
        <v>23</v>
      </c>
      <c r="N550" s="5" t="s">
        <v>23</v>
      </c>
      <c r="O550" s="4" t="s">
        <v>23</v>
      </c>
      <c r="P550" s="153"/>
      <c r="S550" s="18"/>
    </row>
    <row r="551" spans="1:19" s="17" customFormat="1" ht="18.95" customHeight="1" outlineLevel="1" x14ac:dyDescent="0.25">
      <c r="A551" s="157"/>
      <c r="B551" s="148"/>
      <c r="C551" s="148"/>
      <c r="D551" s="141"/>
      <c r="E551" s="141"/>
      <c r="F551" s="12">
        <v>43647</v>
      </c>
      <c r="G551" s="12">
        <v>43830</v>
      </c>
      <c r="H551" s="143"/>
      <c r="I551" s="13">
        <f>$I$509</f>
        <v>2734.19</v>
      </c>
      <c r="J551" s="14" t="s">
        <v>23</v>
      </c>
      <c r="K551" s="14" t="s">
        <v>23</v>
      </c>
      <c r="L551" s="5" t="s">
        <v>23</v>
      </c>
      <c r="M551" s="5" t="s">
        <v>23</v>
      </c>
      <c r="N551" s="5" t="s">
        <v>23</v>
      </c>
      <c r="O551" s="4" t="s">
        <v>23</v>
      </c>
      <c r="P551" s="152"/>
      <c r="S551" s="18"/>
    </row>
    <row r="552" spans="1:19" s="17" customFormat="1" ht="18.95" customHeight="1" outlineLevel="1" x14ac:dyDescent="0.25">
      <c r="A552" s="157"/>
      <c r="B552" s="148"/>
      <c r="C552" s="148"/>
      <c r="D552" s="137">
        <f>D546</f>
        <v>43454</v>
      </c>
      <c r="E552" s="137" t="str">
        <f>E546</f>
        <v>673-п</v>
      </c>
      <c r="F552" s="12">
        <v>43466</v>
      </c>
      <c r="G552" s="12">
        <v>43646</v>
      </c>
      <c r="H552" s="149"/>
      <c r="I552" s="15" t="s">
        <v>23</v>
      </c>
      <c r="J552" s="14" t="s">
        <v>23</v>
      </c>
      <c r="K552" s="14" t="s">
        <v>23</v>
      </c>
      <c r="L552" s="5" t="s">
        <v>23</v>
      </c>
      <c r="M552" s="5" t="s">
        <v>23</v>
      </c>
      <c r="N552" s="5" t="s">
        <v>23</v>
      </c>
      <c r="O552" s="13">
        <f>$O$510</f>
        <v>2642.11</v>
      </c>
      <c r="P552" s="153"/>
      <c r="Q552" s="17">
        <f>O552/1.2</f>
        <v>2201.7583333333337</v>
      </c>
      <c r="R552" s="67">
        <f>I550-Q552</f>
        <v>508.34166666666624</v>
      </c>
      <c r="S552" s="18">
        <f>R552*2471.694</f>
        <v>1256465.047449999</v>
      </c>
    </row>
    <row r="553" spans="1:19" s="17" customFormat="1" ht="18.95" customHeight="1" outlineLevel="1" x14ac:dyDescent="0.25">
      <c r="A553" s="157"/>
      <c r="B553" s="147"/>
      <c r="C553" s="148"/>
      <c r="D553" s="141"/>
      <c r="E553" s="141"/>
      <c r="F553" s="12">
        <v>43647</v>
      </c>
      <c r="G553" s="12">
        <v>43830</v>
      </c>
      <c r="H553" s="151"/>
      <c r="I553" s="15" t="s">
        <v>23</v>
      </c>
      <c r="J553" s="14" t="s">
        <v>23</v>
      </c>
      <c r="K553" s="14" t="s">
        <v>23</v>
      </c>
      <c r="L553" s="5" t="s">
        <v>23</v>
      </c>
      <c r="M553" s="5" t="s">
        <v>23</v>
      </c>
      <c r="N553" s="5" t="s">
        <v>23</v>
      </c>
      <c r="O553" s="13">
        <f>$O$511</f>
        <v>2642.11</v>
      </c>
      <c r="P553" s="152"/>
      <c r="S553" s="18"/>
    </row>
    <row r="554" spans="1:19" s="17" customFormat="1" ht="18.95" customHeight="1" outlineLevel="1" x14ac:dyDescent="0.25">
      <c r="A554" s="157" t="s">
        <v>55</v>
      </c>
      <c r="B554" s="146" t="s">
        <v>251</v>
      </c>
      <c r="C554" s="148"/>
      <c r="D554" s="137">
        <f>D550</f>
        <v>43454</v>
      </c>
      <c r="E554" s="137" t="str">
        <f>E550</f>
        <v>565-п</v>
      </c>
      <c r="F554" s="12">
        <v>43466</v>
      </c>
      <c r="G554" s="12">
        <v>43646</v>
      </c>
      <c r="H554" s="142"/>
      <c r="I554" s="13">
        <f>$I$508</f>
        <v>2710.1</v>
      </c>
      <c r="J554" s="14" t="s">
        <v>23</v>
      </c>
      <c r="K554" s="14" t="s">
        <v>23</v>
      </c>
      <c r="L554" s="5" t="s">
        <v>23</v>
      </c>
      <c r="M554" s="5" t="s">
        <v>23</v>
      </c>
      <c r="N554" s="5" t="s">
        <v>23</v>
      </c>
      <c r="O554" s="4" t="s">
        <v>23</v>
      </c>
      <c r="P554" s="153"/>
      <c r="S554" s="18"/>
    </row>
    <row r="555" spans="1:19" s="17" customFormat="1" ht="18.95" customHeight="1" outlineLevel="1" x14ac:dyDescent="0.25">
      <c r="A555" s="157"/>
      <c r="B555" s="148"/>
      <c r="C555" s="148"/>
      <c r="D555" s="141"/>
      <c r="E555" s="141"/>
      <c r="F555" s="12">
        <v>43647</v>
      </c>
      <c r="G555" s="12">
        <v>43830</v>
      </c>
      <c r="H555" s="143"/>
      <c r="I555" s="13">
        <f>$I$509</f>
        <v>2734.19</v>
      </c>
      <c r="J555" s="14" t="s">
        <v>23</v>
      </c>
      <c r="K555" s="14" t="s">
        <v>23</v>
      </c>
      <c r="L555" s="5" t="s">
        <v>23</v>
      </c>
      <c r="M555" s="5" t="s">
        <v>23</v>
      </c>
      <c r="N555" s="5" t="s">
        <v>23</v>
      </c>
      <c r="O555" s="4" t="s">
        <v>23</v>
      </c>
      <c r="P555" s="152"/>
      <c r="S555" s="18"/>
    </row>
    <row r="556" spans="1:19" s="17" customFormat="1" ht="18.95" customHeight="1" outlineLevel="1" x14ac:dyDescent="0.25">
      <c r="A556" s="157"/>
      <c r="B556" s="148"/>
      <c r="C556" s="148"/>
      <c r="D556" s="137">
        <f>D552</f>
        <v>43454</v>
      </c>
      <c r="E556" s="137" t="str">
        <f>E552</f>
        <v>673-п</v>
      </c>
      <c r="F556" s="12">
        <v>43466</v>
      </c>
      <c r="G556" s="12">
        <v>43646</v>
      </c>
      <c r="H556" s="149"/>
      <c r="I556" s="15" t="s">
        <v>23</v>
      </c>
      <c r="J556" s="14" t="s">
        <v>23</v>
      </c>
      <c r="K556" s="14" t="s">
        <v>23</v>
      </c>
      <c r="L556" s="5" t="s">
        <v>23</v>
      </c>
      <c r="M556" s="5" t="s">
        <v>23</v>
      </c>
      <c r="N556" s="5" t="s">
        <v>23</v>
      </c>
      <c r="O556" s="13">
        <v>2531.3200000000002</v>
      </c>
      <c r="P556" s="144" t="s">
        <v>444</v>
      </c>
      <c r="Q556" s="17">
        <f>O556/1.2</f>
        <v>2109.4333333333334</v>
      </c>
      <c r="R556" s="67">
        <f>I554-Q556</f>
        <v>600.66666666666652</v>
      </c>
      <c r="S556" s="18">
        <f>R556*2471.694</f>
        <v>1484664.1959999995</v>
      </c>
    </row>
    <row r="557" spans="1:19" s="17" customFormat="1" ht="18.95" customHeight="1" outlineLevel="1" x14ac:dyDescent="0.25">
      <c r="A557" s="157"/>
      <c r="B557" s="148"/>
      <c r="C557" s="148"/>
      <c r="D557" s="138"/>
      <c r="E557" s="138"/>
      <c r="F557" s="12">
        <v>43647</v>
      </c>
      <c r="G557" s="12">
        <v>43830</v>
      </c>
      <c r="H557" s="150"/>
      <c r="I557" s="15" t="s">
        <v>23</v>
      </c>
      <c r="J557" s="14" t="s">
        <v>23</v>
      </c>
      <c r="K557" s="14" t="s">
        <v>23</v>
      </c>
      <c r="L557" s="5" t="s">
        <v>23</v>
      </c>
      <c r="M557" s="5" t="s">
        <v>23</v>
      </c>
      <c r="N557" s="5" t="s">
        <v>23</v>
      </c>
      <c r="O557" s="13">
        <v>2531.3200000000002</v>
      </c>
      <c r="P557" s="145"/>
      <c r="S557" s="18"/>
    </row>
    <row r="558" spans="1:19" s="17" customFormat="1" ht="18.95" customHeight="1" outlineLevel="1" x14ac:dyDescent="0.25">
      <c r="A558" s="157"/>
      <c r="B558" s="148"/>
      <c r="C558" s="148"/>
      <c r="D558" s="138"/>
      <c r="E558" s="138"/>
      <c r="F558" s="12">
        <v>43466</v>
      </c>
      <c r="G558" s="12">
        <v>43646</v>
      </c>
      <c r="H558" s="150"/>
      <c r="I558" s="15" t="s">
        <v>23</v>
      </c>
      <c r="J558" s="14" t="s">
        <v>23</v>
      </c>
      <c r="K558" s="14" t="s">
        <v>23</v>
      </c>
      <c r="L558" s="5" t="s">
        <v>23</v>
      </c>
      <c r="M558" s="5" t="s">
        <v>23</v>
      </c>
      <c r="N558" s="5" t="s">
        <v>23</v>
      </c>
      <c r="O558" s="13">
        <v>1615.25</v>
      </c>
      <c r="P558" s="144" t="s">
        <v>446</v>
      </c>
      <c r="Q558" s="17">
        <f>O558/1.2</f>
        <v>1346.0416666666667</v>
      </c>
      <c r="R558" s="67">
        <f>I554-Q558</f>
        <v>1364.0583333333332</v>
      </c>
      <c r="S558" s="18">
        <f>R558*434.518</f>
        <v>592707.8988833332</v>
      </c>
    </row>
    <row r="559" spans="1:19" s="17" customFormat="1" ht="18.95" customHeight="1" outlineLevel="1" x14ac:dyDescent="0.25">
      <c r="A559" s="157"/>
      <c r="B559" s="147"/>
      <c r="C559" s="147"/>
      <c r="D559" s="141"/>
      <c r="E559" s="141"/>
      <c r="F559" s="12">
        <v>43647</v>
      </c>
      <c r="G559" s="12">
        <v>43830</v>
      </c>
      <c r="H559" s="151"/>
      <c r="I559" s="15" t="s">
        <v>23</v>
      </c>
      <c r="J559" s="14" t="s">
        <v>23</v>
      </c>
      <c r="K559" s="14" t="s">
        <v>23</v>
      </c>
      <c r="L559" s="5" t="s">
        <v>23</v>
      </c>
      <c r="M559" s="5" t="s">
        <v>23</v>
      </c>
      <c r="N559" s="5" t="s">
        <v>23</v>
      </c>
      <c r="O559" s="13">
        <v>1647.56</v>
      </c>
      <c r="P559" s="145"/>
      <c r="S559" s="18"/>
    </row>
    <row r="560" spans="1:19" s="17" customFormat="1" ht="18.95" customHeight="1" outlineLevel="1" x14ac:dyDescent="0.25">
      <c r="A560" s="146" t="s">
        <v>55</v>
      </c>
      <c r="B560" s="146" t="s">
        <v>256</v>
      </c>
      <c r="C560" s="146" t="s">
        <v>258</v>
      </c>
      <c r="D560" s="137">
        <v>43448</v>
      </c>
      <c r="E560" s="137" t="s">
        <v>482</v>
      </c>
      <c r="F560" s="12">
        <v>43466</v>
      </c>
      <c r="G560" s="12">
        <v>43646</v>
      </c>
      <c r="H560" s="142"/>
      <c r="I560" s="13">
        <v>1774.15</v>
      </c>
      <c r="J560" s="14" t="s">
        <v>23</v>
      </c>
      <c r="K560" s="14" t="s">
        <v>23</v>
      </c>
      <c r="L560" s="5" t="s">
        <v>23</v>
      </c>
      <c r="M560" s="5" t="s">
        <v>23</v>
      </c>
      <c r="N560" s="5" t="s">
        <v>23</v>
      </c>
      <c r="O560" s="4" t="s">
        <v>23</v>
      </c>
      <c r="P560" s="153"/>
      <c r="S560" s="18"/>
    </row>
    <row r="561" spans="1:19" s="17" customFormat="1" ht="18.95" customHeight="1" outlineLevel="1" x14ac:dyDescent="0.25">
      <c r="A561" s="147" t="s">
        <v>55</v>
      </c>
      <c r="B561" s="147" t="s">
        <v>256</v>
      </c>
      <c r="C561" s="147" t="s">
        <v>258</v>
      </c>
      <c r="D561" s="141"/>
      <c r="E561" s="141"/>
      <c r="F561" s="12">
        <v>43647</v>
      </c>
      <c r="G561" s="12">
        <v>43830</v>
      </c>
      <c r="H561" s="143"/>
      <c r="I561" s="13">
        <v>1892.64</v>
      </c>
      <c r="J561" s="14" t="s">
        <v>23</v>
      </c>
      <c r="K561" s="14" t="s">
        <v>23</v>
      </c>
      <c r="L561" s="5" t="s">
        <v>23</v>
      </c>
      <c r="M561" s="5" t="s">
        <v>23</v>
      </c>
      <c r="N561" s="5" t="s">
        <v>23</v>
      </c>
      <c r="O561" s="4" t="s">
        <v>23</v>
      </c>
      <c r="P561" s="152"/>
      <c r="S561" s="18"/>
    </row>
    <row r="562" spans="1:19" s="17" customFormat="1" ht="18.95" customHeight="1" outlineLevel="1" x14ac:dyDescent="0.25">
      <c r="A562" s="146" t="s">
        <v>55</v>
      </c>
      <c r="B562" s="146" t="s">
        <v>56</v>
      </c>
      <c r="C562" s="146" t="s">
        <v>448</v>
      </c>
      <c r="D562" s="156">
        <v>43083</v>
      </c>
      <c r="E562" s="156" t="s">
        <v>608</v>
      </c>
      <c r="F562" s="12">
        <v>43466</v>
      </c>
      <c r="G562" s="12">
        <v>43646</v>
      </c>
      <c r="H562" s="142" t="s">
        <v>807</v>
      </c>
      <c r="I562" s="13">
        <v>2872.24</v>
      </c>
      <c r="J562" s="14" t="s">
        <v>23</v>
      </c>
      <c r="K562" s="14" t="s">
        <v>23</v>
      </c>
      <c r="L562" s="5" t="s">
        <v>23</v>
      </c>
      <c r="M562" s="5" t="s">
        <v>23</v>
      </c>
      <c r="N562" s="5" t="s">
        <v>23</v>
      </c>
      <c r="O562" s="4" t="s">
        <v>23</v>
      </c>
      <c r="P562" s="144" t="s">
        <v>331</v>
      </c>
      <c r="S562" s="18"/>
    </row>
    <row r="563" spans="1:19" s="17" customFormat="1" ht="18.95" customHeight="1" outlineLevel="1" x14ac:dyDescent="0.25">
      <c r="A563" s="148"/>
      <c r="B563" s="148"/>
      <c r="C563" s="148"/>
      <c r="D563" s="156"/>
      <c r="E563" s="156"/>
      <c r="F563" s="12">
        <v>43647</v>
      </c>
      <c r="G563" s="12">
        <v>43830</v>
      </c>
      <c r="H563" s="143"/>
      <c r="I563" s="13">
        <v>3270.55</v>
      </c>
      <c r="J563" s="14" t="s">
        <v>23</v>
      </c>
      <c r="K563" s="14" t="s">
        <v>23</v>
      </c>
      <c r="L563" s="5" t="s">
        <v>23</v>
      </c>
      <c r="M563" s="5" t="s">
        <v>23</v>
      </c>
      <c r="N563" s="5" t="s">
        <v>23</v>
      </c>
      <c r="O563" s="4" t="s">
        <v>23</v>
      </c>
      <c r="P563" s="158"/>
      <c r="S563" s="18"/>
    </row>
    <row r="564" spans="1:19" s="17" customFormat="1" ht="18.95" customHeight="1" outlineLevel="1" x14ac:dyDescent="0.25">
      <c r="A564" s="148"/>
      <c r="B564" s="148"/>
      <c r="C564" s="148"/>
      <c r="D564" s="137">
        <v>43454</v>
      </c>
      <c r="E564" s="137" t="s">
        <v>808</v>
      </c>
      <c r="F564" s="12">
        <v>43466</v>
      </c>
      <c r="G564" s="12">
        <v>43646</v>
      </c>
      <c r="H564" s="149"/>
      <c r="I564" s="15" t="s">
        <v>23</v>
      </c>
      <c r="J564" s="14" t="s">
        <v>23</v>
      </c>
      <c r="K564" s="14" t="s">
        <v>23</v>
      </c>
      <c r="L564" s="5" t="s">
        <v>23</v>
      </c>
      <c r="M564" s="5" t="s">
        <v>23</v>
      </c>
      <c r="N564" s="5" t="s">
        <v>23</v>
      </c>
      <c r="O564" s="13">
        <v>2794.23</v>
      </c>
      <c r="P564" s="158"/>
      <c r="S564" s="18"/>
    </row>
    <row r="565" spans="1:19" s="17" customFormat="1" ht="18.95" customHeight="1" outlineLevel="1" x14ac:dyDescent="0.25">
      <c r="A565" s="148"/>
      <c r="B565" s="148"/>
      <c r="C565" s="147"/>
      <c r="D565" s="141"/>
      <c r="E565" s="141"/>
      <c r="F565" s="12">
        <v>43647</v>
      </c>
      <c r="G565" s="12">
        <v>43830</v>
      </c>
      <c r="H565" s="151"/>
      <c r="I565" s="15" t="s">
        <v>23</v>
      </c>
      <c r="J565" s="14" t="s">
        <v>23</v>
      </c>
      <c r="K565" s="14" t="s">
        <v>23</v>
      </c>
      <c r="L565" s="5" t="s">
        <v>23</v>
      </c>
      <c r="M565" s="5" t="s">
        <v>23</v>
      </c>
      <c r="N565" s="5" t="s">
        <v>23</v>
      </c>
      <c r="O565" s="13">
        <v>2794.23</v>
      </c>
      <c r="P565" s="145"/>
      <c r="S565" s="18"/>
    </row>
    <row r="566" spans="1:19" s="17" customFormat="1" ht="18.95" customHeight="1" outlineLevel="1" x14ac:dyDescent="0.25">
      <c r="A566" s="146" t="s">
        <v>55</v>
      </c>
      <c r="B566" s="146" t="s">
        <v>257</v>
      </c>
      <c r="C566" s="146" t="s">
        <v>259</v>
      </c>
      <c r="D566" s="137">
        <v>43448</v>
      </c>
      <c r="E566" s="137" t="s">
        <v>483</v>
      </c>
      <c r="F566" s="12">
        <v>43466</v>
      </c>
      <c r="G566" s="12">
        <v>43646</v>
      </c>
      <c r="H566" s="142"/>
      <c r="I566" s="13">
        <v>1281</v>
      </c>
      <c r="J566" s="14" t="s">
        <v>23</v>
      </c>
      <c r="K566" s="14" t="s">
        <v>23</v>
      </c>
      <c r="L566" s="5" t="s">
        <v>23</v>
      </c>
      <c r="M566" s="5" t="s">
        <v>23</v>
      </c>
      <c r="N566" s="5" t="s">
        <v>23</v>
      </c>
      <c r="O566" s="15" t="s">
        <v>23</v>
      </c>
      <c r="P566" s="153"/>
      <c r="S566" s="18"/>
    </row>
    <row r="567" spans="1:19" s="17" customFormat="1" ht="18.95" customHeight="1" outlineLevel="1" x14ac:dyDescent="0.25">
      <c r="A567" s="147" t="s">
        <v>55</v>
      </c>
      <c r="B567" s="147" t="s">
        <v>257</v>
      </c>
      <c r="C567" s="147" t="s">
        <v>259</v>
      </c>
      <c r="D567" s="141"/>
      <c r="E567" s="141"/>
      <c r="F567" s="12">
        <v>43647</v>
      </c>
      <c r="G567" s="12">
        <v>43830</v>
      </c>
      <c r="H567" s="143"/>
      <c r="I567" s="13">
        <v>1332.86</v>
      </c>
      <c r="J567" s="14" t="s">
        <v>23</v>
      </c>
      <c r="K567" s="14" t="s">
        <v>23</v>
      </c>
      <c r="L567" s="5" t="s">
        <v>23</v>
      </c>
      <c r="M567" s="5" t="s">
        <v>23</v>
      </c>
      <c r="N567" s="5" t="s">
        <v>23</v>
      </c>
      <c r="O567" s="15" t="s">
        <v>23</v>
      </c>
      <c r="P567" s="152"/>
      <c r="S567" s="18"/>
    </row>
    <row r="568" spans="1:19" s="17" customFormat="1" ht="18.95" customHeight="1" outlineLevel="1" x14ac:dyDescent="0.25">
      <c r="A568" s="6">
        <v>6</v>
      </c>
      <c r="B568" s="6" t="s">
        <v>311</v>
      </c>
      <c r="C568" s="7"/>
      <c r="D568" s="7"/>
      <c r="E568" s="7"/>
      <c r="F568" s="7"/>
      <c r="G568" s="7"/>
      <c r="H568" s="7"/>
      <c r="I568" s="8"/>
      <c r="J568" s="31"/>
      <c r="K568" s="31"/>
      <c r="L568" s="32"/>
      <c r="M568" s="32"/>
      <c r="N568" s="32"/>
      <c r="O568" s="8"/>
      <c r="P568" s="9"/>
      <c r="S568" s="18"/>
    </row>
    <row r="569" spans="1:19" s="17" customFormat="1" ht="18.95" customHeight="1" outlineLevel="1" x14ac:dyDescent="0.25">
      <c r="A569" s="146" t="s">
        <v>309</v>
      </c>
      <c r="B569" s="146" t="s">
        <v>189</v>
      </c>
      <c r="C569" s="146" t="s">
        <v>321</v>
      </c>
      <c r="D569" s="137">
        <v>43454</v>
      </c>
      <c r="E569" s="137" t="s">
        <v>789</v>
      </c>
      <c r="F569" s="12">
        <v>43466</v>
      </c>
      <c r="G569" s="12">
        <v>43646</v>
      </c>
      <c r="H569" s="149"/>
      <c r="I569" s="13">
        <v>968.25</v>
      </c>
      <c r="J569" s="14" t="s">
        <v>23</v>
      </c>
      <c r="K569" s="14" t="s">
        <v>23</v>
      </c>
      <c r="L569" s="5" t="s">
        <v>23</v>
      </c>
      <c r="M569" s="5" t="s">
        <v>23</v>
      </c>
      <c r="N569" s="5" t="s">
        <v>23</v>
      </c>
      <c r="O569" s="15" t="s">
        <v>85</v>
      </c>
      <c r="P569" s="153"/>
      <c r="S569" s="18"/>
    </row>
    <row r="570" spans="1:19" s="17" customFormat="1" ht="18.95" customHeight="1" outlineLevel="1" x14ac:dyDescent="0.25">
      <c r="A570" s="147"/>
      <c r="B570" s="147"/>
      <c r="C570" s="147"/>
      <c r="D570" s="141"/>
      <c r="E570" s="141"/>
      <c r="F570" s="12">
        <v>43647</v>
      </c>
      <c r="G570" s="12">
        <v>43830</v>
      </c>
      <c r="H570" s="151"/>
      <c r="I570" s="13">
        <v>987.62</v>
      </c>
      <c r="J570" s="14" t="s">
        <v>23</v>
      </c>
      <c r="K570" s="14" t="s">
        <v>23</v>
      </c>
      <c r="L570" s="5" t="s">
        <v>23</v>
      </c>
      <c r="M570" s="5" t="s">
        <v>23</v>
      </c>
      <c r="N570" s="5" t="s">
        <v>23</v>
      </c>
      <c r="O570" s="15" t="s">
        <v>85</v>
      </c>
      <c r="P570" s="152"/>
      <c r="S570" s="18"/>
    </row>
    <row r="571" spans="1:19" s="17" customFormat="1" ht="18.95" customHeight="1" outlineLevel="1" x14ac:dyDescent="0.25">
      <c r="A571" s="146" t="s">
        <v>62</v>
      </c>
      <c r="B571" s="146" t="s">
        <v>262</v>
      </c>
      <c r="C571" s="146" t="s">
        <v>440</v>
      </c>
      <c r="D571" s="137">
        <v>43451</v>
      </c>
      <c r="E571" s="137" t="s">
        <v>484</v>
      </c>
      <c r="F571" s="12">
        <v>43466</v>
      </c>
      <c r="G571" s="12">
        <v>43646</v>
      </c>
      <c r="H571" s="149"/>
      <c r="I571" s="13">
        <v>1339.18</v>
      </c>
      <c r="J571" s="14" t="s">
        <v>23</v>
      </c>
      <c r="K571" s="14" t="s">
        <v>23</v>
      </c>
      <c r="L571" s="5" t="s">
        <v>23</v>
      </c>
      <c r="M571" s="5" t="s">
        <v>23</v>
      </c>
      <c r="N571" s="5" t="s">
        <v>23</v>
      </c>
      <c r="O571" s="15" t="s">
        <v>85</v>
      </c>
      <c r="P571" s="153"/>
      <c r="S571" s="18"/>
    </row>
    <row r="572" spans="1:19" s="17" customFormat="1" ht="18.95" customHeight="1" outlineLevel="1" x14ac:dyDescent="0.25">
      <c r="A572" s="148"/>
      <c r="B572" s="148"/>
      <c r="C572" s="148"/>
      <c r="D572" s="141"/>
      <c r="E572" s="141"/>
      <c r="F572" s="12">
        <v>43647</v>
      </c>
      <c r="G572" s="12">
        <v>43830</v>
      </c>
      <c r="H572" s="150"/>
      <c r="I572" s="13">
        <v>1344.58</v>
      </c>
      <c r="J572" s="14" t="s">
        <v>23</v>
      </c>
      <c r="K572" s="14" t="s">
        <v>23</v>
      </c>
      <c r="L572" s="5" t="s">
        <v>23</v>
      </c>
      <c r="M572" s="5" t="s">
        <v>23</v>
      </c>
      <c r="N572" s="5" t="s">
        <v>23</v>
      </c>
      <c r="O572" s="15" t="s">
        <v>85</v>
      </c>
      <c r="P572" s="152"/>
      <c r="S572" s="18"/>
    </row>
    <row r="573" spans="1:19" s="17" customFormat="1" ht="18.95" customHeight="1" outlineLevel="1" x14ac:dyDescent="0.25">
      <c r="A573" s="148"/>
      <c r="B573" s="148"/>
      <c r="C573" s="148"/>
      <c r="D573" s="137">
        <v>43454</v>
      </c>
      <c r="E573" s="137" t="s">
        <v>485</v>
      </c>
      <c r="F573" s="12">
        <v>43466</v>
      </c>
      <c r="G573" s="12">
        <v>43646</v>
      </c>
      <c r="H573" s="150"/>
      <c r="I573" s="15" t="s">
        <v>23</v>
      </c>
      <c r="J573" s="14" t="s">
        <v>23</v>
      </c>
      <c r="K573" s="14" t="s">
        <v>23</v>
      </c>
      <c r="L573" s="5" t="s">
        <v>23</v>
      </c>
      <c r="M573" s="5" t="s">
        <v>23</v>
      </c>
      <c r="N573" s="5" t="s">
        <v>23</v>
      </c>
      <c r="O573" s="13">
        <v>1607.01</v>
      </c>
      <c r="P573" s="183" t="s">
        <v>444</v>
      </c>
      <c r="S573" s="18"/>
    </row>
    <row r="574" spans="1:19" s="17" customFormat="1" ht="18.95" customHeight="1" outlineLevel="1" x14ac:dyDescent="0.25">
      <c r="A574" s="148"/>
      <c r="B574" s="148"/>
      <c r="C574" s="148"/>
      <c r="D574" s="138"/>
      <c r="E574" s="138"/>
      <c r="F574" s="12">
        <v>43647</v>
      </c>
      <c r="G574" s="12">
        <v>43830</v>
      </c>
      <c r="H574" s="150"/>
      <c r="I574" s="15" t="s">
        <v>23</v>
      </c>
      <c r="J574" s="14" t="s">
        <v>23</v>
      </c>
      <c r="K574" s="14" t="s">
        <v>23</v>
      </c>
      <c r="L574" s="5" t="s">
        <v>23</v>
      </c>
      <c r="M574" s="5" t="s">
        <v>23</v>
      </c>
      <c r="N574" s="5" t="s">
        <v>23</v>
      </c>
      <c r="O574" s="13">
        <v>1613.5</v>
      </c>
      <c r="P574" s="183"/>
      <c r="S574" s="18"/>
    </row>
    <row r="575" spans="1:19" s="17" customFormat="1" ht="18.95" customHeight="1" outlineLevel="1" x14ac:dyDescent="0.25">
      <c r="A575" s="148"/>
      <c r="B575" s="148"/>
      <c r="C575" s="148"/>
      <c r="D575" s="138"/>
      <c r="E575" s="138"/>
      <c r="F575" s="12">
        <v>43466</v>
      </c>
      <c r="G575" s="12">
        <v>43646</v>
      </c>
      <c r="H575" s="150"/>
      <c r="I575" s="15" t="s">
        <v>23</v>
      </c>
      <c r="J575" s="14"/>
      <c r="K575" s="14"/>
      <c r="L575" s="5"/>
      <c r="M575" s="5"/>
      <c r="N575" s="5"/>
      <c r="O575" s="13">
        <v>1301.98</v>
      </c>
      <c r="P575" s="42"/>
      <c r="S575" s="18"/>
    </row>
    <row r="576" spans="1:19" s="17" customFormat="1" ht="18.95" customHeight="1" outlineLevel="1" x14ac:dyDescent="0.25">
      <c r="A576" s="147"/>
      <c r="B576" s="147"/>
      <c r="C576" s="147"/>
      <c r="D576" s="141"/>
      <c r="E576" s="141"/>
      <c r="F576" s="12">
        <v>43647</v>
      </c>
      <c r="G576" s="12">
        <v>43830</v>
      </c>
      <c r="H576" s="151"/>
      <c r="I576" s="15" t="s">
        <v>23</v>
      </c>
      <c r="J576" s="14" t="s">
        <v>23</v>
      </c>
      <c r="K576" s="14" t="s">
        <v>23</v>
      </c>
      <c r="L576" s="5" t="s">
        <v>23</v>
      </c>
      <c r="M576" s="5" t="s">
        <v>23</v>
      </c>
      <c r="N576" s="5" t="s">
        <v>23</v>
      </c>
      <c r="O576" s="13">
        <v>1328.02</v>
      </c>
      <c r="P576" s="42" t="s">
        <v>446</v>
      </c>
      <c r="S576" s="18"/>
    </row>
    <row r="577" spans="1:19" s="17" customFormat="1" ht="18.95" customHeight="1" outlineLevel="1" x14ac:dyDescent="0.25">
      <c r="A577" s="146" t="s">
        <v>62</v>
      </c>
      <c r="B577" s="157" t="s">
        <v>262</v>
      </c>
      <c r="C577" s="146" t="s">
        <v>330</v>
      </c>
      <c r="D577" s="137">
        <v>43087</v>
      </c>
      <c r="E577" s="137" t="s">
        <v>441</v>
      </c>
      <c r="F577" s="12">
        <v>43466</v>
      </c>
      <c r="G577" s="12">
        <v>43646</v>
      </c>
      <c r="H577" s="149"/>
      <c r="I577" s="13">
        <v>3430.52</v>
      </c>
      <c r="J577" s="14" t="s">
        <v>23</v>
      </c>
      <c r="K577" s="14" t="s">
        <v>23</v>
      </c>
      <c r="L577" s="5" t="s">
        <v>23</v>
      </c>
      <c r="M577" s="5" t="s">
        <v>23</v>
      </c>
      <c r="N577" s="5" t="s">
        <v>23</v>
      </c>
      <c r="O577" s="4" t="s">
        <v>23</v>
      </c>
      <c r="P577" s="144" t="s">
        <v>396</v>
      </c>
      <c r="S577" s="18"/>
    </row>
    <row r="578" spans="1:19" s="17" customFormat="1" ht="18.95" customHeight="1" outlineLevel="1" x14ac:dyDescent="0.25">
      <c r="A578" s="148"/>
      <c r="B578" s="157"/>
      <c r="C578" s="148"/>
      <c r="D578" s="141"/>
      <c r="E578" s="141"/>
      <c r="F578" s="12">
        <v>43647</v>
      </c>
      <c r="G578" s="12">
        <v>43830</v>
      </c>
      <c r="H578" s="151"/>
      <c r="I578" s="13">
        <v>3430.52</v>
      </c>
      <c r="J578" s="14" t="s">
        <v>23</v>
      </c>
      <c r="K578" s="14" t="s">
        <v>23</v>
      </c>
      <c r="L578" s="5" t="s">
        <v>23</v>
      </c>
      <c r="M578" s="5" t="s">
        <v>23</v>
      </c>
      <c r="N578" s="5" t="s">
        <v>23</v>
      </c>
      <c r="O578" s="4" t="s">
        <v>23</v>
      </c>
      <c r="P578" s="158"/>
      <c r="S578" s="18"/>
    </row>
    <row r="579" spans="1:19" s="17" customFormat="1" ht="18.95" customHeight="1" outlineLevel="1" x14ac:dyDescent="0.25">
      <c r="A579" s="148"/>
      <c r="B579" s="157"/>
      <c r="C579" s="148"/>
      <c r="D579" s="137">
        <v>43454</v>
      </c>
      <c r="E579" s="137" t="str">
        <f>E573</f>
        <v>677-п</v>
      </c>
      <c r="F579" s="12">
        <v>43466</v>
      </c>
      <c r="G579" s="12">
        <v>43646</v>
      </c>
      <c r="H579" s="149"/>
      <c r="I579" s="15" t="s">
        <v>23</v>
      </c>
      <c r="J579" s="14" t="s">
        <v>23</v>
      </c>
      <c r="K579" s="14" t="s">
        <v>23</v>
      </c>
      <c r="L579" s="5" t="s">
        <v>23</v>
      </c>
      <c r="M579" s="5" t="s">
        <v>23</v>
      </c>
      <c r="N579" s="5" t="s">
        <v>23</v>
      </c>
      <c r="O579" s="13">
        <v>2565.59</v>
      </c>
      <c r="P579" s="158"/>
      <c r="S579" s="18"/>
    </row>
    <row r="580" spans="1:19" s="17" customFormat="1" ht="18.95" customHeight="1" outlineLevel="1" x14ac:dyDescent="0.25">
      <c r="A580" s="148"/>
      <c r="B580" s="157"/>
      <c r="C580" s="148"/>
      <c r="D580" s="141"/>
      <c r="E580" s="141"/>
      <c r="F580" s="12">
        <v>43647</v>
      </c>
      <c r="G580" s="12">
        <v>43830</v>
      </c>
      <c r="H580" s="151"/>
      <c r="I580" s="15" t="s">
        <v>23</v>
      </c>
      <c r="J580" s="14" t="s">
        <v>23</v>
      </c>
      <c r="K580" s="14" t="s">
        <v>23</v>
      </c>
      <c r="L580" s="5" t="s">
        <v>23</v>
      </c>
      <c r="M580" s="5" t="s">
        <v>23</v>
      </c>
      <c r="N580" s="5" t="s">
        <v>23</v>
      </c>
      <c r="O580" s="13">
        <v>2565.59</v>
      </c>
      <c r="P580" s="158"/>
      <c r="S580" s="18"/>
    </row>
    <row r="581" spans="1:19" s="17" customFormat="1" ht="18.95" customHeight="1" outlineLevel="1" x14ac:dyDescent="0.25">
      <c r="A581" s="146" t="s">
        <v>62</v>
      </c>
      <c r="B581" s="157" t="s">
        <v>353</v>
      </c>
      <c r="C581" s="148"/>
      <c r="D581" s="137">
        <f>$D$577</f>
        <v>43087</v>
      </c>
      <c r="E581" s="137" t="str">
        <f>$E$577</f>
        <v>449-п</v>
      </c>
      <c r="F581" s="12">
        <v>43466</v>
      </c>
      <c r="G581" s="12">
        <v>43646</v>
      </c>
      <c r="H581" s="149"/>
      <c r="I581" s="13">
        <f>$I$577</f>
        <v>3430.52</v>
      </c>
      <c r="J581" s="14" t="s">
        <v>23</v>
      </c>
      <c r="K581" s="14" t="s">
        <v>23</v>
      </c>
      <c r="L581" s="5" t="s">
        <v>23</v>
      </c>
      <c r="M581" s="5" t="s">
        <v>23</v>
      </c>
      <c r="N581" s="5" t="s">
        <v>23</v>
      </c>
      <c r="O581" s="4" t="s">
        <v>23</v>
      </c>
      <c r="P581" s="144" t="s">
        <v>396</v>
      </c>
      <c r="S581" s="18"/>
    </row>
    <row r="582" spans="1:19" s="17" customFormat="1" ht="18.95" customHeight="1" outlineLevel="1" x14ac:dyDescent="0.25">
      <c r="A582" s="148"/>
      <c r="B582" s="157"/>
      <c r="C582" s="148"/>
      <c r="D582" s="141"/>
      <c r="E582" s="141"/>
      <c r="F582" s="12">
        <v>43647</v>
      </c>
      <c r="G582" s="12">
        <v>43830</v>
      </c>
      <c r="H582" s="151"/>
      <c r="I582" s="13">
        <f>$I$578</f>
        <v>3430.52</v>
      </c>
      <c r="J582" s="14" t="s">
        <v>23</v>
      </c>
      <c r="K582" s="14" t="s">
        <v>23</v>
      </c>
      <c r="L582" s="5" t="s">
        <v>23</v>
      </c>
      <c r="M582" s="5" t="s">
        <v>23</v>
      </c>
      <c r="N582" s="5" t="s">
        <v>23</v>
      </c>
      <c r="O582" s="4" t="s">
        <v>23</v>
      </c>
      <c r="P582" s="158"/>
      <c r="S582" s="18"/>
    </row>
    <row r="583" spans="1:19" s="17" customFormat="1" ht="18.95" customHeight="1" outlineLevel="1" x14ac:dyDescent="0.25">
      <c r="A583" s="148"/>
      <c r="B583" s="157"/>
      <c r="C583" s="148"/>
      <c r="D583" s="137">
        <f>D579</f>
        <v>43454</v>
      </c>
      <c r="E583" s="137" t="str">
        <f>$E$573</f>
        <v>677-п</v>
      </c>
      <c r="F583" s="12">
        <v>43466</v>
      </c>
      <c r="G583" s="12">
        <v>43646</v>
      </c>
      <c r="H583" s="149"/>
      <c r="I583" s="15" t="s">
        <v>23</v>
      </c>
      <c r="J583" s="14" t="s">
        <v>23</v>
      </c>
      <c r="K583" s="14" t="s">
        <v>23</v>
      </c>
      <c r="L583" s="5" t="s">
        <v>23</v>
      </c>
      <c r="M583" s="5" t="s">
        <v>23</v>
      </c>
      <c r="N583" s="5" t="s">
        <v>23</v>
      </c>
      <c r="O583" s="13">
        <f>$O$579</f>
        <v>2565.59</v>
      </c>
      <c r="P583" s="158"/>
      <c r="S583" s="18"/>
    </row>
    <row r="584" spans="1:19" s="17" customFormat="1" ht="18.95" customHeight="1" outlineLevel="1" x14ac:dyDescent="0.25">
      <c r="A584" s="148"/>
      <c r="B584" s="157"/>
      <c r="C584" s="148"/>
      <c r="D584" s="141"/>
      <c r="E584" s="141"/>
      <c r="F584" s="12">
        <v>43647</v>
      </c>
      <c r="G584" s="12">
        <v>43830</v>
      </c>
      <c r="H584" s="151"/>
      <c r="I584" s="15" t="s">
        <v>23</v>
      </c>
      <c r="J584" s="14" t="s">
        <v>23</v>
      </c>
      <c r="K584" s="14" t="s">
        <v>23</v>
      </c>
      <c r="L584" s="5" t="s">
        <v>23</v>
      </c>
      <c r="M584" s="5" t="s">
        <v>23</v>
      </c>
      <c r="N584" s="5" t="s">
        <v>23</v>
      </c>
      <c r="O584" s="13">
        <f>$O$580</f>
        <v>2565.59</v>
      </c>
      <c r="P584" s="158"/>
      <c r="S584" s="18"/>
    </row>
    <row r="585" spans="1:19" s="17" customFormat="1" ht="18.95" customHeight="1" outlineLevel="1" x14ac:dyDescent="0.25">
      <c r="A585" s="146" t="s">
        <v>62</v>
      </c>
      <c r="B585" s="157" t="s">
        <v>386</v>
      </c>
      <c r="C585" s="148"/>
      <c r="D585" s="137">
        <f>$D$577</f>
        <v>43087</v>
      </c>
      <c r="E585" s="137" t="str">
        <f>$E$577</f>
        <v>449-п</v>
      </c>
      <c r="F585" s="12">
        <v>43466</v>
      </c>
      <c r="G585" s="12">
        <v>43646</v>
      </c>
      <c r="H585" s="149"/>
      <c r="I585" s="13">
        <f>$I$577</f>
        <v>3430.52</v>
      </c>
      <c r="J585" s="14" t="s">
        <v>23</v>
      </c>
      <c r="K585" s="14" t="s">
        <v>23</v>
      </c>
      <c r="L585" s="5" t="s">
        <v>23</v>
      </c>
      <c r="M585" s="5" t="s">
        <v>23</v>
      </c>
      <c r="N585" s="5" t="s">
        <v>23</v>
      </c>
      <c r="O585" s="4" t="s">
        <v>23</v>
      </c>
      <c r="P585" s="144" t="s">
        <v>396</v>
      </c>
      <c r="S585" s="18"/>
    </row>
    <row r="586" spans="1:19" s="17" customFormat="1" ht="18.95" customHeight="1" outlineLevel="1" x14ac:dyDescent="0.25">
      <c r="A586" s="148"/>
      <c r="B586" s="157"/>
      <c r="C586" s="148"/>
      <c r="D586" s="141"/>
      <c r="E586" s="141"/>
      <c r="F586" s="12">
        <v>43647</v>
      </c>
      <c r="G586" s="12">
        <v>43830</v>
      </c>
      <c r="H586" s="151"/>
      <c r="I586" s="13">
        <f>$I$578</f>
        <v>3430.52</v>
      </c>
      <c r="J586" s="14" t="s">
        <v>23</v>
      </c>
      <c r="K586" s="14" t="s">
        <v>23</v>
      </c>
      <c r="L586" s="5" t="s">
        <v>23</v>
      </c>
      <c r="M586" s="5" t="s">
        <v>23</v>
      </c>
      <c r="N586" s="5" t="s">
        <v>23</v>
      </c>
      <c r="O586" s="4" t="s">
        <v>23</v>
      </c>
      <c r="P586" s="158"/>
      <c r="S586" s="18"/>
    </row>
    <row r="587" spans="1:19" s="17" customFormat="1" ht="18.95" customHeight="1" outlineLevel="1" x14ac:dyDescent="0.25">
      <c r="A587" s="148"/>
      <c r="B587" s="157"/>
      <c r="C587" s="148"/>
      <c r="D587" s="137">
        <f>D579</f>
        <v>43454</v>
      </c>
      <c r="E587" s="137" t="str">
        <f>$E$573</f>
        <v>677-п</v>
      </c>
      <c r="F587" s="12">
        <v>43466</v>
      </c>
      <c r="G587" s="12">
        <v>43646</v>
      </c>
      <c r="H587" s="149"/>
      <c r="I587" s="15" t="s">
        <v>23</v>
      </c>
      <c r="J587" s="14" t="s">
        <v>23</v>
      </c>
      <c r="K587" s="14" t="s">
        <v>23</v>
      </c>
      <c r="L587" s="5" t="s">
        <v>23</v>
      </c>
      <c r="M587" s="5" t="s">
        <v>23</v>
      </c>
      <c r="N587" s="5" t="s">
        <v>23</v>
      </c>
      <c r="O587" s="13">
        <f>$O$579</f>
        <v>2565.59</v>
      </c>
      <c r="P587" s="158"/>
      <c r="S587" s="18"/>
    </row>
    <row r="588" spans="1:19" s="17" customFormat="1" ht="18.95" customHeight="1" outlineLevel="1" x14ac:dyDescent="0.25">
      <c r="A588" s="148"/>
      <c r="B588" s="157"/>
      <c r="C588" s="148"/>
      <c r="D588" s="141"/>
      <c r="E588" s="141"/>
      <c r="F588" s="12">
        <v>43647</v>
      </c>
      <c r="G588" s="12">
        <v>43830</v>
      </c>
      <c r="H588" s="151"/>
      <c r="I588" s="15" t="s">
        <v>23</v>
      </c>
      <c r="J588" s="14" t="s">
        <v>23</v>
      </c>
      <c r="K588" s="14" t="s">
        <v>23</v>
      </c>
      <c r="L588" s="5" t="s">
        <v>23</v>
      </c>
      <c r="M588" s="5" t="s">
        <v>23</v>
      </c>
      <c r="N588" s="5" t="s">
        <v>23</v>
      </c>
      <c r="O588" s="13">
        <f>$O$580</f>
        <v>2565.59</v>
      </c>
      <c r="P588" s="158"/>
      <c r="S588" s="18"/>
    </row>
    <row r="589" spans="1:19" s="17" customFormat="1" ht="18.95" customHeight="1" outlineLevel="1" x14ac:dyDescent="0.25">
      <c r="A589" s="146" t="s">
        <v>62</v>
      </c>
      <c r="B589" s="157" t="s">
        <v>387</v>
      </c>
      <c r="C589" s="148"/>
      <c r="D589" s="137">
        <f>$D$577</f>
        <v>43087</v>
      </c>
      <c r="E589" s="137" t="str">
        <f>$E$577</f>
        <v>449-п</v>
      </c>
      <c r="F589" s="12">
        <v>43466</v>
      </c>
      <c r="G589" s="12">
        <v>43646</v>
      </c>
      <c r="H589" s="149"/>
      <c r="I589" s="13">
        <f>$I$577</f>
        <v>3430.52</v>
      </c>
      <c r="J589" s="14" t="s">
        <v>23</v>
      </c>
      <c r="K589" s="14" t="s">
        <v>23</v>
      </c>
      <c r="L589" s="5" t="s">
        <v>23</v>
      </c>
      <c r="M589" s="5" t="s">
        <v>23</v>
      </c>
      <c r="N589" s="5" t="s">
        <v>23</v>
      </c>
      <c r="O589" s="4" t="s">
        <v>23</v>
      </c>
      <c r="P589" s="144" t="s">
        <v>396</v>
      </c>
      <c r="S589" s="18"/>
    </row>
    <row r="590" spans="1:19" s="17" customFormat="1" ht="18.95" customHeight="1" outlineLevel="1" x14ac:dyDescent="0.25">
      <c r="A590" s="148"/>
      <c r="B590" s="157"/>
      <c r="C590" s="148"/>
      <c r="D590" s="141"/>
      <c r="E590" s="141"/>
      <c r="F590" s="12">
        <v>43647</v>
      </c>
      <c r="G590" s="12">
        <v>43830</v>
      </c>
      <c r="H590" s="151"/>
      <c r="I590" s="13">
        <f>$I$578</f>
        <v>3430.52</v>
      </c>
      <c r="J590" s="14" t="s">
        <v>23</v>
      </c>
      <c r="K590" s="14" t="s">
        <v>23</v>
      </c>
      <c r="L590" s="5" t="s">
        <v>23</v>
      </c>
      <c r="M590" s="5" t="s">
        <v>23</v>
      </c>
      <c r="N590" s="5" t="s">
        <v>23</v>
      </c>
      <c r="O590" s="4" t="s">
        <v>23</v>
      </c>
      <c r="P590" s="158"/>
      <c r="S590" s="18"/>
    </row>
    <row r="591" spans="1:19" s="17" customFormat="1" ht="18.95" customHeight="1" outlineLevel="1" x14ac:dyDescent="0.25">
      <c r="A591" s="148"/>
      <c r="B591" s="157"/>
      <c r="C591" s="148"/>
      <c r="D591" s="137">
        <f>D579</f>
        <v>43454</v>
      </c>
      <c r="E591" s="137" t="str">
        <f>$E$573</f>
        <v>677-п</v>
      </c>
      <c r="F591" s="12">
        <v>43466</v>
      </c>
      <c r="G591" s="12">
        <v>43646</v>
      </c>
      <c r="H591" s="149"/>
      <c r="I591" s="15" t="s">
        <v>23</v>
      </c>
      <c r="J591" s="14" t="s">
        <v>23</v>
      </c>
      <c r="K591" s="14" t="s">
        <v>23</v>
      </c>
      <c r="L591" s="5" t="s">
        <v>23</v>
      </c>
      <c r="M591" s="5" t="s">
        <v>23</v>
      </c>
      <c r="N591" s="5" t="s">
        <v>23</v>
      </c>
      <c r="O591" s="13">
        <f>$O$579</f>
        <v>2565.59</v>
      </c>
      <c r="P591" s="158"/>
      <c r="S591" s="18"/>
    </row>
    <row r="592" spans="1:19" s="17" customFormat="1" ht="18.95" customHeight="1" outlineLevel="1" x14ac:dyDescent="0.25">
      <c r="A592" s="148"/>
      <c r="B592" s="157"/>
      <c r="C592" s="148"/>
      <c r="D592" s="141"/>
      <c r="E592" s="141"/>
      <c r="F592" s="12">
        <v>43647</v>
      </c>
      <c r="G592" s="12">
        <v>43830</v>
      </c>
      <c r="H592" s="151"/>
      <c r="I592" s="15" t="s">
        <v>23</v>
      </c>
      <c r="J592" s="14" t="s">
        <v>23</v>
      </c>
      <c r="K592" s="14" t="s">
        <v>23</v>
      </c>
      <c r="L592" s="5" t="s">
        <v>23</v>
      </c>
      <c r="M592" s="5" t="s">
        <v>23</v>
      </c>
      <c r="N592" s="5" t="s">
        <v>23</v>
      </c>
      <c r="O592" s="13">
        <f>$O$580</f>
        <v>2565.59</v>
      </c>
      <c r="P592" s="158"/>
      <c r="S592" s="18"/>
    </row>
    <row r="593" spans="1:19" s="17" customFormat="1" ht="18.95" customHeight="1" outlineLevel="1" x14ac:dyDescent="0.25">
      <c r="A593" s="146" t="s">
        <v>62</v>
      </c>
      <c r="B593" s="157" t="s">
        <v>388</v>
      </c>
      <c r="C593" s="148"/>
      <c r="D593" s="137">
        <f>$D$577</f>
        <v>43087</v>
      </c>
      <c r="E593" s="137" t="str">
        <f>$E$577</f>
        <v>449-п</v>
      </c>
      <c r="F593" s="12">
        <v>43466</v>
      </c>
      <c r="G593" s="12">
        <v>43646</v>
      </c>
      <c r="H593" s="149"/>
      <c r="I593" s="13">
        <f>$I$577</f>
        <v>3430.52</v>
      </c>
      <c r="J593" s="14" t="s">
        <v>23</v>
      </c>
      <c r="K593" s="14" t="s">
        <v>23</v>
      </c>
      <c r="L593" s="5" t="s">
        <v>23</v>
      </c>
      <c r="M593" s="5" t="s">
        <v>23</v>
      </c>
      <c r="N593" s="5" t="s">
        <v>23</v>
      </c>
      <c r="O593" s="4" t="s">
        <v>23</v>
      </c>
      <c r="P593" s="144" t="s">
        <v>396</v>
      </c>
      <c r="S593" s="18"/>
    </row>
    <row r="594" spans="1:19" s="17" customFormat="1" ht="18.95" customHeight="1" outlineLevel="1" x14ac:dyDescent="0.25">
      <c r="A594" s="148"/>
      <c r="B594" s="157"/>
      <c r="C594" s="148"/>
      <c r="D594" s="141"/>
      <c r="E594" s="141"/>
      <c r="F594" s="12">
        <v>43647</v>
      </c>
      <c r="G594" s="12">
        <v>43830</v>
      </c>
      <c r="H594" s="151"/>
      <c r="I594" s="13">
        <f>$I$578</f>
        <v>3430.52</v>
      </c>
      <c r="J594" s="14" t="s">
        <v>23</v>
      </c>
      <c r="K594" s="14" t="s">
        <v>23</v>
      </c>
      <c r="L594" s="5" t="s">
        <v>23</v>
      </c>
      <c r="M594" s="5" t="s">
        <v>23</v>
      </c>
      <c r="N594" s="5" t="s">
        <v>23</v>
      </c>
      <c r="O594" s="4" t="s">
        <v>23</v>
      </c>
      <c r="P594" s="158"/>
      <c r="S594" s="18"/>
    </row>
    <row r="595" spans="1:19" s="17" customFormat="1" ht="18.95" customHeight="1" outlineLevel="1" x14ac:dyDescent="0.25">
      <c r="A595" s="148"/>
      <c r="B595" s="157"/>
      <c r="C595" s="148"/>
      <c r="D595" s="137">
        <f>D579</f>
        <v>43454</v>
      </c>
      <c r="E595" s="137" t="str">
        <f>$E$573</f>
        <v>677-п</v>
      </c>
      <c r="F595" s="12">
        <v>43466</v>
      </c>
      <c r="G595" s="12">
        <v>43646</v>
      </c>
      <c r="H595" s="149"/>
      <c r="I595" s="15" t="s">
        <v>23</v>
      </c>
      <c r="J595" s="14" t="s">
        <v>23</v>
      </c>
      <c r="K595" s="14" t="s">
        <v>23</v>
      </c>
      <c r="L595" s="5" t="s">
        <v>23</v>
      </c>
      <c r="M595" s="5" t="s">
        <v>23</v>
      </c>
      <c r="N595" s="5" t="s">
        <v>23</v>
      </c>
      <c r="O595" s="13">
        <f>$O$579</f>
        <v>2565.59</v>
      </c>
      <c r="P595" s="158"/>
      <c r="S595" s="18"/>
    </row>
    <row r="596" spans="1:19" s="17" customFormat="1" ht="18.95" customHeight="1" outlineLevel="1" x14ac:dyDescent="0.25">
      <c r="A596" s="148"/>
      <c r="B596" s="157"/>
      <c r="C596" s="148"/>
      <c r="D596" s="141"/>
      <c r="E596" s="141"/>
      <c r="F596" s="12">
        <v>43647</v>
      </c>
      <c r="G596" s="12">
        <v>43830</v>
      </c>
      <c r="H596" s="151"/>
      <c r="I596" s="15" t="s">
        <v>23</v>
      </c>
      <c r="J596" s="14" t="s">
        <v>23</v>
      </c>
      <c r="K596" s="14" t="s">
        <v>23</v>
      </c>
      <c r="L596" s="5" t="s">
        <v>23</v>
      </c>
      <c r="M596" s="5" t="s">
        <v>23</v>
      </c>
      <c r="N596" s="5" t="s">
        <v>23</v>
      </c>
      <c r="O596" s="13">
        <f>$O$580</f>
        <v>2565.59</v>
      </c>
      <c r="P596" s="158"/>
      <c r="S596" s="18"/>
    </row>
    <row r="597" spans="1:19" s="17" customFormat="1" ht="18.95" customHeight="1" outlineLevel="1" x14ac:dyDescent="0.25">
      <c r="A597" s="146" t="s">
        <v>62</v>
      </c>
      <c r="B597" s="157" t="s">
        <v>389</v>
      </c>
      <c r="C597" s="148"/>
      <c r="D597" s="137">
        <f>$D$577</f>
        <v>43087</v>
      </c>
      <c r="E597" s="137" t="str">
        <f>$E$577</f>
        <v>449-п</v>
      </c>
      <c r="F597" s="12">
        <v>43466</v>
      </c>
      <c r="G597" s="12">
        <v>43646</v>
      </c>
      <c r="H597" s="149"/>
      <c r="I597" s="13">
        <f>$I$577</f>
        <v>3430.52</v>
      </c>
      <c r="J597" s="14" t="s">
        <v>23</v>
      </c>
      <c r="K597" s="14" t="s">
        <v>23</v>
      </c>
      <c r="L597" s="5" t="s">
        <v>23</v>
      </c>
      <c r="M597" s="5" t="s">
        <v>23</v>
      </c>
      <c r="N597" s="5" t="s">
        <v>23</v>
      </c>
      <c r="O597" s="4" t="s">
        <v>23</v>
      </c>
      <c r="P597" s="144" t="s">
        <v>396</v>
      </c>
      <c r="S597" s="18"/>
    </row>
    <row r="598" spans="1:19" s="17" customFormat="1" ht="18.95" customHeight="1" outlineLevel="1" x14ac:dyDescent="0.25">
      <c r="A598" s="148"/>
      <c r="B598" s="157"/>
      <c r="C598" s="148"/>
      <c r="D598" s="141"/>
      <c r="E598" s="141"/>
      <c r="F598" s="12">
        <v>43647</v>
      </c>
      <c r="G598" s="12">
        <v>43830</v>
      </c>
      <c r="H598" s="151"/>
      <c r="I598" s="13">
        <f>$I$578</f>
        <v>3430.52</v>
      </c>
      <c r="J598" s="14" t="s">
        <v>23</v>
      </c>
      <c r="K598" s="14" t="s">
        <v>23</v>
      </c>
      <c r="L598" s="5" t="s">
        <v>23</v>
      </c>
      <c r="M598" s="5" t="s">
        <v>23</v>
      </c>
      <c r="N598" s="5" t="s">
        <v>23</v>
      </c>
      <c r="O598" s="4" t="s">
        <v>23</v>
      </c>
      <c r="P598" s="158"/>
      <c r="S598" s="18"/>
    </row>
    <row r="599" spans="1:19" s="17" customFormat="1" ht="18.95" customHeight="1" outlineLevel="1" x14ac:dyDescent="0.25">
      <c r="A599" s="148"/>
      <c r="B599" s="157"/>
      <c r="C599" s="148"/>
      <c r="D599" s="137">
        <f>D579</f>
        <v>43454</v>
      </c>
      <c r="E599" s="137" t="str">
        <f>$E$573</f>
        <v>677-п</v>
      </c>
      <c r="F599" s="12">
        <v>43466</v>
      </c>
      <c r="G599" s="12">
        <v>43646</v>
      </c>
      <c r="H599" s="149"/>
      <c r="I599" s="15" t="s">
        <v>23</v>
      </c>
      <c r="J599" s="14" t="s">
        <v>23</v>
      </c>
      <c r="K599" s="14" t="s">
        <v>23</v>
      </c>
      <c r="L599" s="5" t="s">
        <v>23</v>
      </c>
      <c r="M599" s="5" t="s">
        <v>23</v>
      </c>
      <c r="N599" s="5" t="s">
        <v>23</v>
      </c>
      <c r="O599" s="13">
        <f>$O$579</f>
        <v>2565.59</v>
      </c>
      <c r="P599" s="158"/>
      <c r="S599" s="18"/>
    </row>
    <row r="600" spans="1:19" s="17" customFormat="1" ht="18.95" customHeight="1" outlineLevel="1" x14ac:dyDescent="0.25">
      <c r="A600" s="148"/>
      <c r="B600" s="157"/>
      <c r="C600" s="148"/>
      <c r="D600" s="141"/>
      <c r="E600" s="141"/>
      <c r="F600" s="12">
        <v>43647</v>
      </c>
      <c r="G600" s="12">
        <v>43830</v>
      </c>
      <c r="H600" s="151"/>
      <c r="I600" s="15" t="s">
        <v>23</v>
      </c>
      <c r="J600" s="14" t="s">
        <v>23</v>
      </c>
      <c r="K600" s="14" t="s">
        <v>23</v>
      </c>
      <c r="L600" s="5" t="s">
        <v>23</v>
      </c>
      <c r="M600" s="5" t="s">
        <v>23</v>
      </c>
      <c r="N600" s="5" t="s">
        <v>23</v>
      </c>
      <c r="O600" s="13">
        <f>$O$580</f>
        <v>2565.59</v>
      </c>
      <c r="P600" s="158"/>
      <c r="S600" s="18"/>
    </row>
    <row r="601" spans="1:19" s="17" customFormat="1" ht="18.95" customHeight="1" outlineLevel="1" x14ac:dyDescent="0.25">
      <c r="A601" s="146" t="s">
        <v>62</v>
      </c>
      <c r="B601" s="157" t="s">
        <v>390</v>
      </c>
      <c r="C601" s="148"/>
      <c r="D601" s="137">
        <f>$D$577</f>
        <v>43087</v>
      </c>
      <c r="E601" s="137" t="str">
        <f>$E$577</f>
        <v>449-п</v>
      </c>
      <c r="F601" s="12">
        <v>43466</v>
      </c>
      <c r="G601" s="12">
        <v>43646</v>
      </c>
      <c r="H601" s="149"/>
      <c r="I601" s="13">
        <f>$I$577</f>
        <v>3430.52</v>
      </c>
      <c r="J601" s="14" t="s">
        <v>23</v>
      </c>
      <c r="K601" s="14" t="s">
        <v>23</v>
      </c>
      <c r="L601" s="5" t="s">
        <v>23</v>
      </c>
      <c r="M601" s="5" t="s">
        <v>23</v>
      </c>
      <c r="N601" s="5" t="s">
        <v>23</v>
      </c>
      <c r="O601" s="4" t="s">
        <v>23</v>
      </c>
      <c r="P601" s="144" t="s">
        <v>396</v>
      </c>
      <c r="S601" s="18"/>
    </row>
    <row r="602" spans="1:19" s="17" customFormat="1" ht="18.95" customHeight="1" outlineLevel="1" x14ac:dyDescent="0.25">
      <c r="A602" s="148"/>
      <c r="B602" s="157"/>
      <c r="C602" s="148"/>
      <c r="D602" s="141"/>
      <c r="E602" s="141"/>
      <c r="F602" s="12">
        <v>43647</v>
      </c>
      <c r="G602" s="12">
        <v>43830</v>
      </c>
      <c r="H602" s="151"/>
      <c r="I602" s="13">
        <f>$I$578</f>
        <v>3430.52</v>
      </c>
      <c r="J602" s="14" t="s">
        <v>23</v>
      </c>
      <c r="K602" s="14" t="s">
        <v>23</v>
      </c>
      <c r="L602" s="5" t="s">
        <v>23</v>
      </c>
      <c r="M602" s="5" t="s">
        <v>23</v>
      </c>
      <c r="N602" s="5" t="s">
        <v>23</v>
      </c>
      <c r="O602" s="4" t="s">
        <v>23</v>
      </c>
      <c r="P602" s="158"/>
      <c r="S602" s="18"/>
    </row>
    <row r="603" spans="1:19" s="17" customFormat="1" ht="18.95" customHeight="1" outlineLevel="1" x14ac:dyDescent="0.25">
      <c r="A603" s="148"/>
      <c r="B603" s="157"/>
      <c r="C603" s="148"/>
      <c r="D603" s="137">
        <f>D579</f>
        <v>43454</v>
      </c>
      <c r="E603" s="137" t="str">
        <f>$E$573</f>
        <v>677-п</v>
      </c>
      <c r="F603" s="12">
        <v>43466</v>
      </c>
      <c r="G603" s="12">
        <v>43646</v>
      </c>
      <c r="H603" s="149"/>
      <c r="I603" s="15" t="s">
        <v>23</v>
      </c>
      <c r="J603" s="14" t="s">
        <v>23</v>
      </c>
      <c r="K603" s="14" t="s">
        <v>23</v>
      </c>
      <c r="L603" s="5" t="s">
        <v>23</v>
      </c>
      <c r="M603" s="5" t="s">
        <v>23</v>
      </c>
      <c r="N603" s="5" t="s">
        <v>23</v>
      </c>
      <c r="O603" s="13">
        <f>$O$579</f>
        <v>2565.59</v>
      </c>
      <c r="P603" s="158"/>
      <c r="S603" s="18"/>
    </row>
    <row r="604" spans="1:19" s="17" customFormat="1" ht="18.95" customHeight="1" outlineLevel="1" x14ac:dyDescent="0.25">
      <c r="A604" s="148"/>
      <c r="B604" s="157"/>
      <c r="C604" s="148"/>
      <c r="D604" s="141"/>
      <c r="E604" s="141"/>
      <c r="F604" s="12">
        <v>43647</v>
      </c>
      <c r="G604" s="12">
        <v>43830</v>
      </c>
      <c r="H604" s="151"/>
      <c r="I604" s="15" t="s">
        <v>23</v>
      </c>
      <c r="J604" s="14" t="s">
        <v>23</v>
      </c>
      <c r="K604" s="14" t="s">
        <v>23</v>
      </c>
      <c r="L604" s="5" t="s">
        <v>23</v>
      </c>
      <c r="M604" s="5" t="s">
        <v>23</v>
      </c>
      <c r="N604" s="5" t="s">
        <v>23</v>
      </c>
      <c r="O604" s="13">
        <f>$O$580</f>
        <v>2565.59</v>
      </c>
      <c r="P604" s="158"/>
      <c r="S604" s="18"/>
    </row>
    <row r="605" spans="1:19" s="17" customFormat="1" ht="18.95" customHeight="1" outlineLevel="1" x14ac:dyDescent="0.25">
      <c r="A605" s="146" t="s">
        <v>62</v>
      </c>
      <c r="B605" s="157" t="s">
        <v>391</v>
      </c>
      <c r="C605" s="148"/>
      <c r="D605" s="137">
        <f>$D$577</f>
        <v>43087</v>
      </c>
      <c r="E605" s="137" t="str">
        <f>$E$577</f>
        <v>449-п</v>
      </c>
      <c r="F605" s="12">
        <v>43466</v>
      </c>
      <c r="G605" s="12">
        <v>43646</v>
      </c>
      <c r="H605" s="149"/>
      <c r="I605" s="13">
        <f>$I$577</f>
        <v>3430.52</v>
      </c>
      <c r="J605" s="14" t="s">
        <v>23</v>
      </c>
      <c r="K605" s="14" t="s">
        <v>23</v>
      </c>
      <c r="L605" s="5" t="s">
        <v>23</v>
      </c>
      <c r="M605" s="5" t="s">
        <v>23</v>
      </c>
      <c r="N605" s="5" t="s">
        <v>23</v>
      </c>
      <c r="O605" s="4" t="s">
        <v>23</v>
      </c>
      <c r="P605" s="144" t="s">
        <v>396</v>
      </c>
      <c r="S605" s="18"/>
    </row>
    <row r="606" spans="1:19" s="17" customFormat="1" ht="18.95" customHeight="1" outlineLevel="1" x14ac:dyDescent="0.25">
      <c r="A606" s="148"/>
      <c r="B606" s="157"/>
      <c r="C606" s="148"/>
      <c r="D606" s="141"/>
      <c r="E606" s="141"/>
      <c r="F606" s="12">
        <v>43647</v>
      </c>
      <c r="G606" s="12">
        <v>43830</v>
      </c>
      <c r="H606" s="151"/>
      <c r="I606" s="13">
        <f>$I$578</f>
        <v>3430.52</v>
      </c>
      <c r="J606" s="14" t="s">
        <v>23</v>
      </c>
      <c r="K606" s="14" t="s">
        <v>23</v>
      </c>
      <c r="L606" s="5" t="s">
        <v>23</v>
      </c>
      <c r="M606" s="5" t="s">
        <v>23</v>
      </c>
      <c r="N606" s="5" t="s">
        <v>23</v>
      </c>
      <c r="O606" s="4" t="s">
        <v>23</v>
      </c>
      <c r="P606" s="158"/>
      <c r="S606" s="18"/>
    </row>
    <row r="607" spans="1:19" s="17" customFormat="1" ht="18.95" customHeight="1" outlineLevel="1" x14ac:dyDescent="0.25">
      <c r="A607" s="148"/>
      <c r="B607" s="157"/>
      <c r="C607" s="148"/>
      <c r="D607" s="137">
        <f>D579</f>
        <v>43454</v>
      </c>
      <c r="E607" s="137" t="str">
        <f>$E$573</f>
        <v>677-п</v>
      </c>
      <c r="F607" s="12">
        <v>43466</v>
      </c>
      <c r="G607" s="12">
        <v>43646</v>
      </c>
      <c r="H607" s="149"/>
      <c r="I607" s="15" t="s">
        <v>23</v>
      </c>
      <c r="J607" s="14" t="s">
        <v>23</v>
      </c>
      <c r="K607" s="14" t="s">
        <v>23</v>
      </c>
      <c r="L607" s="5" t="s">
        <v>23</v>
      </c>
      <c r="M607" s="5" t="s">
        <v>23</v>
      </c>
      <c r="N607" s="5" t="s">
        <v>23</v>
      </c>
      <c r="O607" s="13">
        <f>$O$579</f>
        <v>2565.59</v>
      </c>
      <c r="P607" s="158"/>
      <c r="S607" s="18"/>
    </row>
    <row r="608" spans="1:19" s="17" customFormat="1" ht="18.95" customHeight="1" outlineLevel="1" x14ac:dyDescent="0.25">
      <c r="A608" s="148"/>
      <c r="B608" s="157"/>
      <c r="C608" s="148"/>
      <c r="D608" s="141"/>
      <c r="E608" s="141"/>
      <c r="F608" s="12">
        <v>43647</v>
      </c>
      <c r="G608" s="12">
        <v>43830</v>
      </c>
      <c r="H608" s="151"/>
      <c r="I608" s="15" t="s">
        <v>23</v>
      </c>
      <c r="J608" s="14" t="s">
        <v>23</v>
      </c>
      <c r="K608" s="14" t="s">
        <v>23</v>
      </c>
      <c r="L608" s="5" t="s">
        <v>23</v>
      </c>
      <c r="M608" s="5" t="s">
        <v>23</v>
      </c>
      <c r="N608" s="5" t="s">
        <v>23</v>
      </c>
      <c r="O608" s="13">
        <f>$O$580</f>
        <v>2565.59</v>
      </c>
      <c r="P608" s="158"/>
      <c r="S608" s="18"/>
    </row>
    <row r="609" spans="1:19" s="17" customFormat="1" ht="18.95" customHeight="1" outlineLevel="1" x14ac:dyDescent="0.25">
      <c r="A609" s="146" t="s">
        <v>62</v>
      </c>
      <c r="B609" s="157" t="s">
        <v>392</v>
      </c>
      <c r="C609" s="148"/>
      <c r="D609" s="137">
        <f>$D$577</f>
        <v>43087</v>
      </c>
      <c r="E609" s="137" t="str">
        <f>$E$577</f>
        <v>449-п</v>
      </c>
      <c r="F609" s="12">
        <v>43466</v>
      </c>
      <c r="G609" s="12">
        <v>43646</v>
      </c>
      <c r="H609" s="149"/>
      <c r="I609" s="13">
        <f>$I$577</f>
        <v>3430.52</v>
      </c>
      <c r="J609" s="14" t="s">
        <v>23</v>
      </c>
      <c r="K609" s="14" t="s">
        <v>23</v>
      </c>
      <c r="L609" s="5" t="s">
        <v>23</v>
      </c>
      <c r="M609" s="5" t="s">
        <v>23</v>
      </c>
      <c r="N609" s="5" t="s">
        <v>23</v>
      </c>
      <c r="O609" s="4" t="s">
        <v>23</v>
      </c>
      <c r="P609" s="144" t="s">
        <v>396</v>
      </c>
      <c r="S609" s="18"/>
    </row>
    <row r="610" spans="1:19" s="17" customFormat="1" ht="18.95" customHeight="1" outlineLevel="1" x14ac:dyDescent="0.25">
      <c r="A610" s="148"/>
      <c r="B610" s="157"/>
      <c r="C610" s="148"/>
      <c r="D610" s="141"/>
      <c r="E610" s="141"/>
      <c r="F610" s="12">
        <v>43647</v>
      </c>
      <c r="G610" s="12">
        <v>43830</v>
      </c>
      <c r="H610" s="151"/>
      <c r="I610" s="13">
        <f>$I$578</f>
        <v>3430.52</v>
      </c>
      <c r="J610" s="14" t="s">
        <v>23</v>
      </c>
      <c r="K610" s="14" t="s">
        <v>23</v>
      </c>
      <c r="L610" s="5" t="s">
        <v>23</v>
      </c>
      <c r="M610" s="5" t="s">
        <v>23</v>
      </c>
      <c r="N610" s="5" t="s">
        <v>23</v>
      </c>
      <c r="O610" s="4" t="s">
        <v>23</v>
      </c>
      <c r="P610" s="158"/>
      <c r="S610" s="18"/>
    </row>
    <row r="611" spans="1:19" s="17" customFormat="1" ht="18.95" customHeight="1" outlineLevel="1" x14ac:dyDescent="0.25">
      <c r="A611" s="148"/>
      <c r="B611" s="157"/>
      <c r="C611" s="148"/>
      <c r="D611" s="137">
        <f>D579</f>
        <v>43454</v>
      </c>
      <c r="E611" s="137" t="str">
        <f>$E$573</f>
        <v>677-п</v>
      </c>
      <c r="F611" s="12">
        <v>43466</v>
      </c>
      <c r="G611" s="12">
        <v>43646</v>
      </c>
      <c r="H611" s="149"/>
      <c r="I611" s="15" t="s">
        <v>23</v>
      </c>
      <c r="J611" s="14" t="s">
        <v>23</v>
      </c>
      <c r="K611" s="14" t="s">
        <v>23</v>
      </c>
      <c r="L611" s="5" t="s">
        <v>23</v>
      </c>
      <c r="M611" s="5" t="s">
        <v>23</v>
      </c>
      <c r="N611" s="5" t="s">
        <v>23</v>
      </c>
      <c r="O611" s="13">
        <f>$O$579</f>
        <v>2565.59</v>
      </c>
      <c r="P611" s="158"/>
      <c r="S611" s="18"/>
    </row>
    <row r="612" spans="1:19" s="17" customFormat="1" ht="18.95" customHeight="1" outlineLevel="1" x14ac:dyDescent="0.25">
      <c r="A612" s="148"/>
      <c r="B612" s="157"/>
      <c r="C612" s="148"/>
      <c r="D612" s="141"/>
      <c r="E612" s="141"/>
      <c r="F612" s="12">
        <v>43647</v>
      </c>
      <c r="G612" s="12">
        <v>43830</v>
      </c>
      <c r="H612" s="151"/>
      <c r="I612" s="15" t="s">
        <v>23</v>
      </c>
      <c r="J612" s="14" t="s">
        <v>23</v>
      </c>
      <c r="K612" s="14" t="s">
        <v>23</v>
      </c>
      <c r="L612" s="5" t="s">
        <v>23</v>
      </c>
      <c r="M612" s="5" t="s">
        <v>23</v>
      </c>
      <c r="N612" s="5" t="s">
        <v>23</v>
      </c>
      <c r="O612" s="13">
        <f>$O$580</f>
        <v>2565.59</v>
      </c>
      <c r="P612" s="158"/>
      <c r="S612" s="18"/>
    </row>
    <row r="613" spans="1:19" s="17" customFormat="1" ht="18.95" customHeight="1" outlineLevel="1" x14ac:dyDescent="0.25">
      <c r="A613" s="146" t="s">
        <v>62</v>
      </c>
      <c r="B613" s="157" t="s">
        <v>393</v>
      </c>
      <c r="C613" s="148"/>
      <c r="D613" s="137">
        <f>$D$577</f>
        <v>43087</v>
      </c>
      <c r="E613" s="137" t="str">
        <f>$E$577</f>
        <v>449-п</v>
      </c>
      <c r="F613" s="12">
        <v>43466</v>
      </c>
      <c r="G613" s="12">
        <v>43646</v>
      </c>
      <c r="H613" s="149"/>
      <c r="I613" s="13">
        <f>$I$577</f>
        <v>3430.52</v>
      </c>
      <c r="J613" s="14" t="s">
        <v>23</v>
      </c>
      <c r="K613" s="14" t="s">
        <v>23</v>
      </c>
      <c r="L613" s="5" t="s">
        <v>23</v>
      </c>
      <c r="M613" s="5" t="s">
        <v>23</v>
      </c>
      <c r="N613" s="5" t="s">
        <v>23</v>
      </c>
      <c r="O613" s="4" t="s">
        <v>23</v>
      </c>
      <c r="P613" s="144" t="s">
        <v>396</v>
      </c>
      <c r="S613" s="18"/>
    </row>
    <row r="614" spans="1:19" s="17" customFormat="1" ht="18.95" customHeight="1" outlineLevel="1" x14ac:dyDescent="0.25">
      <c r="A614" s="148"/>
      <c r="B614" s="157"/>
      <c r="C614" s="148"/>
      <c r="D614" s="141"/>
      <c r="E614" s="141"/>
      <c r="F614" s="12">
        <v>43647</v>
      </c>
      <c r="G614" s="12">
        <v>43830</v>
      </c>
      <c r="H614" s="151"/>
      <c r="I614" s="13">
        <f>$I$578</f>
        <v>3430.52</v>
      </c>
      <c r="J614" s="14" t="s">
        <v>23</v>
      </c>
      <c r="K614" s="14" t="s">
        <v>23</v>
      </c>
      <c r="L614" s="5" t="s">
        <v>23</v>
      </c>
      <c r="M614" s="5" t="s">
        <v>23</v>
      </c>
      <c r="N614" s="5" t="s">
        <v>23</v>
      </c>
      <c r="O614" s="4" t="s">
        <v>23</v>
      </c>
      <c r="P614" s="158"/>
      <c r="S614" s="18"/>
    </row>
    <row r="615" spans="1:19" s="17" customFormat="1" ht="18.95" customHeight="1" outlineLevel="1" x14ac:dyDescent="0.25">
      <c r="A615" s="148"/>
      <c r="B615" s="157"/>
      <c r="C615" s="148"/>
      <c r="D615" s="137">
        <f>D579</f>
        <v>43454</v>
      </c>
      <c r="E615" s="137" t="str">
        <f>$E$573</f>
        <v>677-п</v>
      </c>
      <c r="F615" s="12">
        <v>43466</v>
      </c>
      <c r="G615" s="12">
        <v>43646</v>
      </c>
      <c r="H615" s="149"/>
      <c r="I615" s="15" t="s">
        <v>23</v>
      </c>
      <c r="J615" s="14" t="s">
        <v>23</v>
      </c>
      <c r="K615" s="14" t="s">
        <v>23</v>
      </c>
      <c r="L615" s="5" t="s">
        <v>23</v>
      </c>
      <c r="M615" s="5" t="s">
        <v>23</v>
      </c>
      <c r="N615" s="5" t="s">
        <v>23</v>
      </c>
      <c r="O615" s="13">
        <f>$O$579</f>
        <v>2565.59</v>
      </c>
      <c r="P615" s="158"/>
      <c r="S615" s="18"/>
    </row>
    <row r="616" spans="1:19" s="17" customFormat="1" ht="18.95" customHeight="1" outlineLevel="1" x14ac:dyDescent="0.25">
      <c r="A616" s="148"/>
      <c r="B616" s="157"/>
      <c r="C616" s="148"/>
      <c r="D616" s="141"/>
      <c r="E616" s="141"/>
      <c r="F616" s="12">
        <v>43647</v>
      </c>
      <c r="G616" s="12">
        <v>43830</v>
      </c>
      <c r="H616" s="151"/>
      <c r="I616" s="15" t="s">
        <v>23</v>
      </c>
      <c r="J616" s="14" t="s">
        <v>23</v>
      </c>
      <c r="K616" s="14" t="s">
        <v>23</v>
      </c>
      <c r="L616" s="5" t="s">
        <v>23</v>
      </c>
      <c r="M616" s="5" t="s">
        <v>23</v>
      </c>
      <c r="N616" s="5" t="s">
        <v>23</v>
      </c>
      <c r="O616" s="13">
        <f>$O$580</f>
        <v>2565.59</v>
      </c>
      <c r="P616" s="158"/>
      <c r="S616" s="18"/>
    </row>
    <row r="617" spans="1:19" s="17" customFormat="1" ht="18.95" customHeight="1" outlineLevel="1" x14ac:dyDescent="0.25">
      <c r="A617" s="146" t="s">
        <v>62</v>
      </c>
      <c r="B617" s="157" t="s">
        <v>394</v>
      </c>
      <c r="C617" s="148"/>
      <c r="D617" s="137">
        <f>$D$577</f>
        <v>43087</v>
      </c>
      <c r="E617" s="137" t="str">
        <f>$E$577</f>
        <v>449-п</v>
      </c>
      <c r="F617" s="12">
        <v>43466</v>
      </c>
      <c r="G617" s="12">
        <v>43646</v>
      </c>
      <c r="H617" s="149"/>
      <c r="I617" s="13">
        <f>$I$577</f>
        <v>3430.52</v>
      </c>
      <c r="J617" s="14" t="s">
        <v>23</v>
      </c>
      <c r="K617" s="14" t="s">
        <v>23</v>
      </c>
      <c r="L617" s="5" t="s">
        <v>23</v>
      </c>
      <c r="M617" s="5" t="s">
        <v>23</v>
      </c>
      <c r="N617" s="5" t="s">
        <v>23</v>
      </c>
      <c r="O617" s="4" t="s">
        <v>23</v>
      </c>
      <c r="P617" s="144" t="s">
        <v>396</v>
      </c>
      <c r="S617" s="18"/>
    </row>
    <row r="618" spans="1:19" s="17" customFormat="1" ht="18.95" customHeight="1" outlineLevel="1" x14ac:dyDescent="0.25">
      <c r="A618" s="148"/>
      <c r="B618" s="157"/>
      <c r="C618" s="148"/>
      <c r="D618" s="141"/>
      <c r="E618" s="141"/>
      <c r="F618" s="12">
        <v>43647</v>
      </c>
      <c r="G618" s="12">
        <v>43830</v>
      </c>
      <c r="H618" s="151"/>
      <c r="I618" s="13">
        <f>$I$578</f>
        <v>3430.52</v>
      </c>
      <c r="J618" s="14" t="s">
        <v>23</v>
      </c>
      <c r="K618" s="14" t="s">
        <v>23</v>
      </c>
      <c r="L618" s="5" t="s">
        <v>23</v>
      </c>
      <c r="M618" s="5" t="s">
        <v>23</v>
      </c>
      <c r="N618" s="5" t="s">
        <v>23</v>
      </c>
      <c r="O618" s="4" t="s">
        <v>23</v>
      </c>
      <c r="P618" s="158"/>
      <c r="S618" s="18"/>
    </row>
    <row r="619" spans="1:19" s="17" customFormat="1" ht="18.95" customHeight="1" outlineLevel="1" x14ac:dyDescent="0.25">
      <c r="A619" s="148"/>
      <c r="B619" s="157"/>
      <c r="C619" s="148"/>
      <c r="D619" s="137">
        <f>D579</f>
        <v>43454</v>
      </c>
      <c r="E619" s="137" t="str">
        <f>$E$573</f>
        <v>677-п</v>
      </c>
      <c r="F619" s="12">
        <v>43466</v>
      </c>
      <c r="G619" s="12">
        <v>43646</v>
      </c>
      <c r="H619" s="149"/>
      <c r="I619" s="15" t="s">
        <v>23</v>
      </c>
      <c r="J619" s="14" t="s">
        <v>23</v>
      </c>
      <c r="K619" s="14" t="s">
        <v>23</v>
      </c>
      <c r="L619" s="5" t="s">
        <v>23</v>
      </c>
      <c r="M619" s="5" t="s">
        <v>23</v>
      </c>
      <c r="N619" s="5" t="s">
        <v>23</v>
      </c>
      <c r="O619" s="13">
        <f>$O$579</f>
        <v>2565.59</v>
      </c>
      <c r="P619" s="158"/>
      <c r="S619" s="18"/>
    </row>
    <row r="620" spans="1:19" s="17" customFormat="1" ht="18.95" customHeight="1" outlineLevel="1" x14ac:dyDescent="0.25">
      <c r="A620" s="148"/>
      <c r="B620" s="157"/>
      <c r="C620" s="148"/>
      <c r="D620" s="141"/>
      <c r="E620" s="141"/>
      <c r="F620" s="12">
        <v>43647</v>
      </c>
      <c r="G620" s="12">
        <v>43830</v>
      </c>
      <c r="H620" s="151"/>
      <c r="I620" s="15" t="s">
        <v>23</v>
      </c>
      <c r="J620" s="14" t="s">
        <v>23</v>
      </c>
      <c r="K620" s="14" t="s">
        <v>23</v>
      </c>
      <c r="L620" s="5" t="s">
        <v>23</v>
      </c>
      <c r="M620" s="5" t="s">
        <v>23</v>
      </c>
      <c r="N620" s="5" t="s">
        <v>23</v>
      </c>
      <c r="O620" s="13">
        <f>$O$580</f>
        <v>2565.59</v>
      </c>
      <c r="P620" s="158"/>
      <c r="S620" s="18"/>
    </row>
    <row r="621" spans="1:19" s="17" customFormat="1" ht="18.95" customHeight="1" outlineLevel="1" x14ac:dyDescent="0.25">
      <c r="A621" s="146" t="s">
        <v>62</v>
      </c>
      <c r="B621" s="157" t="s">
        <v>350</v>
      </c>
      <c r="C621" s="148"/>
      <c r="D621" s="137">
        <f>$D$577</f>
        <v>43087</v>
      </c>
      <c r="E621" s="137" t="str">
        <f>$E$577</f>
        <v>449-п</v>
      </c>
      <c r="F621" s="12">
        <v>43466</v>
      </c>
      <c r="G621" s="12">
        <v>43646</v>
      </c>
      <c r="H621" s="149"/>
      <c r="I621" s="13">
        <f>$I$577</f>
        <v>3430.52</v>
      </c>
      <c r="J621" s="14" t="s">
        <v>23</v>
      </c>
      <c r="K621" s="14" t="s">
        <v>23</v>
      </c>
      <c r="L621" s="5" t="s">
        <v>23</v>
      </c>
      <c r="M621" s="5" t="s">
        <v>23</v>
      </c>
      <c r="N621" s="5" t="s">
        <v>23</v>
      </c>
      <c r="O621" s="4" t="s">
        <v>23</v>
      </c>
      <c r="P621" s="144" t="s">
        <v>396</v>
      </c>
      <c r="S621" s="18"/>
    </row>
    <row r="622" spans="1:19" s="17" customFormat="1" ht="18.95" customHeight="1" outlineLevel="1" x14ac:dyDescent="0.25">
      <c r="A622" s="148"/>
      <c r="B622" s="157"/>
      <c r="C622" s="148"/>
      <c r="D622" s="141"/>
      <c r="E622" s="141"/>
      <c r="F622" s="12">
        <v>43647</v>
      </c>
      <c r="G622" s="12">
        <v>43830</v>
      </c>
      <c r="H622" s="151"/>
      <c r="I622" s="13">
        <f>$I$578</f>
        <v>3430.52</v>
      </c>
      <c r="J622" s="14" t="s">
        <v>23</v>
      </c>
      <c r="K622" s="14" t="s">
        <v>23</v>
      </c>
      <c r="L622" s="5" t="s">
        <v>23</v>
      </c>
      <c r="M622" s="5" t="s">
        <v>23</v>
      </c>
      <c r="N622" s="5" t="s">
        <v>23</v>
      </c>
      <c r="O622" s="4" t="s">
        <v>23</v>
      </c>
      <c r="P622" s="158"/>
      <c r="S622" s="18"/>
    </row>
    <row r="623" spans="1:19" s="17" customFormat="1" ht="18.95" customHeight="1" outlineLevel="1" x14ac:dyDescent="0.25">
      <c r="A623" s="148"/>
      <c r="B623" s="157"/>
      <c r="C623" s="148"/>
      <c r="D623" s="137">
        <f>D579</f>
        <v>43454</v>
      </c>
      <c r="E623" s="137" t="str">
        <f>$E$573</f>
        <v>677-п</v>
      </c>
      <c r="F623" s="12">
        <v>43466</v>
      </c>
      <c r="G623" s="12">
        <v>43646</v>
      </c>
      <c r="H623" s="149"/>
      <c r="I623" s="15" t="s">
        <v>23</v>
      </c>
      <c r="J623" s="14" t="s">
        <v>23</v>
      </c>
      <c r="K623" s="14" t="s">
        <v>23</v>
      </c>
      <c r="L623" s="5" t="s">
        <v>23</v>
      </c>
      <c r="M623" s="5" t="s">
        <v>23</v>
      </c>
      <c r="N623" s="5" t="s">
        <v>23</v>
      </c>
      <c r="O623" s="13">
        <f>$O$579</f>
        <v>2565.59</v>
      </c>
      <c r="P623" s="158"/>
      <c r="S623" s="18"/>
    </row>
    <row r="624" spans="1:19" s="17" customFormat="1" ht="18.95" customHeight="1" outlineLevel="1" x14ac:dyDescent="0.25">
      <c r="A624" s="148"/>
      <c r="B624" s="157"/>
      <c r="C624" s="148"/>
      <c r="D624" s="141"/>
      <c r="E624" s="141"/>
      <c r="F624" s="12">
        <v>43647</v>
      </c>
      <c r="G624" s="12">
        <v>43830</v>
      </c>
      <c r="H624" s="151"/>
      <c r="I624" s="15" t="s">
        <v>23</v>
      </c>
      <c r="J624" s="14" t="s">
        <v>23</v>
      </c>
      <c r="K624" s="14" t="s">
        <v>23</v>
      </c>
      <c r="L624" s="5" t="s">
        <v>23</v>
      </c>
      <c r="M624" s="5" t="s">
        <v>23</v>
      </c>
      <c r="N624" s="5" t="s">
        <v>23</v>
      </c>
      <c r="O624" s="13">
        <f>$O$580</f>
        <v>2565.59</v>
      </c>
      <c r="P624" s="158"/>
      <c r="S624" s="18"/>
    </row>
    <row r="625" spans="1:19" s="17" customFormat="1" ht="18.95" customHeight="1" outlineLevel="1" x14ac:dyDescent="0.25">
      <c r="A625" s="146" t="s">
        <v>62</v>
      </c>
      <c r="B625" s="157" t="s">
        <v>395</v>
      </c>
      <c r="C625" s="148"/>
      <c r="D625" s="137">
        <f>$D$577</f>
        <v>43087</v>
      </c>
      <c r="E625" s="137" t="str">
        <f>$E$577</f>
        <v>449-п</v>
      </c>
      <c r="F625" s="12">
        <v>43466</v>
      </c>
      <c r="G625" s="12">
        <v>43646</v>
      </c>
      <c r="H625" s="149"/>
      <c r="I625" s="13">
        <f>$I$577</f>
        <v>3430.52</v>
      </c>
      <c r="J625" s="14" t="s">
        <v>23</v>
      </c>
      <c r="K625" s="14" t="s">
        <v>23</v>
      </c>
      <c r="L625" s="5" t="s">
        <v>23</v>
      </c>
      <c r="M625" s="5" t="s">
        <v>23</v>
      </c>
      <c r="N625" s="5" t="s">
        <v>23</v>
      </c>
      <c r="O625" s="4" t="s">
        <v>23</v>
      </c>
      <c r="P625" s="144" t="s">
        <v>396</v>
      </c>
      <c r="S625" s="18"/>
    </row>
    <row r="626" spans="1:19" s="17" customFormat="1" ht="18.95" customHeight="1" outlineLevel="1" x14ac:dyDescent="0.25">
      <c r="A626" s="148"/>
      <c r="B626" s="157"/>
      <c r="C626" s="148"/>
      <c r="D626" s="141"/>
      <c r="E626" s="141"/>
      <c r="F626" s="12">
        <v>43647</v>
      </c>
      <c r="G626" s="12">
        <v>43830</v>
      </c>
      <c r="H626" s="151"/>
      <c r="I626" s="13">
        <f>$I$578</f>
        <v>3430.52</v>
      </c>
      <c r="J626" s="14" t="s">
        <v>23</v>
      </c>
      <c r="K626" s="14" t="s">
        <v>23</v>
      </c>
      <c r="L626" s="5" t="s">
        <v>23</v>
      </c>
      <c r="M626" s="5" t="s">
        <v>23</v>
      </c>
      <c r="N626" s="5" t="s">
        <v>23</v>
      </c>
      <c r="O626" s="4" t="s">
        <v>23</v>
      </c>
      <c r="P626" s="158"/>
      <c r="S626" s="18"/>
    </row>
    <row r="627" spans="1:19" s="17" customFormat="1" ht="18.95" customHeight="1" outlineLevel="1" x14ac:dyDescent="0.25">
      <c r="A627" s="148"/>
      <c r="B627" s="157"/>
      <c r="C627" s="148"/>
      <c r="D627" s="137">
        <f>D579</f>
        <v>43454</v>
      </c>
      <c r="E627" s="137" t="str">
        <f>$E$573</f>
        <v>677-п</v>
      </c>
      <c r="F627" s="12">
        <v>43466</v>
      </c>
      <c r="G627" s="12">
        <v>43646</v>
      </c>
      <c r="H627" s="149"/>
      <c r="I627" s="15" t="s">
        <v>23</v>
      </c>
      <c r="J627" s="14" t="s">
        <v>23</v>
      </c>
      <c r="K627" s="14" t="s">
        <v>23</v>
      </c>
      <c r="L627" s="5" t="s">
        <v>23</v>
      </c>
      <c r="M627" s="5" t="s">
        <v>23</v>
      </c>
      <c r="N627" s="5" t="s">
        <v>23</v>
      </c>
      <c r="O627" s="13">
        <f>$O$579</f>
        <v>2565.59</v>
      </c>
      <c r="P627" s="158"/>
      <c r="S627" s="18"/>
    </row>
    <row r="628" spans="1:19" s="17" customFormat="1" ht="18.95" customHeight="1" outlineLevel="1" x14ac:dyDescent="0.25">
      <c r="A628" s="148"/>
      <c r="B628" s="157"/>
      <c r="C628" s="148"/>
      <c r="D628" s="141"/>
      <c r="E628" s="141"/>
      <c r="F628" s="12">
        <v>43647</v>
      </c>
      <c r="G628" s="12">
        <v>43830</v>
      </c>
      <c r="H628" s="151"/>
      <c r="I628" s="15" t="s">
        <v>23</v>
      </c>
      <c r="J628" s="14" t="s">
        <v>23</v>
      </c>
      <c r="K628" s="14" t="s">
        <v>23</v>
      </c>
      <c r="L628" s="5" t="s">
        <v>23</v>
      </c>
      <c r="M628" s="5" t="s">
        <v>23</v>
      </c>
      <c r="N628" s="5" t="s">
        <v>23</v>
      </c>
      <c r="O628" s="13">
        <f>$O$580</f>
        <v>2565.59</v>
      </c>
      <c r="P628" s="158"/>
      <c r="S628" s="18"/>
    </row>
    <row r="629" spans="1:19" s="17" customFormat="1" ht="18.95" customHeight="1" outlineLevel="1" x14ac:dyDescent="0.25">
      <c r="A629" s="146" t="s">
        <v>62</v>
      </c>
      <c r="B629" s="157" t="s">
        <v>385</v>
      </c>
      <c r="C629" s="148"/>
      <c r="D629" s="137">
        <f>$D$577</f>
        <v>43087</v>
      </c>
      <c r="E629" s="137" t="str">
        <f>$E$577</f>
        <v>449-п</v>
      </c>
      <c r="F629" s="12">
        <v>43466</v>
      </c>
      <c r="G629" s="12">
        <v>43646</v>
      </c>
      <c r="H629" s="149"/>
      <c r="I629" s="13">
        <f>$I$577</f>
        <v>3430.52</v>
      </c>
      <c r="J629" s="14" t="s">
        <v>23</v>
      </c>
      <c r="K629" s="14" t="s">
        <v>23</v>
      </c>
      <c r="L629" s="5" t="s">
        <v>23</v>
      </c>
      <c r="M629" s="5" t="s">
        <v>23</v>
      </c>
      <c r="N629" s="5" t="s">
        <v>23</v>
      </c>
      <c r="O629" s="4" t="s">
        <v>23</v>
      </c>
      <c r="P629" s="144" t="s">
        <v>396</v>
      </c>
      <c r="S629" s="18"/>
    </row>
    <row r="630" spans="1:19" s="17" customFormat="1" ht="18.95" customHeight="1" outlineLevel="1" x14ac:dyDescent="0.25">
      <c r="A630" s="148"/>
      <c r="B630" s="157"/>
      <c r="C630" s="148"/>
      <c r="D630" s="141"/>
      <c r="E630" s="141"/>
      <c r="F630" s="12">
        <v>43647</v>
      </c>
      <c r="G630" s="12">
        <v>43830</v>
      </c>
      <c r="H630" s="151"/>
      <c r="I630" s="13">
        <f>$I$578</f>
        <v>3430.52</v>
      </c>
      <c r="J630" s="14" t="s">
        <v>23</v>
      </c>
      <c r="K630" s="14" t="s">
        <v>23</v>
      </c>
      <c r="L630" s="5" t="s">
        <v>23</v>
      </c>
      <c r="M630" s="5" t="s">
        <v>23</v>
      </c>
      <c r="N630" s="5" t="s">
        <v>23</v>
      </c>
      <c r="O630" s="4" t="s">
        <v>23</v>
      </c>
      <c r="P630" s="158"/>
      <c r="S630" s="18"/>
    </row>
    <row r="631" spans="1:19" s="17" customFormat="1" ht="18.95" customHeight="1" outlineLevel="1" x14ac:dyDescent="0.25">
      <c r="A631" s="148"/>
      <c r="B631" s="157"/>
      <c r="C631" s="148"/>
      <c r="D631" s="137">
        <f>D579</f>
        <v>43454</v>
      </c>
      <c r="E631" s="137" t="str">
        <f>$E$573</f>
        <v>677-п</v>
      </c>
      <c r="F631" s="12">
        <v>43466</v>
      </c>
      <c r="G631" s="12">
        <v>43646</v>
      </c>
      <c r="H631" s="149"/>
      <c r="I631" s="15" t="s">
        <v>23</v>
      </c>
      <c r="J631" s="14" t="s">
        <v>23</v>
      </c>
      <c r="K631" s="14" t="s">
        <v>23</v>
      </c>
      <c r="L631" s="5" t="s">
        <v>23</v>
      </c>
      <c r="M631" s="5" t="s">
        <v>23</v>
      </c>
      <c r="N631" s="5" t="s">
        <v>23</v>
      </c>
      <c r="O631" s="13">
        <f>$O$579</f>
        <v>2565.59</v>
      </c>
      <c r="P631" s="158"/>
      <c r="S631" s="18"/>
    </row>
    <row r="632" spans="1:19" s="17" customFormat="1" ht="18.95" customHeight="1" outlineLevel="1" x14ac:dyDescent="0.25">
      <c r="A632" s="148"/>
      <c r="B632" s="157"/>
      <c r="C632" s="148"/>
      <c r="D632" s="141"/>
      <c r="E632" s="141"/>
      <c r="F632" s="12">
        <v>43647</v>
      </c>
      <c r="G632" s="12">
        <v>43830</v>
      </c>
      <c r="H632" s="151"/>
      <c r="I632" s="15" t="s">
        <v>23</v>
      </c>
      <c r="J632" s="14" t="s">
        <v>23</v>
      </c>
      <c r="K632" s="14" t="s">
        <v>23</v>
      </c>
      <c r="L632" s="5" t="s">
        <v>23</v>
      </c>
      <c r="M632" s="5" t="s">
        <v>23</v>
      </c>
      <c r="N632" s="5" t="s">
        <v>23</v>
      </c>
      <c r="O632" s="13">
        <f>$O$580</f>
        <v>2565.59</v>
      </c>
      <c r="P632" s="158"/>
      <c r="S632" s="18"/>
    </row>
    <row r="633" spans="1:19" s="17" customFormat="1" ht="18.95" customHeight="1" outlineLevel="1" x14ac:dyDescent="0.25">
      <c r="A633" s="146" t="s">
        <v>62</v>
      </c>
      <c r="B633" s="157" t="s">
        <v>282</v>
      </c>
      <c r="C633" s="148"/>
      <c r="D633" s="137">
        <f>$D$577</f>
        <v>43087</v>
      </c>
      <c r="E633" s="137" t="str">
        <f>$E$577</f>
        <v>449-п</v>
      </c>
      <c r="F633" s="12">
        <v>43466</v>
      </c>
      <c r="G633" s="12">
        <v>43646</v>
      </c>
      <c r="H633" s="149"/>
      <c r="I633" s="13">
        <f>$I$577</f>
        <v>3430.52</v>
      </c>
      <c r="J633" s="14" t="s">
        <v>23</v>
      </c>
      <c r="K633" s="14" t="s">
        <v>23</v>
      </c>
      <c r="L633" s="5" t="s">
        <v>23</v>
      </c>
      <c r="M633" s="5" t="s">
        <v>23</v>
      </c>
      <c r="N633" s="5" t="s">
        <v>23</v>
      </c>
      <c r="O633" s="4" t="s">
        <v>23</v>
      </c>
      <c r="P633" s="144" t="s">
        <v>396</v>
      </c>
      <c r="S633" s="18"/>
    </row>
    <row r="634" spans="1:19" s="17" customFormat="1" ht="18.95" customHeight="1" outlineLevel="1" x14ac:dyDescent="0.25">
      <c r="A634" s="148"/>
      <c r="B634" s="157"/>
      <c r="C634" s="148"/>
      <c r="D634" s="141"/>
      <c r="E634" s="141"/>
      <c r="F634" s="12">
        <v>43647</v>
      </c>
      <c r="G634" s="12">
        <v>43830</v>
      </c>
      <c r="H634" s="151"/>
      <c r="I634" s="13">
        <f>$I$578</f>
        <v>3430.52</v>
      </c>
      <c r="J634" s="14" t="s">
        <v>23</v>
      </c>
      <c r="K634" s="14" t="s">
        <v>23</v>
      </c>
      <c r="L634" s="5" t="s">
        <v>23</v>
      </c>
      <c r="M634" s="5" t="s">
        <v>23</v>
      </c>
      <c r="N634" s="5" t="s">
        <v>23</v>
      </c>
      <c r="O634" s="4" t="s">
        <v>23</v>
      </c>
      <c r="P634" s="158"/>
      <c r="S634" s="18"/>
    </row>
    <row r="635" spans="1:19" s="17" customFormat="1" ht="18.95" customHeight="1" outlineLevel="1" x14ac:dyDescent="0.25">
      <c r="A635" s="148"/>
      <c r="B635" s="157"/>
      <c r="C635" s="148"/>
      <c r="D635" s="137">
        <f>D579</f>
        <v>43454</v>
      </c>
      <c r="E635" s="137" t="str">
        <f>$E$573</f>
        <v>677-п</v>
      </c>
      <c r="F635" s="12">
        <v>43466</v>
      </c>
      <c r="G635" s="12">
        <v>43646</v>
      </c>
      <c r="H635" s="149"/>
      <c r="I635" s="15" t="s">
        <v>23</v>
      </c>
      <c r="J635" s="14" t="s">
        <v>23</v>
      </c>
      <c r="K635" s="14" t="s">
        <v>23</v>
      </c>
      <c r="L635" s="5" t="s">
        <v>23</v>
      </c>
      <c r="M635" s="5" t="s">
        <v>23</v>
      </c>
      <c r="N635" s="5" t="s">
        <v>23</v>
      </c>
      <c r="O635" s="13">
        <f>$O$579</f>
        <v>2565.59</v>
      </c>
      <c r="P635" s="158"/>
      <c r="S635" s="18"/>
    </row>
    <row r="636" spans="1:19" s="17" customFormat="1" ht="18.95" customHeight="1" outlineLevel="1" x14ac:dyDescent="0.25">
      <c r="A636" s="148"/>
      <c r="B636" s="157"/>
      <c r="C636" s="147"/>
      <c r="D636" s="141"/>
      <c r="E636" s="141"/>
      <c r="F636" s="12">
        <v>43647</v>
      </c>
      <c r="G636" s="12">
        <v>43830</v>
      </c>
      <c r="H636" s="151"/>
      <c r="I636" s="15" t="s">
        <v>23</v>
      </c>
      <c r="J636" s="14" t="s">
        <v>23</v>
      </c>
      <c r="K636" s="14" t="s">
        <v>23</v>
      </c>
      <c r="L636" s="5" t="s">
        <v>23</v>
      </c>
      <c r="M636" s="5" t="s">
        <v>23</v>
      </c>
      <c r="N636" s="5" t="s">
        <v>23</v>
      </c>
      <c r="O636" s="13">
        <f>$O$580</f>
        <v>2565.59</v>
      </c>
      <c r="P636" s="158"/>
      <c r="S636" s="18"/>
    </row>
    <row r="637" spans="1:19" s="17" customFormat="1" ht="18.95" customHeight="1" outlineLevel="1" x14ac:dyDescent="0.25">
      <c r="A637" s="146" t="s">
        <v>62</v>
      </c>
      <c r="B637" s="157" t="s">
        <v>350</v>
      </c>
      <c r="C637" s="146" t="s">
        <v>351</v>
      </c>
      <c r="D637" s="137">
        <v>42717</v>
      </c>
      <c r="E637" s="137" t="s">
        <v>352</v>
      </c>
      <c r="F637" s="12">
        <v>43466</v>
      </c>
      <c r="G637" s="12">
        <v>43646</v>
      </c>
      <c r="H637" s="149" t="s">
        <v>486</v>
      </c>
      <c r="I637" s="13">
        <v>2045.72</v>
      </c>
      <c r="J637" s="14" t="s">
        <v>23</v>
      </c>
      <c r="K637" s="14" t="s">
        <v>23</v>
      </c>
      <c r="L637" s="5" t="s">
        <v>23</v>
      </c>
      <c r="M637" s="5" t="s">
        <v>23</v>
      </c>
      <c r="N637" s="5" t="s">
        <v>23</v>
      </c>
      <c r="O637" s="4" t="s">
        <v>23</v>
      </c>
      <c r="P637" s="153"/>
      <c r="S637" s="18"/>
    </row>
    <row r="638" spans="1:19" s="17" customFormat="1" ht="18.95" customHeight="1" outlineLevel="1" x14ac:dyDescent="0.25">
      <c r="A638" s="148"/>
      <c r="B638" s="157"/>
      <c r="C638" s="148"/>
      <c r="D638" s="141"/>
      <c r="E638" s="141"/>
      <c r="F638" s="12">
        <v>43647</v>
      </c>
      <c r="G638" s="12">
        <v>43830</v>
      </c>
      <c r="H638" s="151"/>
      <c r="I638" s="13">
        <v>2123.73</v>
      </c>
      <c r="J638" s="14" t="s">
        <v>23</v>
      </c>
      <c r="K638" s="14" t="s">
        <v>23</v>
      </c>
      <c r="L638" s="5" t="s">
        <v>23</v>
      </c>
      <c r="M638" s="5" t="s">
        <v>23</v>
      </c>
      <c r="N638" s="5" t="s">
        <v>23</v>
      </c>
      <c r="O638" s="4" t="s">
        <v>23</v>
      </c>
      <c r="P638" s="152"/>
      <c r="S638" s="18"/>
    </row>
    <row r="639" spans="1:19" s="17" customFormat="1" ht="18.95" customHeight="1" outlineLevel="1" x14ac:dyDescent="0.25">
      <c r="A639" s="148"/>
      <c r="B639" s="157"/>
      <c r="C639" s="148"/>
      <c r="D639" s="137">
        <f>D635</f>
        <v>43454</v>
      </c>
      <c r="E639" s="137" t="str">
        <f>$E$573</f>
        <v>677-п</v>
      </c>
      <c r="F639" s="12">
        <v>43466</v>
      </c>
      <c r="G639" s="12">
        <v>43646</v>
      </c>
      <c r="H639" s="149"/>
      <c r="I639" s="15" t="s">
        <v>23</v>
      </c>
      <c r="J639" s="14" t="s">
        <v>23</v>
      </c>
      <c r="K639" s="14" t="s">
        <v>23</v>
      </c>
      <c r="L639" s="5" t="s">
        <v>23</v>
      </c>
      <c r="M639" s="5" t="s">
        <v>23</v>
      </c>
      <c r="N639" s="5" t="s">
        <v>23</v>
      </c>
      <c r="O639" s="13">
        <v>2445.91</v>
      </c>
      <c r="P639" s="153"/>
      <c r="S639" s="18"/>
    </row>
    <row r="640" spans="1:19" s="17" customFormat="1" ht="18.95" customHeight="1" outlineLevel="1" x14ac:dyDescent="0.25">
      <c r="A640" s="147"/>
      <c r="B640" s="157"/>
      <c r="C640" s="147"/>
      <c r="D640" s="141"/>
      <c r="E640" s="141"/>
      <c r="F640" s="12">
        <v>43647</v>
      </c>
      <c r="G640" s="12">
        <v>43830</v>
      </c>
      <c r="H640" s="151"/>
      <c r="I640" s="15" t="s">
        <v>23</v>
      </c>
      <c r="J640" s="14" t="s">
        <v>23</v>
      </c>
      <c r="K640" s="14" t="s">
        <v>23</v>
      </c>
      <c r="L640" s="5" t="s">
        <v>23</v>
      </c>
      <c r="M640" s="5" t="s">
        <v>23</v>
      </c>
      <c r="N640" s="5" t="s">
        <v>23</v>
      </c>
      <c r="O640" s="13">
        <v>2494.83</v>
      </c>
      <c r="P640" s="152"/>
      <c r="S640" s="18"/>
    </row>
    <row r="641" spans="1:19" s="17" customFormat="1" ht="18.95" customHeight="1" outlineLevel="1" x14ac:dyDescent="0.25">
      <c r="A641" s="146" t="s">
        <v>62</v>
      </c>
      <c r="B641" s="157" t="s">
        <v>263</v>
      </c>
      <c r="C641" s="146" t="s">
        <v>269</v>
      </c>
      <c r="D641" s="137">
        <v>43454</v>
      </c>
      <c r="E641" s="137" t="s">
        <v>487</v>
      </c>
      <c r="F641" s="12">
        <v>43466</v>
      </c>
      <c r="G641" s="12">
        <v>43646</v>
      </c>
      <c r="H641" s="149"/>
      <c r="I641" s="13">
        <v>1618.85</v>
      </c>
      <c r="J641" s="14" t="s">
        <v>23</v>
      </c>
      <c r="K641" s="14" t="s">
        <v>23</v>
      </c>
      <c r="L641" s="5" t="s">
        <v>23</v>
      </c>
      <c r="M641" s="5" t="s">
        <v>23</v>
      </c>
      <c r="N641" s="5" t="s">
        <v>23</v>
      </c>
      <c r="O641" s="4" t="s">
        <v>23</v>
      </c>
      <c r="P641" s="153"/>
      <c r="S641" s="18"/>
    </row>
    <row r="642" spans="1:19" s="17" customFormat="1" ht="18.95" customHeight="1" outlineLevel="1" x14ac:dyDescent="0.25">
      <c r="A642" s="147" t="s">
        <v>62</v>
      </c>
      <c r="B642" s="157" t="s">
        <v>263</v>
      </c>
      <c r="C642" s="147" t="s">
        <v>264</v>
      </c>
      <c r="D642" s="141"/>
      <c r="E642" s="141"/>
      <c r="F642" s="12">
        <v>43647</v>
      </c>
      <c r="G642" s="12">
        <v>43830</v>
      </c>
      <c r="H642" s="151"/>
      <c r="I642" s="13">
        <v>1640.45</v>
      </c>
      <c r="J642" s="14" t="s">
        <v>23</v>
      </c>
      <c r="K642" s="14" t="s">
        <v>23</v>
      </c>
      <c r="L642" s="5" t="s">
        <v>23</v>
      </c>
      <c r="M642" s="5" t="s">
        <v>23</v>
      </c>
      <c r="N642" s="5" t="s">
        <v>23</v>
      </c>
      <c r="O642" s="4" t="s">
        <v>23</v>
      </c>
      <c r="P642" s="152"/>
      <c r="S642" s="18"/>
    </row>
    <row r="643" spans="1:19" s="17" customFormat="1" ht="18.95" customHeight="1" outlineLevel="1" x14ac:dyDescent="0.25">
      <c r="A643" s="146" t="s">
        <v>62</v>
      </c>
      <c r="B643" s="157" t="s">
        <v>387</v>
      </c>
      <c r="C643" s="146" t="s">
        <v>265</v>
      </c>
      <c r="D643" s="156">
        <v>43453</v>
      </c>
      <c r="E643" s="156" t="s">
        <v>488</v>
      </c>
      <c r="F643" s="12">
        <v>43466</v>
      </c>
      <c r="G643" s="12">
        <v>43646</v>
      </c>
      <c r="H643" s="149" t="s">
        <v>489</v>
      </c>
      <c r="I643" s="13">
        <v>3039.24</v>
      </c>
      <c r="J643" s="14" t="s">
        <v>23</v>
      </c>
      <c r="K643" s="14" t="s">
        <v>23</v>
      </c>
      <c r="L643" s="5" t="s">
        <v>23</v>
      </c>
      <c r="M643" s="5" t="s">
        <v>23</v>
      </c>
      <c r="N643" s="5" t="s">
        <v>23</v>
      </c>
      <c r="O643" s="4" t="s">
        <v>23</v>
      </c>
      <c r="P643" s="153"/>
      <c r="S643" s="18"/>
    </row>
    <row r="644" spans="1:19" s="17" customFormat="1" ht="18.95" customHeight="1" outlineLevel="1" x14ac:dyDescent="0.25">
      <c r="A644" s="148"/>
      <c r="B644" s="157"/>
      <c r="C644" s="148"/>
      <c r="D644" s="156"/>
      <c r="E644" s="156"/>
      <c r="F644" s="12">
        <v>43647</v>
      </c>
      <c r="G644" s="12">
        <v>43830</v>
      </c>
      <c r="H644" s="151"/>
      <c r="I644" s="13">
        <v>3417.41</v>
      </c>
      <c r="J644" s="14" t="s">
        <v>23</v>
      </c>
      <c r="K644" s="14" t="s">
        <v>23</v>
      </c>
      <c r="L644" s="5" t="s">
        <v>23</v>
      </c>
      <c r="M644" s="5" t="s">
        <v>23</v>
      </c>
      <c r="N644" s="5" t="s">
        <v>23</v>
      </c>
      <c r="O644" s="4" t="s">
        <v>23</v>
      </c>
      <c r="P644" s="152"/>
      <c r="S644" s="18"/>
    </row>
    <row r="645" spans="1:19" s="17" customFormat="1" ht="18.95" customHeight="1" outlineLevel="1" x14ac:dyDescent="0.25">
      <c r="A645" s="148"/>
      <c r="B645" s="157"/>
      <c r="C645" s="148"/>
      <c r="D645" s="156">
        <f>D639</f>
        <v>43454</v>
      </c>
      <c r="E645" s="156" t="str">
        <f>$E$573</f>
        <v>677-п</v>
      </c>
      <c r="F645" s="12">
        <v>43466</v>
      </c>
      <c r="G645" s="12">
        <v>43646</v>
      </c>
      <c r="H645" s="149"/>
      <c r="I645" s="15" t="s">
        <v>23</v>
      </c>
      <c r="J645" s="14" t="s">
        <v>23</v>
      </c>
      <c r="K645" s="14" t="s">
        <v>23</v>
      </c>
      <c r="L645" s="5" t="s">
        <v>23</v>
      </c>
      <c r="M645" s="5" t="s">
        <v>23</v>
      </c>
      <c r="N645" s="5" t="s">
        <v>23</v>
      </c>
      <c r="O645" s="13">
        <v>2690.85</v>
      </c>
      <c r="P645" s="153"/>
      <c r="S645" s="18"/>
    </row>
    <row r="646" spans="1:19" s="17" customFormat="1" ht="18.95" customHeight="1" outlineLevel="1" x14ac:dyDescent="0.25">
      <c r="A646" s="147"/>
      <c r="B646" s="157"/>
      <c r="C646" s="148"/>
      <c r="D646" s="156"/>
      <c r="E646" s="156"/>
      <c r="F646" s="12">
        <v>43647</v>
      </c>
      <c r="G646" s="12">
        <v>43830</v>
      </c>
      <c r="H646" s="151"/>
      <c r="I646" s="15" t="s">
        <v>23</v>
      </c>
      <c r="J646" s="14" t="s">
        <v>23</v>
      </c>
      <c r="K646" s="14" t="s">
        <v>23</v>
      </c>
      <c r="L646" s="5" t="s">
        <v>23</v>
      </c>
      <c r="M646" s="5" t="s">
        <v>23</v>
      </c>
      <c r="N646" s="5" t="s">
        <v>23</v>
      </c>
      <c r="O646" s="13">
        <v>2690.85</v>
      </c>
      <c r="P646" s="152"/>
      <c r="S646" s="18"/>
    </row>
    <row r="647" spans="1:19" s="17" customFormat="1" ht="18.95" customHeight="1" outlineLevel="1" x14ac:dyDescent="0.25">
      <c r="A647" s="146" t="s">
        <v>62</v>
      </c>
      <c r="B647" s="146" t="s">
        <v>262</v>
      </c>
      <c r="C647" s="148"/>
      <c r="D647" s="156">
        <f>D643</f>
        <v>43453</v>
      </c>
      <c r="E647" s="156" t="str">
        <f>E643</f>
        <v>485-п</v>
      </c>
      <c r="F647" s="12">
        <v>43466</v>
      </c>
      <c r="G647" s="12">
        <v>43646</v>
      </c>
      <c r="H647" s="149" t="str">
        <f>H643</f>
        <v>от 07.02.2019 Приказ № 35-п</v>
      </c>
      <c r="I647" s="13">
        <f>I643</f>
        <v>3039.24</v>
      </c>
      <c r="J647" s="14" t="s">
        <v>23</v>
      </c>
      <c r="K647" s="14" t="s">
        <v>23</v>
      </c>
      <c r="L647" s="5" t="s">
        <v>23</v>
      </c>
      <c r="M647" s="5" t="s">
        <v>23</v>
      </c>
      <c r="N647" s="5" t="s">
        <v>23</v>
      </c>
      <c r="O647" s="4" t="s">
        <v>23</v>
      </c>
      <c r="P647" s="153"/>
      <c r="S647" s="18"/>
    </row>
    <row r="648" spans="1:19" s="17" customFormat="1" ht="18.95" customHeight="1" outlineLevel="1" x14ac:dyDescent="0.25">
      <c r="A648" s="148"/>
      <c r="B648" s="148"/>
      <c r="C648" s="148"/>
      <c r="D648" s="156"/>
      <c r="E648" s="156"/>
      <c r="F648" s="12">
        <v>43647</v>
      </c>
      <c r="G648" s="12">
        <v>43830</v>
      </c>
      <c r="H648" s="151"/>
      <c r="I648" s="13">
        <f>I644</f>
        <v>3417.41</v>
      </c>
      <c r="J648" s="14" t="s">
        <v>23</v>
      </c>
      <c r="K648" s="14" t="s">
        <v>23</v>
      </c>
      <c r="L648" s="5" t="s">
        <v>23</v>
      </c>
      <c r="M648" s="5" t="s">
        <v>23</v>
      </c>
      <c r="N648" s="5" t="s">
        <v>23</v>
      </c>
      <c r="O648" s="4" t="s">
        <v>23</v>
      </c>
      <c r="P648" s="152"/>
      <c r="S648" s="18"/>
    </row>
    <row r="649" spans="1:19" s="17" customFormat="1" ht="18.95" customHeight="1" outlineLevel="1" x14ac:dyDescent="0.25">
      <c r="A649" s="148"/>
      <c r="B649" s="148"/>
      <c r="C649" s="148"/>
      <c r="D649" s="156">
        <f>D639</f>
        <v>43454</v>
      </c>
      <c r="E649" s="156" t="str">
        <f>$E$573</f>
        <v>677-п</v>
      </c>
      <c r="F649" s="12">
        <v>43466</v>
      </c>
      <c r="G649" s="12">
        <v>43646</v>
      </c>
      <c r="H649" s="149"/>
      <c r="I649" s="15" t="s">
        <v>23</v>
      </c>
      <c r="J649" s="14" t="s">
        <v>23</v>
      </c>
      <c r="K649" s="14" t="s">
        <v>23</v>
      </c>
      <c r="L649" s="5" t="s">
        <v>23</v>
      </c>
      <c r="M649" s="5" t="s">
        <v>23</v>
      </c>
      <c r="N649" s="5" t="s">
        <v>23</v>
      </c>
      <c r="O649" s="13">
        <f>O645</f>
        <v>2690.85</v>
      </c>
      <c r="P649" s="153"/>
      <c r="S649" s="18"/>
    </row>
    <row r="650" spans="1:19" s="10" customFormat="1" ht="18.95" customHeight="1" x14ac:dyDescent="0.25">
      <c r="A650" s="147"/>
      <c r="B650" s="148"/>
      <c r="C650" s="148"/>
      <c r="D650" s="156"/>
      <c r="E650" s="156"/>
      <c r="F650" s="12">
        <v>43647</v>
      </c>
      <c r="G650" s="12">
        <v>43830</v>
      </c>
      <c r="H650" s="151"/>
      <c r="I650" s="15"/>
      <c r="J650" s="14"/>
      <c r="K650" s="14"/>
      <c r="L650" s="5"/>
      <c r="M650" s="5"/>
      <c r="N650" s="5"/>
      <c r="O650" s="13">
        <f>O646</f>
        <v>2690.85</v>
      </c>
      <c r="P650" s="169"/>
      <c r="S650" s="11"/>
    </row>
    <row r="651" spans="1:19" s="17" customFormat="1" ht="18.95" customHeight="1" outlineLevel="1" x14ac:dyDescent="0.25">
      <c r="A651" s="146" t="s">
        <v>62</v>
      </c>
      <c r="B651" s="157" t="s">
        <v>392</v>
      </c>
      <c r="C651" s="148"/>
      <c r="D651" s="156">
        <f>D643</f>
        <v>43453</v>
      </c>
      <c r="E651" s="156" t="str">
        <f>E643</f>
        <v>485-п</v>
      </c>
      <c r="F651" s="12">
        <v>43466</v>
      </c>
      <c r="G651" s="12">
        <v>43646</v>
      </c>
      <c r="H651" s="149" t="str">
        <f>H643</f>
        <v>от 07.02.2019 Приказ № 35-п</v>
      </c>
      <c r="I651" s="13">
        <f>I643</f>
        <v>3039.24</v>
      </c>
      <c r="J651" s="14"/>
      <c r="K651" s="14"/>
      <c r="L651" s="5"/>
      <c r="M651" s="5"/>
      <c r="N651" s="5"/>
      <c r="O651" s="15"/>
      <c r="P651" s="169"/>
      <c r="S651" s="18"/>
    </row>
    <row r="652" spans="1:19" s="17" customFormat="1" ht="18.95" customHeight="1" outlineLevel="1" x14ac:dyDescent="0.25">
      <c r="A652" s="148"/>
      <c r="B652" s="157"/>
      <c r="C652" s="148"/>
      <c r="D652" s="156"/>
      <c r="E652" s="156"/>
      <c r="F652" s="12">
        <v>43647</v>
      </c>
      <c r="G652" s="12">
        <v>43830</v>
      </c>
      <c r="H652" s="151"/>
      <c r="I652" s="13">
        <f>I644</f>
        <v>3417.41</v>
      </c>
      <c r="J652" s="14"/>
      <c r="K652" s="14"/>
      <c r="L652" s="5"/>
      <c r="M652" s="5"/>
      <c r="N652" s="5"/>
      <c r="O652" s="15"/>
      <c r="P652" s="169"/>
      <c r="S652" s="18"/>
    </row>
    <row r="653" spans="1:19" s="17" customFormat="1" ht="18.95" customHeight="1" outlineLevel="1" x14ac:dyDescent="0.25">
      <c r="A653" s="148"/>
      <c r="B653" s="157"/>
      <c r="C653" s="148"/>
      <c r="D653" s="156">
        <f>D639</f>
        <v>43454</v>
      </c>
      <c r="E653" s="156" t="str">
        <f>$E$573</f>
        <v>677-п</v>
      </c>
      <c r="F653" s="12">
        <v>43466</v>
      </c>
      <c r="G653" s="12">
        <v>43646</v>
      </c>
      <c r="H653" s="149"/>
      <c r="I653" s="15"/>
      <c r="J653" s="14"/>
      <c r="K653" s="14"/>
      <c r="L653" s="5"/>
      <c r="M653" s="5"/>
      <c r="N653" s="5"/>
      <c r="O653" s="13">
        <f>O645</f>
        <v>2690.85</v>
      </c>
      <c r="P653" s="169"/>
      <c r="S653" s="18"/>
    </row>
    <row r="654" spans="1:19" s="17" customFormat="1" ht="18.95" customHeight="1" outlineLevel="1" x14ac:dyDescent="0.25">
      <c r="A654" s="147"/>
      <c r="B654" s="157"/>
      <c r="C654" s="147"/>
      <c r="D654" s="156"/>
      <c r="E654" s="156"/>
      <c r="F654" s="12">
        <v>43647</v>
      </c>
      <c r="G654" s="12">
        <v>43830</v>
      </c>
      <c r="H654" s="151"/>
      <c r="I654" s="15" t="s">
        <v>23</v>
      </c>
      <c r="J654" s="14" t="s">
        <v>23</v>
      </c>
      <c r="K654" s="14" t="s">
        <v>23</v>
      </c>
      <c r="L654" s="5" t="s">
        <v>23</v>
      </c>
      <c r="M654" s="5" t="s">
        <v>23</v>
      </c>
      <c r="N654" s="5" t="s">
        <v>23</v>
      </c>
      <c r="O654" s="13">
        <f>O646</f>
        <v>2690.85</v>
      </c>
      <c r="P654" s="152"/>
      <c r="S654" s="18"/>
    </row>
    <row r="655" spans="1:19" s="17" customFormat="1" ht="18.95" customHeight="1" outlineLevel="1" x14ac:dyDescent="0.25">
      <c r="A655" s="146" t="s">
        <v>62</v>
      </c>
      <c r="B655" s="157" t="s">
        <v>280</v>
      </c>
      <c r="C655" s="146" t="s">
        <v>281</v>
      </c>
      <c r="D655" s="137">
        <v>43454</v>
      </c>
      <c r="E655" s="137" t="s">
        <v>490</v>
      </c>
      <c r="F655" s="12">
        <v>43466</v>
      </c>
      <c r="G655" s="12">
        <v>43646</v>
      </c>
      <c r="H655" s="149"/>
      <c r="I655" s="13">
        <v>1160.81</v>
      </c>
      <c r="J655" s="14" t="s">
        <v>23</v>
      </c>
      <c r="K655" s="14" t="s">
        <v>23</v>
      </c>
      <c r="L655" s="5" t="s">
        <v>23</v>
      </c>
      <c r="M655" s="5" t="s">
        <v>23</v>
      </c>
      <c r="N655" s="5" t="s">
        <v>23</v>
      </c>
      <c r="O655" s="4" t="s">
        <v>23</v>
      </c>
      <c r="P655" s="153"/>
      <c r="S655" s="18"/>
    </row>
    <row r="656" spans="1:19" s="17" customFormat="1" ht="18.95" customHeight="1" outlineLevel="1" x14ac:dyDescent="0.25">
      <c r="A656" s="148"/>
      <c r="B656" s="157"/>
      <c r="C656" s="148"/>
      <c r="D656" s="141"/>
      <c r="E656" s="141"/>
      <c r="F656" s="12">
        <v>43647</v>
      </c>
      <c r="G656" s="12">
        <v>43830</v>
      </c>
      <c r="H656" s="151"/>
      <c r="I656" s="13">
        <v>1160.81</v>
      </c>
      <c r="J656" s="14" t="s">
        <v>23</v>
      </c>
      <c r="K656" s="14" t="s">
        <v>23</v>
      </c>
      <c r="L656" s="5" t="s">
        <v>23</v>
      </c>
      <c r="M656" s="5" t="s">
        <v>23</v>
      </c>
      <c r="N656" s="5" t="s">
        <v>23</v>
      </c>
      <c r="O656" s="4" t="s">
        <v>23</v>
      </c>
      <c r="P656" s="152"/>
      <c r="S656" s="18"/>
    </row>
    <row r="657" spans="1:19" s="17" customFormat="1" ht="18.95" customHeight="1" outlineLevel="1" x14ac:dyDescent="0.25">
      <c r="A657" s="148"/>
      <c r="B657" s="157"/>
      <c r="C657" s="148"/>
      <c r="D657" s="137">
        <f>D653</f>
        <v>43454</v>
      </c>
      <c r="E657" s="137" t="str">
        <f>$E$573</f>
        <v>677-п</v>
      </c>
      <c r="F657" s="12">
        <v>43466</v>
      </c>
      <c r="G657" s="12">
        <v>43646</v>
      </c>
      <c r="H657" s="149"/>
      <c r="I657" s="15" t="s">
        <v>23</v>
      </c>
      <c r="J657" s="14" t="s">
        <v>23</v>
      </c>
      <c r="K657" s="14" t="s">
        <v>23</v>
      </c>
      <c r="L657" s="5" t="s">
        <v>23</v>
      </c>
      <c r="M657" s="5" t="s">
        <v>23</v>
      </c>
      <c r="N657" s="5" t="s">
        <v>23</v>
      </c>
      <c r="O657" s="13">
        <v>1267.49</v>
      </c>
      <c r="P657" s="183" t="s">
        <v>444</v>
      </c>
      <c r="S657" s="18"/>
    </row>
    <row r="658" spans="1:19" s="17" customFormat="1" ht="18.95" customHeight="1" outlineLevel="1" x14ac:dyDescent="0.25">
      <c r="A658" s="148"/>
      <c r="B658" s="157"/>
      <c r="C658" s="148"/>
      <c r="D658" s="138"/>
      <c r="E658" s="138"/>
      <c r="F658" s="12">
        <v>43647</v>
      </c>
      <c r="G658" s="12">
        <v>43830</v>
      </c>
      <c r="H658" s="150"/>
      <c r="I658" s="15" t="s">
        <v>23</v>
      </c>
      <c r="J658" s="14" t="s">
        <v>23</v>
      </c>
      <c r="K658" s="14" t="s">
        <v>23</v>
      </c>
      <c r="L658" s="5" t="s">
        <v>23</v>
      </c>
      <c r="M658" s="5" t="s">
        <v>23</v>
      </c>
      <c r="N658" s="5" t="s">
        <v>23</v>
      </c>
      <c r="O658" s="13">
        <v>1292.8399999999999</v>
      </c>
      <c r="P658" s="183"/>
      <c r="S658" s="18"/>
    </row>
    <row r="659" spans="1:19" s="17" customFormat="1" ht="18.95" customHeight="1" outlineLevel="1" x14ac:dyDescent="0.25">
      <c r="A659" s="148"/>
      <c r="B659" s="157"/>
      <c r="C659" s="148"/>
      <c r="D659" s="138"/>
      <c r="E659" s="138"/>
      <c r="F659" s="12">
        <v>43466</v>
      </c>
      <c r="G659" s="12">
        <v>43646</v>
      </c>
      <c r="H659" s="150"/>
      <c r="I659" s="15"/>
      <c r="J659" s="14"/>
      <c r="K659" s="14"/>
      <c r="L659" s="5"/>
      <c r="M659" s="5"/>
      <c r="N659" s="5"/>
      <c r="O659" s="13">
        <v>627.82000000000005</v>
      </c>
      <c r="P659" s="42"/>
      <c r="S659" s="18"/>
    </row>
    <row r="660" spans="1:19" s="17" customFormat="1" ht="18.95" customHeight="1" outlineLevel="1" x14ac:dyDescent="0.25">
      <c r="A660" s="147"/>
      <c r="B660" s="157"/>
      <c r="C660" s="147"/>
      <c r="D660" s="141"/>
      <c r="E660" s="141"/>
      <c r="F660" s="12">
        <v>43647</v>
      </c>
      <c r="G660" s="12">
        <v>43830</v>
      </c>
      <c r="H660" s="151"/>
      <c r="I660" s="15"/>
      <c r="J660" s="14" t="s">
        <v>23</v>
      </c>
      <c r="K660" s="14" t="s">
        <v>23</v>
      </c>
      <c r="L660" s="5" t="s">
        <v>23</v>
      </c>
      <c r="M660" s="5" t="s">
        <v>23</v>
      </c>
      <c r="N660" s="5" t="s">
        <v>23</v>
      </c>
      <c r="O660" s="13">
        <v>640.38</v>
      </c>
      <c r="P660" s="42" t="s">
        <v>446</v>
      </c>
      <c r="S660" s="18"/>
    </row>
    <row r="661" spans="1:19" s="17" customFormat="1" ht="18.95" customHeight="1" outlineLevel="1" x14ac:dyDescent="0.25">
      <c r="A661" s="146" t="s">
        <v>62</v>
      </c>
      <c r="B661" s="157" t="s">
        <v>280</v>
      </c>
      <c r="C661" s="146" t="s">
        <v>397</v>
      </c>
      <c r="D661" s="137">
        <v>43087</v>
      </c>
      <c r="E661" s="137" t="s">
        <v>443</v>
      </c>
      <c r="F661" s="12">
        <v>43466</v>
      </c>
      <c r="G661" s="12">
        <v>43646</v>
      </c>
      <c r="H661" s="149" t="s">
        <v>491</v>
      </c>
      <c r="I661" s="13">
        <v>1760.99</v>
      </c>
      <c r="J661" s="14" t="s">
        <v>23</v>
      </c>
      <c r="K661" s="14" t="s">
        <v>23</v>
      </c>
      <c r="L661" s="5" t="s">
        <v>23</v>
      </c>
      <c r="M661" s="5" t="s">
        <v>23</v>
      </c>
      <c r="N661" s="5" t="s">
        <v>23</v>
      </c>
      <c r="O661" s="4" t="s">
        <v>23</v>
      </c>
      <c r="P661" s="153" t="s">
        <v>29</v>
      </c>
      <c r="S661" s="18"/>
    </row>
    <row r="662" spans="1:19" s="17" customFormat="1" ht="18.95" customHeight="1" outlineLevel="1" x14ac:dyDescent="0.25">
      <c r="A662" s="148"/>
      <c r="B662" s="157"/>
      <c r="C662" s="148"/>
      <c r="D662" s="141"/>
      <c r="E662" s="141"/>
      <c r="F662" s="12">
        <v>43647</v>
      </c>
      <c r="G662" s="12">
        <v>43830</v>
      </c>
      <c r="H662" s="151"/>
      <c r="I662" s="13">
        <v>1838.3</v>
      </c>
      <c r="J662" s="14" t="s">
        <v>23</v>
      </c>
      <c r="K662" s="14" t="s">
        <v>23</v>
      </c>
      <c r="L662" s="5" t="s">
        <v>23</v>
      </c>
      <c r="M662" s="5" t="s">
        <v>23</v>
      </c>
      <c r="N662" s="5" t="s">
        <v>23</v>
      </c>
      <c r="O662" s="4" t="s">
        <v>23</v>
      </c>
      <c r="P662" s="169"/>
      <c r="S662" s="18"/>
    </row>
    <row r="663" spans="1:19" s="17" customFormat="1" ht="18.95" customHeight="1" outlineLevel="1" x14ac:dyDescent="0.25">
      <c r="A663" s="148"/>
      <c r="B663" s="157"/>
      <c r="C663" s="148"/>
      <c r="D663" s="137">
        <f>D657</f>
        <v>43454</v>
      </c>
      <c r="E663" s="137" t="str">
        <f>$E$573</f>
        <v>677-п</v>
      </c>
      <c r="F663" s="12">
        <v>43466</v>
      </c>
      <c r="G663" s="12">
        <v>43646</v>
      </c>
      <c r="H663" s="149"/>
      <c r="I663" s="15" t="s">
        <v>23</v>
      </c>
      <c r="J663" s="14" t="s">
        <v>23</v>
      </c>
      <c r="K663" s="14" t="s">
        <v>23</v>
      </c>
      <c r="L663" s="5" t="s">
        <v>23</v>
      </c>
      <c r="M663" s="5" t="s">
        <v>23</v>
      </c>
      <c r="N663" s="5" t="s">
        <v>23</v>
      </c>
      <c r="O663" s="13">
        <v>1760.99</v>
      </c>
      <c r="P663" s="169"/>
      <c r="S663" s="18"/>
    </row>
    <row r="664" spans="1:19" s="17" customFormat="1" ht="18.95" customHeight="1" outlineLevel="1" x14ac:dyDescent="0.25">
      <c r="A664" s="147"/>
      <c r="B664" s="157"/>
      <c r="C664" s="147"/>
      <c r="D664" s="141"/>
      <c r="E664" s="141"/>
      <c r="F664" s="12">
        <v>43647</v>
      </c>
      <c r="G664" s="12">
        <v>43830</v>
      </c>
      <c r="H664" s="151"/>
      <c r="I664" s="15" t="s">
        <v>23</v>
      </c>
      <c r="J664" s="14" t="s">
        <v>23</v>
      </c>
      <c r="K664" s="14" t="s">
        <v>23</v>
      </c>
      <c r="L664" s="5" t="s">
        <v>23</v>
      </c>
      <c r="M664" s="5" t="s">
        <v>23</v>
      </c>
      <c r="N664" s="5" t="s">
        <v>23</v>
      </c>
      <c r="O664" s="13">
        <v>1796.21</v>
      </c>
      <c r="P664" s="152"/>
      <c r="S664" s="18"/>
    </row>
    <row r="665" spans="1:19" s="17" customFormat="1" ht="18.95" customHeight="1" outlineLevel="1" x14ac:dyDescent="0.25">
      <c r="A665" s="146" t="s">
        <v>62</v>
      </c>
      <c r="B665" s="157" t="s">
        <v>63</v>
      </c>
      <c r="C665" s="146" t="s">
        <v>448</v>
      </c>
      <c r="D665" s="156">
        <v>43083</v>
      </c>
      <c r="E665" s="156" t="s">
        <v>608</v>
      </c>
      <c r="F665" s="12">
        <v>43466</v>
      </c>
      <c r="G665" s="12">
        <v>43646</v>
      </c>
      <c r="H665" s="142" t="s">
        <v>807</v>
      </c>
      <c r="I665" s="13">
        <v>2872.24</v>
      </c>
      <c r="J665" s="14" t="s">
        <v>23</v>
      </c>
      <c r="K665" s="14" t="s">
        <v>23</v>
      </c>
      <c r="L665" s="5" t="s">
        <v>23</v>
      </c>
      <c r="M665" s="5" t="s">
        <v>23</v>
      </c>
      <c r="N665" s="5" t="s">
        <v>23</v>
      </c>
      <c r="O665" s="4" t="s">
        <v>23</v>
      </c>
      <c r="P665" s="180" t="s">
        <v>331</v>
      </c>
      <c r="S665" s="18"/>
    </row>
    <row r="666" spans="1:19" s="17" customFormat="1" ht="18.95" customHeight="1" outlineLevel="1" x14ac:dyDescent="0.25">
      <c r="A666" s="148"/>
      <c r="B666" s="157"/>
      <c r="C666" s="148"/>
      <c r="D666" s="156"/>
      <c r="E666" s="156"/>
      <c r="F666" s="12">
        <v>43647</v>
      </c>
      <c r="G666" s="12">
        <v>43830</v>
      </c>
      <c r="H666" s="143"/>
      <c r="I666" s="13">
        <v>3270.55</v>
      </c>
      <c r="J666" s="14" t="s">
        <v>23</v>
      </c>
      <c r="K666" s="14" t="s">
        <v>23</v>
      </c>
      <c r="L666" s="5" t="s">
        <v>23</v>
      </c>
      <c r="M666" s="5" t="s">
        <v>23</v>
      </c>
      <c r="N666" s="5" t="s">
        <v>23</v>
      </c>
      <c r="O666" s="4" t="s">
        <v>23</v>
      </c>
      <c r="P666" s="181"/>
      <c r="R666" s="19"/>
      <c r="S666" s="18"/>
    </row>
    <row r="667" spans="1:19" s="17" customFormat="1" ht="18.95" customHeight="1" outlineLevel="1" x14ac:dyDescent="0.25">
      <c r="A667" s="148"/>
      <c r="B667" s="157"/>
      <c r="C667" s="148"/>
      <c r="D667" s="137">
        <v>43454</v>
      </c>
      <c r="E667" s="137" t="s">
        <v>808</v>
      </c>
      <c r="F667" s="12">
        <v>43466</v>
      </c>
      <c r="G667" s="12">
        <v>43646</v>
      </c>
      <c r="H667" s="149"/>
      <c r="I667" s="15" t="s">
        <v>23</v>
      </c>
      <c r="J667" s="14" t="s">
        <v>23</v>
      </c>
      <c r="K667" s="14" t="s">
        <v>23</v>
      </c>
      <c r="L667" s="5" t="s">
        <v>23</v>
      </c>
      <c r="M667" s="5" t="s">
        <v>23</v>
      </c>
      <c r="N667" s="5" t="s">
        <v>23</v>
      </c>
      <c r="O667" s="13">
        <v>2794.23</v>
      </c>
      <c r="P667" s="181"/>
      <c r="S667" s="18"/>
    </row>
    <row r="668" spans="1:19" s="17" customFormat="1" ht="18.95" customHeight="1" outlineLevel="1" x14ac:dyDescent="0.25">
      <c r="A668" s="148"/>
      <c r="B668" s="157"/>
      <c r="C668" s="147"/>
      <c r="D668" s="141"/>
      <c r="E668" s="141"/>
      <c r="F668" s="12">
        <v>43647</v>
      </c>
      <c r="G668" s="12">
        <v>43830</v>
      </c>
      <c r="H668" s="151"/>
      <c r="I668" s="15" t="s">
        <v>23</v>
      </c>
      <c r="J668" s="14" t="s">
        <v>23</v>
      </c>
      <c r="K668" s="14" t="s">
        <v>23</v>
      </c>
      <c r="L668" s="5" t="s">
        <v>23</v>
      </c>
      <c r="M668" s="5" t="s">
        <v>23</v>
      </c>
      <c r="N668" s="5" t="s">
        <v>23</v>
      </c>
      <c r="O668" s="13">
        <v>2794.23</v>
      </c>
      <c r="P668" s="182"/>
      <c r="S668" s="18"/>
    </row>
    <row r="669" spans="1:19" s="17" customFormat="1" ht="18.95" customHeight="1" outlineLevel="1" x14ac:dyDescent="0.25">
      <c r="A669" s="146" t="s">
        <v>62</v>
      </c>
      <c r="B669" s="157" t="s">
        <v>504</v>
      </c>
      <c r="C669" s="146" t="s">
        <v>266</v>
      </c>
      <c r="D669" s="137">
        <v>43454</v>
      </c>
      <c r="E669" s="137" t="s">
        <v>492</v>
      </c>
      <c r="F669" s="12">
        <v>43466</v>
      </c>
      <c r="G669" s="12">
        <v>43646</v>
      </c>
      <c r="H669" s="149"/>
      <c r="I669" s="13">
        <v>1655.89</v>
      </c>
      <c r="J669" s="14" t="s">
        <v>23</v>
      </c>
      <c r="K669" s="14" t="s">
        <v>23</v>
      </c>
      <c r="L669" s="5" t="s">
        <v>23</v>
      </c>
      <c r="M669" s="5" t="s">
        <v>23</v>
      </c>
      <c r="N669" s="5" t="s">
        <v>23</v>
      </c>
      <c r="O669" s="4" t="s">
        <v>23</v>
      </c>
      <c r="P669" s="153"/>
      <c r="S669" s="18"/>
    </row>
    <row r="670" spans="1:19" s="17" customFormat="1" ht="18.95" customHeight="1" outlineLevel="1" x14ac:dyDescent="0.25">
      <c r="A670" s="148"/>
      <c r="B670" s="157"/>
      <c r="C670" s="148"/>
      <c r="D670" s="141"/>
      <c r="E670" s="141"/>
      <c r="F670" s="12">
        <v>43647</v>
      </c>
      <c r="G670" s="12">
        <v>43830</v>
      </c>
      <c r="H670" s="151"/>
      <c r="I670" s="13">
        <v>1821.48</v>
      </c>
      <c r="J670" s="14" t="s">
        <v>23</v>
      </c>
      <c r="K670" s="14" t="s">
        <v>23</v>
      </c>
      <c r="L670" s="5" t="s">
        <v>23</v>
      </c>
      <c r="M670" s="5" t="s">
        <v>23</v>
      </c>
      <c r="N670" s="5" t="s">
        <v>23</v>
      </c>
      <c r="O670" s="4" t="s">
        <v>23</v>
      </c>
      <c r="P670" s="152"/>
      <c r="S670" s="18"/>
    </row>
    <row r="671" spans="1:19" s="17" customFormat="1" ht="18.95" customHeight="1" outlineLevel="1" x14ac:dyDescent="0.25">
      <c r="A671" s="148"/>
      <c r="B671" s="157"/>
      <c r="C671" s="148"/>
      <c r="D671" s="137">
        <v>43454</v>
      </c>
      <c r="E671" s="137" t="s">
        <v>485</v>
      </c>
      <c r="F671" s="12">
        <v>43466</v>
      </c>
      <c r="G671" s="12">
        <v>43646</v>
      </c>
      <c r="H671" s="149"/>
      <c r="I671" s="15" t="s">
        <v>23</v>
      </c>
      <c r="J671" s="14" t="s">
        <v>23</v>
      </c>
      <c r="K671" s="14" t="s">
        <v>23</v>
      </c>
      <c r="L671" s="5" t="s">
        <v>23</v>
      </c>
      <c r="M671" s="5" t="s">
        <v>23</v>
      </c>
      <c r="N671" s="5" t="s">
        <v>23</v>
      </c>
      <c r="O671" s="13">
        <v>1936.54</v>
      </c>
      <c r="P671" s="144" t="s">
        <v>444</v>
      </c>
      <c r="S671" s="18"/>
    </row>
    <row r="672" spans="1:19" s="17" customFormat="1" ht="18.95" customHeight="1" outlineLevel="1" x14ac:dyDescent="0.25">
      <c r="A672" s="148"/>
      <c r="B672" s="157"/>
      <c r="C672" s="148"/>
      <c r="D672" s="138"/>
      <c r="E672" s="138"/>
      <c r="F672" s="12">
        <v>43647</v>
      </c>
      <c r="G672" s="12">
        <v>43830</v>
      </c>
      <c r="H672" s="150"/>
      <c r="I672" s="15" t="s">
        <v>23</v>
      </c>
      <c r="J672" s="14" t="s">
        <v>23</v>
      </c>
      <c r="K672" s="14" t="s">
        <v>23</v>
      </c>
      <c r="L672" s="5" t="s">
        <v>23</v>
      </c>
      <c r="M672" s="5" t="s">
        <v>23</v>
      </c>
      <c r="N672" s="5" t="s">
        <v>23</v>
      </c>
      <c r="O672" s="13">
        <v>1975.27</v>
      </c>
      <c r="P672" s="145"/>
      <c r="S672" s="18"/>
    </row>
    <row r="673" spans="1:19" s="17" customFormat="1" ht="18.95" customHeight="1" outlineLevel="1" x14ac:dyDescent="0.25">
      <c r="A673" s="148"/>
      <c r="B673" s="157"/>
      <c r="C673" s="148"/>
      <c r="D673" s="138"/>
      <c r="E673" s="138"/>
      <c r="F673" s="12">
        <v>43466</v>
      </c>
      <c r="G673" s="12">
        <v>43646</v>
      </c>
      <c r="H673" s="150"/>
      <c r="I673" s="15" t="s">
        <v>23</v>
      </c>
      <c r="J673" s="14" t="s">
        <v>23</v>
      </c>
      <c r="K673" s="14" t="s">
        <v>23</v>
      </c>
      <c r="L673" s="5" t="s">
        <v>23</v>
      </c>
      <c r="M673" s="5" t="s">
        <v>23</v>
      </c>
      <c r="N673" s="5" t="s">
        <v>23</v>
      </c>
      <c r="O673" s="13">
        <v>1375.42</v>
      </c>
      <c r="P673" s="144" t="s">
        <v>446</v>
      </c>
      <c r="S673" s="18"/>
    </row>
    <row r="674" spans="1:19" s="17" customFormat="1" ht="18.95" customHeight="1" outlineLevel="1" x14ac:dyDescent="0.25">
      <c r="A674" s="148"/>
      <c r="B674" s="157"/>
      <c r="C674" s="148"/>
      <c r="D674" s="141"/>
      <c r="E674" s="141"/>
      <c r="F674" s="12">
        <v>43647</v>
      </c>
      <c r="G674" s="12">
        <v>43830</v>
      </c>
      <c r="H674" s="151"/>
      <c r="I674" s="15" t="s">
        <v>23</v>
      </c>
      <c r="J674" s="14" t="s">
        <v>23</v>
      </c>
      <c r="K674" s="14" t="s">
        <v>23</v>
      </c>
      <c r="L674" s="5" t="s">
        <v>23</v>
      </c>
      <c r="M674" s="5" t="s">
        <v>23</v>
      </c>
      <c r="N674" s="5" t="s">
        <v>23</v>
      </c>
      <c r="O674" s="13">
        <v>1402.93</v>
      </c>
      <c r="P674" s="145"/>
      <c r="S674" s="18"/>
    </row>
    <row r="675" spans="1:19" s="17" customFormat="1" ht="18.95" customHeight="1" outlineLevel="1" x14ac:dyDescent="0.25">
      <c r="A675" s="157" t="s">
        <v>62</v>
      </c>
      <c r="B675" s="146" t="s">
        <v>353</v>
      </c>
      <c r="C675" s="148"/>
      <c r="D675" s="137">
        <f>D669</f>
        <v>43454</v>
      </c>
      <c r="E675" s="137" t="str">
        <f>E669</f>
        <v>551-п</v>
      </c>
      <c r="F675" s="12">
        <v>43466</v>
      </c>
      <c r="G675" s="12">
        <v>43646</v>
      </c>
      <c r="H675" s="149"/>
      <c r="I675" s="13">
        <f>I669</f>
        <v>1655.89</v>
      </c>
      <c r="J675" s="14" t="s">
        <v>23</v>
      </c>
      <c r="K675" s="14" t="s">
        <v>23</v>
      </c>
      <c r="L675" s="5" t="s">
        <v>23</v>
      </c>
      <c r="M675" s="5" t="s">
        <v>23</v>
      </c>
      <c r="N675" s="5" t="s">
        <v>23</v>
      </c>
      <c r="O675" s="4" t="s">
        <v>23</v>
      </c>
      <c r="P675" s="153"/>
      <c r="S675" s="18"/>
    </row>
    <row r="676" spans="1:19" s="17" customFormat="1" ht="18.95" customHeight="1" outlineLevel="1" x14ac:dyDescent="0.25">
      <c r="A676" s="157"/>
      <c r="B676" s="148"/>
      <c r="C676" s="148"/>
      <c r="D676" s="141"/>
      <c r="E676" s="141"/>
      <c r="F676" s="12">
        <v>43647</v>
      </c>
      <c r="G676" s="12">
        <v>43830</v>
      </c>
      <c r="H676" s="151"/>
      <c r="I676" s="13">
        <f>I670</f>
        <v>1821.48</v>
      </c>
      <c r="J676" s="14" t="s">
        <v>23</v>
      </c>
      <c r="K676" s="14" t="s">
        <v>23</v>
      </c>
      <c r="L676" s="5" t="s">
        <v>23</v>
      </c>
      <c r="M676" s="5" t="s">
        <v>23</v>
      </c>
      <c r="N676" s="5" t="s">
        <v>23</v>
      </c>
      <c r="O676" s="4" t="s">
        <v>23</v>
      </c>
      <c r="P676" s="152"/>
      <c r="S676" s="18"/>
    </row>
    <row r="677" spans="1:19" s="10" customFormat="1" ht="18.95" customHeight="1" x14ac:dyDescent="0.25">
      <c r="A677" s="157"/>
      <c r="B677" s="148"/>
      <c r="C677" s="148"/>
      <c r="D677" s="137">
        <f>D671</f>
        <v>43454</v>
      </c>
      <c r="E677" s="137" t="str">
        <f>E671</f>
        <v>677-п</v>
      </c>
      <c r="F677" s="12">
        <v>43466</v>
      </c>
      <c r="G677" s="12">
        <v>43646</v>
      </c>
      <c r="H677" s="149"/>
      <c r="I677" s="15" t="s">
        <v>23</v>
      </c>
      <c r="J677" s="14" t="s">
        <v>23</v>
      </c>
      <c r="K677" s="14" t="s">
        <v>23</v>
      </c>
      <c r="L677" s="5" t="s">
        <v>23</v>
      </c>
      <c r="M677" s="5" t="s">
        <v>23</v>
      </c>
      <c r="N677" s="5" t="s">
        <v>23</v>
      </c>
      <c r="O677" s="13">
        <v>1925.37</v>
      </c>
      <c r="P677" s="144" t="s">
        <v>444</v>
      </c>
      <c r="S677" s="11"/>
    </row>
    <row r="678" spans="1:19" s="10" customFormat="1" ht="18.95" customHeight="1" outlineLevel="1" x14ac:dyDescent="0.25">
      <c r="A678" s="157"/>
      <c r="B678" s="148"/>
      <c r="C678" s="148"/>
      <c r="D678" s="138"/>
      <c r="E678" s="138"/>
      <c r="F678" s="12">
        <v>43647</v>
      </c>
      <c r="G678" s="12">
        <v>43830</v>
      </c>
      <c r="H678" s="150"/>
      <c r="I678" s="15" t="s">
        <v>23</v>
      </c>
      <c r="J678" s="14" t="s">
        <v>23</v>
      </c>
      <c r="K678" s="14" t="s">
        <v>23</v>
      </c>
      <c r="L678" s="5" t="s">
        <v>23</v>
      </c>
      <c r="M678" s="5" t="s">
        <v>23</v>
      </c>
      <c r="N678" s="5" t="s">
        <v>23</v>
      </c>
      <c r="O678" s="13">
        <v>1963.88</v>
      </c>
      <c r="P678" s="145"/>
      <c r="S678" s="11"/>
    </row>
    <row r="679" spans="1:19" s="10" customFormat="1" ht="18.95" customHeight="1" outlineLevel="1" x14ac:dyDescent="0.25">
      <c r="A679" s="157"/>
      <c r="B679" s="148"/>
      <c r="C679" s="148"/>
      <c r="D679" s="138"/>
      <c r="E679" s="138"/>
      <c r="F679" s="12">
        <v>43466</v>
      </c>
      <c r="G679" s="12">
        <v>43646</v>
      </c>
      <c r="H679" s="150"/>
      <c r="I679" s="15" t="s">
        <v>23</v>
      </c>
      <c r="J679" s="14" t="s">
        <v>23</v>
      </c>
      <c r="K679" s="14" t="s">
        <v>23</v>
      </c>
      <c r="L679" s="5" t="s">
        <v>23</v>
      </c>
      <c r="M679" s="5" t="s">
        <v>23</v>
      </c>
      <c r="N679" s="5" t="s">
        <v>23</v>
      </c>
      <c r="O679" s="13">
        <v>1294.3499999999999</v>
      </c>
      <c r="P679" s="144" t="s">
        <v>446</v>
      </c>
      <c r="S679" s="11"/>
    </row>
    <row r="680" spans="1:19" ht="18.95" customHeight="1" outlineLevel="1" x14ac:dyDescent="0.25">
      <c r="A680" s="157"/>
      <c r="B680" s="147"/>
      <c r="C680" s="148"/>
      <c r="D680" s="141"/>
      <c r="E680" s="141"/>
      <c r="F680" s="12">
        <v>43647</v>
      </c>
      <c r="G680" s="12">
        <v>43830</v>
      </c>
      <c r="H680" s="151"/>
      <c r="I680" s="15" t="s">
        <v>23</v>
      </c>
      <c r="J680" s="14" t="s">
        <v>23</v>
      </c>
      <c r="K680" s="14" t="s">
        <v>23</v>
      </c>
      <c r="L680" s="5" t="s">
        <v>23</v>
      </c>
      <c r="M680" s="5" t="s">
        <v>23</v>
      </c>
      <c r="N680" s="5" t="s">
        <v>23</v>
      </c>
      <c r="O680" s="13">
        <v>1320.24</v>
      </c>
      <c r="P680" s="145"/>
    </row>
    <row r="681" spans="1:19" ht="18.95" customHeight="1" outlineLevel="1" x14ac:dyDescent="0.25">
      <c r="A681" s="146" t="s">
        <v>62</v>
      </c>
      <c r="B681" s="157" t="s">
        <v>520</v>
      </c>
      <c r="C681" s="148"/>
      <c r="D681" s="137">
        <f>D669</f>
        <v>43454</v>
      </c>
      <c r="E681" s="137" t="str">
        <f>E669</f>
        <v>551-п</v>
      </c>
      <c r="F681" s="12">
        <v>43466</v>
      </c>
      <c r="G681" s="12">
        <v>43646</v>
      </c>
      <c r="H681" s="149"/>
      <c r="I681" s="13">
        <f>I669</f>
        <v>1655.89</v>
      </c>
      <c r="J681" s="14"/>
      <c r="K681" s="14"/>
      <c r="L681" s="5"/>
      <c r="M681" s="5"/>
      <c r="N681" s="5"/>
      <c r="O681" s="15" t="s">
        <v>23</v>
      </c>
      <c r="P681" s="153"/>
    </row>
    <row r="682" spans="1:19" ht="18.95" customHeight="1" outlineLevel="1" x14ac:dyDescent="0.25">
      <c r="A682" s="148"/>
      <c r="B682" s="157"/>
      <c r="C682" s="148"/>
      <c r="D682" s="141"/>
      <c r="E682" s="141"/>
      <c r="F682" s="12">
        <v>43647</v>
      </c>
      <c r="G682" s="12">
        <v>43830</v>
      </c>
      <c r="H682" s="151"/>
      <c r="I682" s="13">
        <f>I670</f>
        <v>1821.48</v>
      </c>
      <c r="J682" s="14"/>
      <c r="K682" s="14"/>
      <c r="L682" s="5"/>
      <c r="M682" s="5"/>
      <c r="N682" s="5"/>
      <c r="O682" s="15" t="s">
        <v>23</v>
      </c>
      <c r="P682" s="152"/>
    </row>
    <row r="683" spans="1:19" ht="18.95" customHeight="1" outlineLevel="1" x14ac:dyDescent="0.25">
      <c r="A683" s="148"/>
      <c r="B683" s="157"/>
      <c r="C683" s="148"/>
      <c r="D683" s="137">
        <f>D671</f>
        <v>43454</v>
      </c>
      <c r="E683" s="137" t="str">
        <f>E671</f>
        <v>677-п</v>
      </c>
      <c r="F683" s="12">
        <v>43466</v>
      </c>
      <c r="G683" s="12">
        <v>43646</v>
      </c>
      <c r="H683" s="149"/>
      <c r="I683" s="15" t="s">
        <v>23</v>
      </c>
      <c r="J683" s="14"/>
      <c r="K683" s="14"/>
      <c r="L683" s="5"/>
      <c r="M683" s="5"/>
      <c r="N683" s="5"/>
      <c r="O683" s="26">
        <v>1607.68</v>
      </c>
      <c r="P683" s="144" t="s">
        <v>444</v>
      </c>
    </row>
    <row r="684" spans="1:19" ht="18.95" customHeight="1" outlineLevel="1" x14ac:dyDescent="0.25">
      <c r="A684" s="148"/>
      <c r="B684" s="157"/>
      <c r="C684" s="148"/>
      <c r="D684" s="138"/>
      <c r="E684" s="138"/>
      <c r="F684" s="12">
        <v>43647</v>
      </c>
      <c r="G684" s="12">
        <v>43830</v>
      </c>
      <c r="H684" s="150"/>
      <c r="I684" s="15" t="s">
        <v>23</v>
      </c>
      <c r="J684" s="14"/>
      <c r="K684" s="14"/>
      <c r="L684" s="5"/>
      <c r="M684" s="5"/>
      <c r="N684" s="5"/>
      <c r="O684" s="26">
        <v>1639.83</v>
      </c>
      <c r="P684" s="145"/>
    </row>
    <row r="685" spans="1:19" ht="18.95" customHeight="1" outlineLevel="1" x14ac:dyDescent="0.25">
      <c r="A685" s="148"/>
      <c r="B685" s="157"/>
      <c r="C685" s="148"/>
      <c r="D685" s="138"/>
      <c r="E685" s="138"/>
      <c r="F685" s="12">
        <v>43466</v>
      </c>
      <c r="G685" s="12">
        <v>43646</v>
      </c>
      <c r="H685" s="150"/>
      <c r="I685" s="15" t="s">
        <v>23</v>
      </c>
      <c r="J685" s="14"/>
      <c r="K685" s="14"/>
      <c r="L685" s="5"/>
      <c r="M685" s="5"/>
      <c r="N685" s="5"/>
      <c r="O685" s="26">
        <v>1303.3900000000001</v>
      </c>
      <c r="P685" s="144" t="s">
        <v>446</v>
      </c>
    </row>
    <row r="686" spans="1:19" ht="18.95" customHeight="1" outlineLevel="1" x14ac:dyDescent="0.25">
      <c r="A686" s="148"/>
      <c r="B686" s="157"/>
      <c r="C686" s="147"/>
      <c r="D686" s="141"/>
      <c r="E686" s="141"/>
      <c r="F686" s="12">
        <v>43647</v>
      </c>
      <c r="G686" s="12">
        <v>43830</v>
      </c>
      <c r="H686" s="151"/>
      <c r="I686" s="15" t="s">
        <v>23</v>
      </c>
      <c r="J686" s="14"/>
      <c r="K686" s="14"/>
      <c r="L686" s="5"/>
      <c r="M686" s="5"/>
      <c r="N686" s="5"/>
      <c r="O686" s="26">
        <v>1329.46</v>
      </c>
      <c r="P686" s="145"/>
    </row>
    <row r="687" spans="1:19" ht="18.95" customHeight="1" outlineLevel="1" x14ac:dyDescent="0.25">
      <c r="A687" s="146" t="s">
        <v>62</v>
      </c>
      <c r="B687" s="146" t="s">
        <v>267</v>
      </c>
      <c r="C687" s="146" t="s">
        <v>315</v>
      </c>
      <c r="D687" s="137">
        <v>43451</v>
      </c>
      <c r="E687" s="137" t="s">
        <v>493</v>
      </c>
      <c r="F687" s="12">
        <v>43466</v>
      </c>
      <c r="G687" s="12">
        <v>43646</v>
      </c>
      <c r="H687" s="149"/>
      <c r="I687" s="13">
        <v>1419.47</v>
      </c>
      <c r="J687" s="14" t="s">
        <v>23</v>
      </c>
      <c r="K687" s="14" t="s">
        <v>23</v>
      </c>
      <c r="L687" s="5" t="s">
        <v>23</v>
      </c>
      <c r="M687" s="5" t="s">
        <v>23</v>
      </c>
      <c r="N687" s="5" t="s">
        <v>23</v>
      </c>
      <c r="O687" s="4" t="s">
        <v>23</v>
      </c>
      <c r="P687" s="153"/>
    </row>
    <row r="688" spans="1:19" ht="18.95" customHeight="1" outlineLevel="1" x14ac:dyDescent="0.25">
      <c r="A688" s="147" t="s">
        <v>62</v>
      </c>
      <c r="B688" s="147" t="s">
        <v>267</v>
      </c>
      <c r="C688" s="147" t="s">
        <v>268</v>
      </c>
      <c r="D688" s="141"/>
      <c r="E688" s="141"/>
      <c r="F688" s="12">
        <v>43647</v>
      </c>
      <c r="G688" s="12">
        <v>43830</v>
      </c>
      <c r="H688" s="151"/>
      <c r="I688" s="13">
        <v>1428.71</v>
      </c>
      <c r="J688" s="14" t="s">
        <v>23</v>
      </c>
      <c r="K688" s="14" t="s">
        <v>23</v>
      </c>
      <c r="L688" s="5" t="s">
        <v>23</v>
      </c>
      <c r="M688" s="5" t="s">
        <v>23</v>
      </c>
      <c r="N688" s="5" t="s">
        <v>23</v>
      </c>
      <c r="O688" s="4" t="s">
        <v>23</v>
      </c>
      <c r="P688" s="152"/>
    </row>
    <row r="689" spans="1:19" ht="18.95" customHeight="1" outlineLevel="1" x14ac:dyDescent="0.25">
      <c r="A689" s="6">
        <v>7</v>
      </c>
      <c r="B689" s="6" t="s">
        <v>150</v>
      </c>
      <c r="C689" s="7"/>
      <c r="D689" s="7"/>
      <c r="E689" s="7"/>
      <c r="F689" s="7"/>
      <c r="G689" s="7"/>
      <c r="H689" s="7"/>
      <c r="I689" s="8"/>
      <c r="J689" s="31"/>
      <c r="K689" s="31"/>
      <c r="L689" s="32"/>
      <c r="M689" s="32"/>
      <c r="N689" s="32"/>
      <c r="O689" s="8"/>
      <c r="P689" s="9"/>
    </row>
    <row r="690" spans="1:19" ht="18.95" customHeight="1" outlineLevel="1" x14ac:dyDescent="0.25">
      <c r="A690" s="146" t="s">
        <v>177</v>
      </c>
      <c r="B690" s="146" t="s">
        <v>178</v>
      </c>
      <c r="C690" s="146" t="s">
        <v>179</v>
      </c>
      <c r="D690" s="137">
        <v>43453</v>
      </c>
      <c r="E690" s="137" t="s">
        <v>622</v>
      </c>
      <c r="F690" s="12">
        <v>43466</v>
      </c>
      <c r="G690" s="12">
        <v>43646</v>
      </c>
      <c r="H690" s="146"/>
      <c r="I690" s="13">
        <v>874.34</v>
      </c>
      <c r="J690" s="14" t="s">
        <v>23</v>
      </c>
      <c r="K690" s="14" t="s">
        <v>23</v>
      </c>
      <c r="L690" s="5" t="s">
        <v>23</v>
      </c>
      <c r="M690" s="5" t="s">
        <v>23</v>
      </c>
      <c r="N690" s="5" t="s">
        <v>23</v>
      </c>
      <c r="O690" s="4" t="s">
        <v>23</v>
      </c>
      <c r="P690" s="153"/>
    </row>
    <row r="691" spans="1:19" ht="18.95" customHeight="1" outlineLevel="1" x14ac:dyDescent="0.25">
      <c r="A691" s="148"/>
      <c r="B691" s="148"/>
      <c r="C691" s="148"/>
      <c r="D691" s="141"/>
      <c r="E691" s="141"/>
      <c r="F691" s="12">
        <v>43647</v>
      </c>
      <c r="G691" s="12">
        <v>43830</v>
      </c>
      <c r="H691" s="147"/>
      <c r="I691" s="13">
        <v>1055.53</v>
      </c>
      <c r="J691" s="14" t="s">
        <v>23</v>
      </c>
      <c r="K691" s="14" t="s">
        <v>23</v>
      </c>
      <c r="L691" s="5" t="s">
        <v>23</v>
      </c>
      <c r="M691" s="5" t="s">
        <v>23</v>
      </c>
      <c r="N691" s="5" t="s">
        <v>23</v>
      </c>
      <c r="O691" s="4" t="s">
        <v>23</v>
      </c>
      <c r="P691" s="152"/>
    </row>
    <row r="692" spans="1:19" ht="18.95" customHeight="1" outlineLevel="1" x14ac:dyDescent="0.25">
      <c r="A692" s="148"/>
      <c r="B692" s="148"/>
      <c r="C692" s="148"/>
      <c r="D692" s="137">
        <v>43454</v>
      </c>
      <c r="E692" s="137" t="s">
        <v>741</v>
      </c>
      <c r="F692" s="12">
        <v>43466</v>
      </c>
      <c r="G692" s="12">
        <v>43646</v>
      </c>
      <c r="H692" s="149"/>
      <c r="I692" s="15" t="s">
        <v>23</v>
      </c>
      <c r="J692" s="14" t="s">
        <v>23</v>
      </c>
      <c r="K692" s="14" t="s">
        <v>23</v>
      </c>
      <c r="L692" s="5" t="s">
        <v>23</v>
      </c>
      <c r="M692" s="5" t="s">
        <v>23</v>
      </c>
      <c r="N692" s="5" t="s">
        <v>23</v>
      </c>
      <c r="O692" s="13">
        <v>985.34</v>
      </c>
      <c r="P692" s="153"/>
    </row>
    <row r="693" spans="1:19" ht="18.95" customHeight="1" outlineLevel="1" x14ac:dyDescent="0.25">
      <c r="A693" s="148"/>
      <c r="B693" s="148"/>
      <c r="C693" s="148"/>
      <c r="D693" s="141"/>
      <c r="E693" s="141"/>
      <c r="F693" s="12">
        <v>43647</v>
      </c>
      <c r="G693" s="12">
        <v>43830</v>
      </c>
      <c r="H693" s="151"/>
      <c r="I693" s="15" t="s">
        <v>23</v>
      </c>
      <c r="J693" s="14" t="s">
        <v>23</v>
      </c>
      <c r="K693" s="14" t="s">
        <v>23</v>
      </c>
      <c r="L693" s="5" t="s">
        <v>23</v>
      </c>
      <c r="M693" s="5" t="s">
        <v>23</v>
      </c>
      <c r="N693" s="5" t="s">
        <v>23</v>
      </c>
      <c r="O693" s="13">
        <v>1005.05</v>
      </c>
      <c r="P693" s="152"/>
    </row>
    <row r="694" spans="1:19" s="17" customFormat="1" ht="18.95" customHeight="1" outlineLevel="1" x14ac:dyDescent="0.25">
      <c r="A694" s="148"/>
      <c r="B694" s="148"/>
      <c r="C694" s="148"/>
      <c r="D694" s="137">
        <v>43454</v>
      </c>
      <c r="E694" s="137" t="s">
        <v>741</v>
      </c>
      <c r="F694" s="12">
        <v>43466</v>
      </c>
      <c r="G694" s="12">
        <v>43646</v>
      </c>
      <c r="H694" s="149"/>
      <c r="I694" s="101" t="s">
        <v>23</v>
      </c>
      <c r="J694" s="100" t="s">
        <v>23</v>
      </c>
      <c r="K694" s="100" t="s">
        <v>23</v>
      </c>
      <c r="L694" s="102" t="s">
        <v>23</v>
      </c>
      <c r="M694" s="102" t="s">
        <v>23</v>
      </c>
      <c r="N694" s="102" t="s">
        <v>23</v>
      </c>
      <c r="O694" s="13">
        <v>832.58</v>
      </c>
      <c r="P694" s="144" t="s">
        <v>446</v>
      </c>
      <c r="S694" s="18"/>
    </row>
    <row r="695" spans="1:19" s="17" customFormat="1" ht="18.95" customHeight="1" outlineLevel="1" x14ac:dyDescent="0.25">
      <c r="A695" s="147"/>
      <c r="B695" s="147"/>
      <c r="C695" s="148"/>
      <c r="D695" s="141"/>
      <c r="E695" s="141"/>
      <c r="F695" s="12">
        <v>43647</v>
      </c>
      <c r="G695" s="12">
        <v>43830</v>
      </c>
      <c r="H695" s="151"/>
      <c r="I695" s="101" t="s">
        <v>23</v>
      </c>
      <c r="J695" s="100" t="s">
        <v>23</v>
      </c>
      <c r="K695" s="100" t="s">
        <v>23</v>
      </c>
      <c r="L695" s="102" t="s">
        <v>23</v>
      </c>
      <c r="M695" s="102" t="s">
        <v>23</v>
      </c>
      <c r="N695" s="102" t="s">
        <v>23</v>
      </c>
      <c r="O695" s="13">
        <v>849.23</v>
      </c>
      <c r="P695" s="145"/>
      <c r="S695" s="18"/>
    </row>
    <row r="696" spans="1:19" ht="18.95" customHeight="1" outlineLevel="1" x14ac:dyDescent="0.25">
      <c r="A696" s="146" t="s">
        <v>177</v>
      </c>
      <c r="B696" s="157" t="s">
        <v>384</v>
      </c>
      <c r="C696" s="148"/>
      <c r="D696" s="137">
        <v>43453</v>
      </c>
      <c r="E696" s="137" t="s">
        <v>622</v>
      </c>
      <c r="F696" s="12">
        <v>43466</v>
      </c>
      <c r="G696" s="12">
        <v>43646</v>
      </c>
      <c r="H696" s="146"/>
      <c r="I696" s="13">
        <v>874.34</v>
      </c>
      <c r="J696" s="14" t="s">
        <v>23</v>
      </c>
      <c r="K696" s="14" t="s">
        <v>23</v>
      </c>
      <c r="L696" s="5" t="s">
        <v>23</v>
      </c>
      <c r="M696" s="5" t="s">
        <v>23</v>
      </c>
      <c r="N696" s="5" t="s">
        <v>23</v>
      </c>
      <c r="O696" s="4" t="s">
        <v>23</v>
      </c>
      <c r="P696" s="153"/>
    </row>
    <row r="697" spans="1:19" ht="18.95" customHeight="1" outlineLevel="1" x14ac:dyDescent="0.25">
      <c r="A697" s="148"/>
      <c r="B697" s="157"/>
      <c r="C697" s="148"/>
      <c r="D697" s="141"/>
      <c r="E697" s="141"/>
      <c r="F697" s="12">
        <v>43647</v>
      </c>
      <c r="G697" s="12">
        <v>43830</v>
      </c>
      <c r="H697" s="147"/>
      <c r="I697" s="13">
        <v>1055.53</v>
      </c>
      <c r="J697" s="14" t="s">
        <v>23</v>
      </c>
      <c r="K697" s="14" t="s">
        <v>23</v>
      </c>
      <c r="L697" s="5" t="s">
        <v>23</v>
      </c>
      <c r="M697" s="5" t="s">
        <v>23</v>
      </c>
      <c r="N697" s="5" t="s">
        <v>23</v>
      </c>
      <c r="O697" s="4" t="s">
        <v>23</v>
      </c>
      <c r="P697" s="152"/>
    </row>
    <row r="698" spans="1:19" ht="18.95" customHeight="1" outlineLevel="1" x14ac:dyDescent="0.25">
      <c r="A698" s="148"/>
      <c r="B698" s="157"/>
      <c r="C698" s="148"/>
      <c r="D698" s="137">
        <v>43454</v>
      </c>
      <c r="E698" s="137" t="s">
        <v>741</v>
      </c>
      <c r="F698" s="12">
        <v>43466</v>
      </c>
      <c r="G698" s="12">
        <v>43646</v>
      </c>
      <c r="H698" s="149"/>
      <c r="I698" s="15" t="s">
        <v>23</v>
      </c>
      <c r="J698" s="14" t="s">
        <v>23</v>
      </c>
      <c r="K698" s="14" t="s">
        <v>23</v>
      </c>
      <c r="L698" s="5" t="s">
        <v>23</v>
      </c>
      <c r="M698" s="5" t="s">
        <v>23</v>
      </c>
      <c r="N698" s="5" t="s">
        <v>23</v>
      </c>
      <c r="O698" s="13">
        <v>985.34</v>
      </c>
      <c r="P698" s="153"/>
    </row>
    <row r="699" spans="1:19" ht="18.95" customHeight="1" outlineLevel="1" x14ac:dyDescent="0.25">
      <c r="A699" s="147"/>
      <c r="B699" s="157"/>
      <c r="C699" s="148"/>
      <c r="D699" s="141"/>
      <c r="E699" s="141"/>
      <c r="F699" s="12">
        <v>43647</v>
      </c>
      <c r="G699" s="12">
        <v>43830</v>
      </c>
      <c r="H699" s="151"/>
      <c r="I699" s="15" t="s">
        <v>23</v>
      </c>
      <c r="J699" s="14" t="s">
        <v>23</v>
      </c>
      <c r="K699" s="14" t="s">
        <v>23</v>
      </c>
      <c r="L699" s="5" t="s">
        <v>23</v>
      </c>
      <c r="M699" s="5" t="s">
        <v>23</v>
      </c>
      <c r="N699" s="5" t="s">
        <v>23</v>
      </c>
      <c r="O699" s="13">
        <v>1005.05</v>
      </c>
      <c r="P699" s="152"/>
    </row>
    <row r="700" spans="1:19" ht="18.95" customHeight="1" outlineLevel="1" x14ac:dyDescent="0.25">
      <c r="A700" s="146" t="s">
        <v>177</v>
      </c>
      <c r="B700" s="146" t="s">
        <v>383</v>
      </c>
      <c r="C700" s="148"/>
      <c r="D700" s="137">
        <v>43453</v>
      </c>
      <c r="E700" s="137" t="s">
        <v>622</v>
      </c>
      <c r="F700" s="12">
        <v>43466</v>
      </c>
      <c r="G700" s="12">
        <v>43646</v>
      </c>
      <c r="H700" s="146"/>
      <c r="I700" s="13">
        <v>874.34</v>
      </c>
      <c r="J700" s="14" t="s">
        <v>23</v>
      </c>
      <c r="K700" s="14" t="s">
        <v>23</v>
      </c>
      <c r="L700" s="5" t="s">
        <v>23</v>
      </c>
      <c r="M700" s="5" t="s">
        <v>23</v>
      </c>
      <c r="N700" s="5" t="s">
        <v>23</v>
      </c>
      <c r="O700" s="4" t="s">
        <v>23</v>
      </c>
      <c r="P700" s="153"/>
    </row>
    <row r="701" spans="1:19" ht="18.95" customHeight="1" outlineLevel="1" x14ac:dyDescent="0.25">
      <c r="A701" s="148"/>
      <c r="B701" s="148"/>
      <c r="C701" s="148"/>
      <c r="D701" s="141"/>
      <c r="E701" s="141"/>
      <c r="F701" s="12">
        <v>43647</v>
      </c>
      <c r="G701" s="12">
        <v>43830</v>
      </c>
      <c r="H701" s="147"/>
      <c r="I701" s="13">
        <v>1055.53</v>
      </c>
      <c r="J701" s="14" t="s">
        <v>23</v>
      </c>
      <c r="K701" s="14" t="s">
        <v>23</v>
      </c>
      <c r="L701" s="5" t="s">
        <v>23</v>
      </c>
      <c r="M701" s="5" t="s">
        <v>23</v>
      </c>
      <c r="N701" s="5" t="s">
        <v>23</v>
      </c>
      <c r="O701" s="4" t="s">
        <v>23</v>
      </c>
      <c r="P701" s="152"/>
    </row>
    <row r="702" spans="1:19" ht="18.95" customHeight="1" outlineLevel="1" x14ac:dyDescent="0.25">
      <c r="A702" s="148"/>
      <c r="B702" s="148"/>
      <c r="C702" s="148"/>
      <c r="D702" s="137">
        <v>43454</v>
      </c>
      <c r="E702" s="137" t="s">
        <v>741</v>
      </c>
      <c r="F702" s="12">
        <v>43466</v>
      </c>
      <c r="G702" s="12">
        <v>43646</v>
      </c>
      <c r="H702" s="149"/>
      <c r="I702" s="15" t="s">
        <v>23</v>
      </c>
      <c r="J702" s="14" t="s">
        <v>23</v>
      </c>
      <c r="K702" s="14" t="s">
        <v>23</v>
      </c>
      <c r="L702" s="5" t="s">
        <v>23</v>
      </c>
      <c r="M702" s="5" t="s">
        <v>23</v>
      </c>
      <c r="N702" s="5" t="s">
        <v>23</v>
      </c>
      <c r="O702" s="13">
        <v>985.34</v>
      </c>
      <c r="P702" s="153"/>
    </row>
    <row r="703" spans="1:19" ht="18.95" customHeight="1" outlineLevel="1" x14ac:dyDescent="0.25">
      <c r="A703" s="148"/>
      <c r="B703" s="148"/>
      <c r="C703" s="148"/>
      <c r="D703" s="141"/>
      <c r="E703" s="141"/>
      <c r="F703" s="12">
        <v>43647</v>
      </c>
      <c r="G703" s="12">
        <v>43830</v>
      </c>
      <c r="H703" s="151"/>
      <c r="I703" s="15" t="s">
        <v>23</v>
      </c>
      <c r="J703" s="14" t="s">
        <v>23</v>
      </c>
      <c r="K703" s="14" t="s">
        <v>23</v>
      </c>
      <c r="L703" s="5" t="s">
        <v>23</v>
      </c>
      <c r="M703" s="5" t="s">
        <v>23</v>
      </c>
      <c r="N703" s="5" t="s">
        <v>23</v>
      </c>
      <c r="O703" s="13">
        <v>1005.05</v>
      </c>
      <c r="P703" s="152"/>
    </row>
    <row r="704" spans="1:19" s="17" customFormat="1" ht="18.95" customHeight="1" outlineLevel="1" x14ac:dyDescent="0.25">
      <c r="A704" s="148"/>
      <c r="B704" s="148"/>
      <c r="C704" s="148"/>
      <c r="D704" s="137">
        <v>43454</v>
      </c>
      <c r="E704" s="137" t="s">
        <v>741</v>
      </c>
      <c r="F704" s="12">
        <v>43466</v>
      </c>
      <c r="G704" s="12">
        <v>43646</v>
      </c>
      <c r="H704" s="149"/>
      <c r="I704" s="101" t="s">
        <v>23</v>
      </c>
      <c r="J704" s="100" t="s">
        <v>23</v>
      </c>
      <c r="K704" s="100" t="s">
        <v>23</v>
      </c>
      <c r="L704" s="102" t="s">
        <v>23</v>
      </c>
      <c r="M704" s="102" t="s">
        <v>23</v>
      </c>
      <c r="N704" s="102" t="s">
        <v>23</v>
      </c>
      <c r="O704" s="13">
        <v>892.95</v>
      </c>
      <c r="P704" s="144" t="s">
        <v>446</v>
      </c>
      <c r="S704" s="18"/>
    </row>
    <row r="705" spans="1:19" s="17" customFormat="1" ht="18.95" customHeight="1" outlineLevel="1" x14ac:dyDescent="0.25">
      <c r="A705" s="147"/>
      <c r="B705" s="147"/>
      <c r="C705" s="148"/>
      <c r="D705" s="141"/>
      <c r="E705" s="141"/>
      <c r="F705" s="12">
        <v>43647</v>
      </c>
      <c r="G705" s="12">
        <v>43830</v>
      </c>
      <c r="H705" s="151"/>
      <c r="I705" s="101" t="s">
        <v>23</v>
      </c>
      <c r="J705" s="100" t="s">
        <v>23</v>
      </c>
      <c r="K705" s="100" t="s">
        <v>23</v>
      </c>
      <c r="L705" s="102" t="s">
        <v>23</v>
      </c>
      <c r="M705" s="102" t="s">
        <v>23</v>
      </c>
      <c r="N705" s="102" t="s">
        <v>23</v>
      </c>
      <c r="O705" s="13">
        <v>910.81</v>
      </c>
      <c r="P705" s="145"/>
      <c r="S705" s="18"/>
    </row>
    <row r="706" spans="1:19" ht="18.95" customHeight="1" outlineLevel="1" x14ac:dyDescent="0.25">
      <c r="A706" s="146" t="s">
        <v>177</v>
      </c>
      <c r="B706" s="157" t="s">
        <v>193</v>
      </c>
      <c r="C706" s="148"/>
      <c r="D706" s="137">
        <v>43453</v>
      </c>
      <c r="E706" s="137" t="s">
        <v>622</v>
      </c>
      <c r="F706" s="12">
        <v>43466</v>
      </c>
      <c r="G706" s="12">
        <v>43646</v>
      </c>
      <c r="H706" s="146"/>
      <c r="I706" s="13">
        <v>874.34</v>
      </c>
      <c r="J706" s="14" t="s">
        <v>23</v>
      </c>
      <c r="K706" s="14" t="s">
        <v>23</v>
      </c>
      <c r="L706" s="5" t="s">
        <v>23</v>
      </c>
      <c r="M706" s="5" t="s">
        <v>23</v>
      </c>
      <c r="N706" s="5" t="s">
        <v>23</v>
      </c>
      <c r="O706" s="4" t="s">
        <v>23</v>
      </c>
      <c r="P706" s="153"/>
    </row>
    <row r="707" spans="1:19" ht="18.95" customHeight="1" outlineLevel="1" x14ac:dyDescent="0.25">
      <c r="A707" s="148"/>
      <c r="B707" s="157"/>
      <c r="C707" s="148"/>
      <c r="D707" s="141"/>
      <c r="E707" s="141"/>
      <c r="F707" s="12">
        <v>43647</v>
      </c>
      <c r="G707" s="12">
        <v>43830</v>
      </c>
      <c r="H707" s="147"/>
      <c r="I707" s="13">
        <v>1055.53</v>
      </c>
      <c r="J707" s="14" t="s">
        <v>23</v>
      </c>
      <c r="K707" s="14" t="s">
        <v>23</v>
      </c>
      <c r="L707" s="5" t="s">
        <v>23</v>
      </c>
      <c r="M707" s="5" t="s">
        <v>23</v>
      </c>
      <c r="N707" s="5" t="s">
        <v>23</v>
      </c>
      <c r="O707" s="4" t="s">
        <v>23</v>
      </c>
      <c r="P707" s="152"/>
    </row>
    <row r="708" spans="1:19" ht="18.95" customHeight="1" outlineLevel="1" x14ac:dyDescent="0.25">
      <c r="A708" s="148"/>
      <c r="B708" s="157"/>
      <c r="C708" s="148"/>
      <c r="D708" s="137">
        <v>43454</v>
      </c>
      <c r="E708" s="137" t="s">
        <v>741</v>
      </c>
      <c r="F708" s="12">
        <v>43466</v>
      </c>
      <c r="G708" s="12">
        <v>43646</v>
      </c>
      <c r="H708" s="149"/>
      <c r="I708" s="15" t="s">
        <v>23</v>
      </c>
      <c r="J708" s="14" t="s">
        <v>23</v>
      </c>
      <c r="K708" s="14" t="s">
        <v>23</v>
      </c>
      <c r="L708" s="5" t="s">
        <v>23</v>
      </c>
      <c r="M708" s="5" t="s">
        <v>23</v>
      </c>
      <c r="N708" s="5" t="s">
        <v>23</v>
      </c>
      <c r="O708" s="13">
        <v>985.34</v>
      </c>
      <c r="P708" s="153"/>
    </row>
    <row r="709" spans="1:19" ht="18.95" customHeight="1" outlineLevel="1" x14ac:dyDescent="0.25">
      <c r="A709" s="147"/>
      <c r="B709" s="157"/>
      <c r="C709" s="148"/>
      <c r="D709" s="141"/>
      <c r="E709" s="141"/>
      <c r="F709" s="12">
        <v>43647</v>
      </c>
      <c r="G709" s="12">
        <v>43830</v>
      </c>
      <c r="H709" s="151"/>
      <c r="I709" s="15" t="s">
        <v>23</v>
      </c>
      <c r="J709" s="14" t="s">
        <v>23</v>
      </c>
      <c r="K709" s="14" t="s">
        <v>23</v>
      </c>
      <c r="L709" s="5" t="s">
        <v>23</v>
      </c>
      <c r="M709" s="5" t="s">
        <v>23</v>
      </c>
      <c r="N709" s="5" t="s">
        <v>23</v>
      </c>
      <c r="O709" s="13">
        <v>1005.05</v>
      </c>
      <c r="P709" s="152"/>
    </row>
    <row r="710" spans="1:19" ht="18.95" customHeight="1" outlineLevel="1" x14ac:dyDescent="0.25">
      <c r="A710" s="146" t="s">
        <v>177</v>
      </c>
      <c r="B710" s="157" t="s">
        <v>180</v>
      </c>
      <c r="C710" s="148"/>
      <c r="D710" s="137">
        <v>43453</v>
      </c>
      <c r="E710" s="137" t="s">
        <v>622</v>
      </c>
      <c r="F710" s="12">
        <v>43466</v>
      </c>
      <c r="G710" s="12">
        <v>43646</v>
      </c>
      <c r="H710" s="146"/>
      <c r="I710" s="13">
        <v>874.34</v>
      </c>
      <c r="J710" s="14" t="s">
        <v>23</v>
      </c>
      <c r="K710" s="14" t="s">
        <v>23</v>
      </c>
      <c r="L710" s="5" t="s">
        <v>23</v>
      </c>
      <c r="M710" s="5" t="s">
        <v>23</v>
      </c>
      <c r="N710" s="5" t="s">
        <v>23</v>
      </c>
      <c r="O710" s="4" t="s">
        <v>23</v>
      </c>
      <c r="P710" s="153"/>
    </row>
    <row r="711" spans="1:19" ht="18.95" customHeight="1" outlineLevel="1" x14ac:dyDescent="0.25">
      <c r="A711" s="148"/>
      <c r="B711" s="157"/>
      <c r="C711" s="148"/>
      <c r="D711" s="141"/>
      <c r="E711" s="141"/>
      <c r="F711" s="12">
        <v>43647</v>
      </c>
      <c r="G711" s="12">
        <v>43830</v>
      </c>
      <c r="H711" s="147"/>
      <c r="I711" s="13">
        <v>1055.53</v>
      </c>
      <c r="J711" s="14" t="s">
        <v>23</v>
      </c>
      <c r="K711" s="14" t="s">
        <v>23</v>
      </c>
      <c r="L711" s="5" t="s">
        <v>23</v>
      </c>
      <c r="M711" s="5" t="s">
        <v>23</v>
      </c>
      <c r="N711" s="5" t="s">
        <v>23</v>
      </c>
      <c r="O711" s="4" t="s">
        <v>23</v>
      </c>
      <c r="P711" s="152"/>
    </row>
    <row r="712" spans="1:19" ht="18.95" customHeight="1" outlineLevel="1" x14ac:dyDescent="0.25">
      <c r="A712" s="148"/>
      <c r="B712" s="157"/>
      <c r="C712" s="148"/>
      <c r="D712" s="137">
        <v>43454</v>
      </c>
      <c r="E712" s="137" t="s">
        <v>741</v>
      </c>
      <c r="F712" s="12">
        <v>43466</v>
      </c>
      <c r="G712" s="12">
        <v>43646</v>
      </c>
      <c r="H712" s="149"/>
      <c r="I712" s="15" t="s">
        <v>23</v>
      </c>
      <c r="J712" s="14" t="s">
        <v>23</v>
      </c>
      <c r="K712" s="14" t="s">
        <v>23</v>
      </c>
      <c r="L712" s="5" t="s">
        <v>23</v>
      </c>
      <c r="M712" s="5" t="s">
        <v>23</v>
      </c>
      <c r="N712" s="5" t="s">
        <v>23</v>
      </c>
      <c r="O712" s="13">
        <v>985.34</v>
      </c>
      <c r="P712" s="153"/>
    </row>
    <row r="713" spans="1:19" ht="18.95" customHeight="1" outlineLevel="1" x14ac:dyDescent="0.25">
      <c r="A713" s="147"/>
      <c r="B713" s="157"/>
      <c r="C713" s="148"/>
      <c r="D713" s="141"/>
      <c r="E713" s="141"/>
      <c r="F713" s="12">
        <v>43647</v>
      </c>
      <c r="G713" s="12">
        <v>43830</v>
      </c>
      <c r="H713" s="151"/>
      <c r="I713" s="15" t="s">
        <v>23</v>
      </c>
      <c r="J713" s="14" t="s">
        <v>23</v>
      </c>
      <c r="K713" s="14" t="s">
        <v>23</v>
      </c>
      <c r="L713" s="5" t="s">
        <v>23</v>
      </c>
      <c r="M713" s="5" t="s">
        <v>23</v>
      </c>
      <c r="N713" s="5" t="s">
        <v>23</v>
      </c>
      <c r="O713" s="13">
        <v>1005.05</v>
      </c>
      <c r="P713" s="152"/>
    </row>
    <row r="714" spans="1:19" ht="18.95" customHeight="1" outlineLevel="1" x14ac:dyDescent="0.25">
      <c r="A714" s="146" t="s">
        <v>177</v>
      </c>
      <c r="B714" s="157" t="s">
        <v>382</v>
      </c>
      <c r="C714" s="148"/>
      <c r="D714" s="137">
        <v>43453</v>
      </c>
      <c r="E714" s="137" t="s">
        <v>622</v>
      </c>
      <c r="F714" s="12">
        <v>43466</v>
      </c>
      <c r="G714" s="12">
        <v>43646</v>
      </c>
      <c r="H714" s="146"/>
      <c r="I714" s="13">
        <v>874.34</v>
      </c>
      <c r="J714" s="14" t="s">
        <v>23</v>
      </c>
      <c r="K714" s="14" t="s">
        <v>23</v>
      </c>
      <c r="L714" s="5" t="s">
        <v>23</v>
      </c>
      <c r="M714" s="5" t="s">
        <v>23</v>
      </c>
      <c r="N714" s="5" t="s">
        <v>23</v>
      </c>
      <c r="O714" s="4" t="s">
        <v>23</v>
      </c>
      <c r="P714" s="153"/>
    </row>
    <row r="715" spans="1:19" ht="18.95" customHeight="1" outlineLevel="1" x14ac:dyDescent="0.25">
      <c r="A715" s="148"/>
      <c r="B715" s="157"/>
      <c r="C715" s="148"/>
      <c r="D715" s="141"/>
      <c r="E715" s="141"/>
      <c r="F715" s="12">
        <v>43647</v>
      </c>
      <c r="G715" s="12">
        <v>43830</v>
      </c>
      <c r="H715" s="147"/>
      <c r="I715" s="13">
        <v>1055.53</v>
      </c>
      <c r="J715" s="14" t="s">
        <v>23</v>
      </c>
      <c r="K715" s="14" t="s">
        <v>23</v>
      </c>
      <c r="L715" s="5" t="s">
        <v>23</v>
      </c>
      <c r="M715" s="5" t="s">
        <v>23</v>
      </c>
      <c r="N715" s="5" t="s">
        <v>23</v>
      </c>
      <c r="O715" s="4" t="s">
        <v>23</v>
      </c>
      <c r="P715" s="152"/>
    </row>
    <row r="716" spans="1:19" ht="18.95" customHeight="1" outlineLevel="1" x14ac:dyDescent="0.25">
      <c r="A716" s="148"/>
      <c r="B716" s="157"/>
      <c r="C716" s="148"/>
      <c r="D716" s="137">
        <v>43454</v>
      </c>
      <c r="E716" s="137" t="s">
        <v>741</v>
      </c>
      <c r="F716" s="12">
        <v>43466</v>
      </c>
      <c r="G716" s="12">
        <v>43646</v>
      </c>
      <c r="H716" s="149"/>
      <c r="I716" s="15" t="s">
        <v>23</v>
      </c>
      <c r="J716" s="14" t="s">
        <v>23</v>
      </c>
      <c r="K716" s="14" t="s">
        <v>23</v>
      </c>
      <c r="L716" s="5" t="s">
        <v>23</v>
      </c>
      <c r="M716" s="5" t="s">
        <v>23</v>
      </c>
      <c r="N716" s="5" t="s">
        <v>23</v>
      </c>
      <c r="O716" s="13">
        <v>985.34</v>
      </c>
      <c r="P716" s="153"/>
    </row>
    <row r="717" spans="1:19" ht="18.95" customHeight="1" outlineLevel="1" x14ac:dyDescent="0.25">
      <c r="A717" s="147"/>
      <c r="B717" s="157"/>
      <c r="C717" s="147"/>
      <c r="D717" s="141"/>
      <c r="E717" s="141"/>
      <c r="F717" s="12">
        <v>43647</v>
      </c>
      <c r="G717" s="12">
        <v>43830</v>
      </c>
      <c r="H717" s="151"/>
      <c r="I717" s="15" t="s">
        <v>23</v>
      </c>
      <c r="J717" s="14" t="s">
        <v>23</v>
      </c>
      <c r="K717" s="14" t="s">
        <v>23</v>
      </c>
      <c r="L717" s="5" t="s">
        <v>23</v>
      </c>
      <c r="M717" s="5" t="s">
        <v>23</v>
      </c>
      <c r="N717" s="5" t="s">
        <v>23</v>
      </c>
      <c r="O717" s="13">
        <v>1005.05</v>
      </c>
      <c r="P717" s="152"/>
    </row>
    <row r="718" spans="1:19" ht="18.95" customHeight="1" outlineLevel="1" x14ac:dyDescent="0.25">
      <c r="A718" s="146" t="s">
        <v>308</v>
      </c>
      <c r="B718" s="146" t="s">
        <v>178</v>
      </c>
      <c r="C718" s="146" t="s">
        <v>324</v>
      </c>
      <c r="D718" s="137">
        <v>43454</v>
      </c>
      <c r="E718" s="137" t="s">
        <v>790</v>
      </c>
      <c r="F718" s="12">
        <v>43466</v>
      </c>
      <c r="G718" s="12">
        <v>43646</v>
      </c>
      <c r="H718" s="146" t="s">
        <v>791</v>
      </c>
      <c r="I718" s="40">
        <v>336.65</v>
      </c>
      <c r="J718" s="14" t="s">
        <v>23</v>
      </c>
      <c r="K718" s="14" t="s">
        <v>23</v>
      </c>
      <c r="L718" s="5" t="s">
        <v>23</v>
      </c>
      <c r="M718" s="5" t="s">
        <v>23</v>
      </c>
      <c r="N718" s="5" t="s">
        <v>23</v>
      </c>
      <c r="O718" s="15" t="s">
        <v>85</v>
      </c>
      <c r="P718" s="153"/>
    </row>
    <row r="719" spans="1:19" ht="18.95" customHeight="1" outlineLevel="1" x14ac:dyDescent="0.25">
      <c r="A719" s="147"/>
      <c r="B719" s="147"/>
      <c r="C719" s="147"/>
      <c r="D719" s="141"/>
      <c r="E719" s="141"/>
      <c r="F719" s="12">
        <v>43647</v>
      </c>
      <c r="G719" s="12">
        <v>43830</v>
      </c>
      <c r="H719" s="147"/>
      <c r="I719" s="40">
        <v>341.66</v>
      </c>
      <c r="J719" s="14" t="s">
        <v>23</v>
      </c>
      <c r="K719" s="14" t="s">
        <v>23</v>
      </c>
      <c r="L719" s="5" t="s">
        <v>23</v>
      </c>
      <c r="M719" s="5" t="s">
        <v>23</v>
      </c>
      <c r="N719" s="5" t="s">
        <v>23</v>
      </c>
      <c r="O719" s="15" t="s">
        <v>85</v>
      </c>
      <c r="P719" s="152"/>
    </row>
    <row r="720" spans="1:19" ht="18.95" customHeight="1" outlineLevel="1" x14ac:dyDescent="0.25">
      <c r="A720" s="6">
        <v>8</v>
      </c>
      <c r="B720" s="6" t="s">
        <v>151</v>
      </c>
      <c r="C720" s="7"/>
      <c r="D720" s="7"/>
      <c r="E720" s="7"/>
      <c r="F720" s="7"/>
      <c r="G720" s="7"/>
      <c r="H720" s="7"/>
      <c r="I720" s="8"/>
      <c r="J720" s="31"/>
      <c r="K720" s="31"/>
      <c r="L720" s="32"/>
      <c r="M720" s="32"/>
      <c r="N720" s="32"/>
      <c r="O720" s="8"/>
      <c r="P720" s="9"/>
    </row>
    <row r="721" spans="1:16" ht="18.95" customHeight="1" outlineLevel="1" x14ac:dyDescent="0.25">
      <c r="A721" s="146" t="s">
        <v>20</v>
      </c>
      <c r="B721" s="146" t="s">
        <v>21</v>
      </c>
      <c r="C721" s="146" t="s">
        <v>295</v>
      </c>
      <c r="D721" s="137">
        <v>42723</v>
      </c>
      <c r="E721" s="137" t="s">
        <v>695</v>
      </c>
      <c r="F721" s="12">
        <v>43466</v>
      </c>
      <c r="G721" s="12">
        <v>43646</v>
      </c>
      <c r="H721" s="146" t="s">
        <v>797</v>
      </c>
      <c r="I721" s="13">
        <v>2019.3</v>
      </c>
      <c r="J721" s="14" t="s">
        <v>23</v>
      </c>
      <c r="K721" s="14" t="s">
        <v>23</v>
      </c>
      <c r="L721" s="5" t="s">
        <v>23</v>
      </c>
      <c r="M721" s="5" t="s">
        <v>23</v>
      </c>
      <c r="N721" s="5" t="s">
        <v>23</v>
      </c>
      <c r="O721" s="15" t="s">
        <v>23</v>
      </c>
      <c r="P721" s="153"/>
    </row>
    <row r="722" spans="1:16" ht="18.95" customHeight="1" outlineLevel="1" x14ac:dyDescent="0.25">
      <c r="A722" s="148"/>
      <c r="B722" s="148"/>
      <c r="C722" s="148"/>
      <c r="D722" s="141"/>
      <c r="E722" s="141"/>
      <c r="F722" s="12">
        <v>43647</v>
      </c>
      <c r="G722" s="12">
        <v>43830</v>
      </c>
      <c r="H722" s="147"/>
      <c r="I722" s="13">
        <v>2069.86</v>
      </c>
      <c r="J722" s="14" t="s">
        <v>23</v>
      </c>
      <c r="K722" s="14" t="s">
        <v>23</v>
      </c>
      <c r="L722" s="5" t="s">
        <v>23</v>
      </c>
      <c r="M722" s="5" t="s">
        <v>23</v>
      </c>
      <c r="N722" s="5" t="s">
        <v>23</v>
      </c>
      <c r="O722" s="43" t="s">
        <v>23</v>
      </c>
      <c r="P722" s="152"/>
    </row>
    <row r="723" spans="1:16" ht="18.95" customHeight="1" outlineLevel="1" x14ac:dyDescent="0.25">
      <c r="A723" s="148"/>
      <c r="B723" s="148"/>
      <c r="C723" s="148"/>
      <c r="D723" s="137">
        <v>43454</v>
      </c>
      <c r="E723" s="137" t="s">
        <v>796</v>
      </c>
      <c r="F723" s="12">
        <v>43466</v>
      </c>
      <c r="G723" s="12">
        <v>43646</v>
      </c>
      <c r="H723" s="149"/>
      <c r="I723" s="15" t="s">
        <v>23</v>
      </c>
      <c r="J723" s="14" t="s">
        <v>23</v>
      </c>
      <c r="K723" s="14" t="s">
        <v>23</v>
      </c>
      <c r="L723" s="5" t="s">
        <v>23</v>
      </c>
      <c r="M723" s="5" t="s">
        <v>23</v>
      </c>
      <c r="N723" s="5" t="s">
        <v>23</v>
      </c>
      <c r="O723" s="13">
        <v>2055.4499999999998</v>
      </c>
      <c r="P723" s="144" t="s">
        <v>444</v>
      </c>
    </row>
    <row r="724" spans="1:16" ht="18.95" customHeight="1" outlineLevel="1" x14ac:dyDescent="0.25">
      <c r="A724" s="148"/>
      <c r="B724" s="148"/>
      <c r="C724" s="148"/>
      <c r="D724" s="138"/>
      <c r="E724" s="138"/>
      <c r="F724" s="12">
        <v>43647</v>
      </c>
      <c r="G724" s="12">
        <v>43830</v>
      </c>
      <c r="H724" s="150"/>
      <c r="I724" s="15" t="s">
        <v>23</v>
      </c>
      <c r="J724" s="14" t="s">
        <v>23</v>
      </c>
      <c r="K724" s="14" t="s">
        <v>23</v>
      </c>
      <c r="L724" s="5" t="s">
        <v>23</v>
      </c>
      <c r="M724" s="5" t="s">
        <v>23</v>
      </c>
      <c r="N724" s="5" t="s">
        <v>23</v>
      </c>
      <c r="O724" s="13">
        <v>2096.56</v>
      </c>
      <c r="P724" s="145"/>
    </row>
    <row r="725" spans="1:16" ht="18.95" customHeight="1" outlineLevel="1" x14ac:dyDescent="0.25">
      <c r="A725" s="148"/>
      <c r="B725" s="148"/>
      <c r="C725" s="148"/>
      <c r="D725" s="138"/>
      <c r="E725" s="138"/>
      <c r="F725" s="12">
        <v>43466</v>
      </c>
      <c r="G725" s="12">
        <v>43646</v>
      </c>
      <c r="H725" s="150"/>
      <c r="I725" s="15" t="s">
        <v>23</v>
      </c>
      <c r="J725" s="14" t="s">
        <v>23</v>
      </c>
      <c r="K725" s="14" t="s">
        <v>23</v>
      </c>
      <c r="L725" s="5" t="s">
        <v>23</v>
      </c>
      <c r="M725" s="5" t="s">
        <v>23</v>
      </c>
      <c r="N725" s="5" t="s">
        <v>23</v>
      </c>
      <c r="O725" s="13">
        <v>1203.1099999999999</v>
      </c>
      <c r="P725" s="144" t="s">
        <v>446</v>
      </c>
    </row>
    <row r="726" spans="1:16" ht="18.95" customHeight="1" outlineLevel="1" x14ac:dyDescent="0.25">
      <c r="A726" s="147"/>
      <c r="B726" s="147"/>
      <c r="C726" s="148"/>
      <c r="D726" s="141"/>
      <c r="E726" s="141"/>
      <c r="F726" s="12">
        <v>43647</v>
      </c>
      <c r="G726" s="12">
        <v>43830</v>
      </c>
      <c r="H726" s="151"/>
      <c r="I726" s="15" t="s">
        <v>23</v>
      </c>
      <c r="J726" s="14" t="s">
        <v>23</v>
      </c>
      <c r="K726" s="14" t="s">
        <v>23</v>
      </c>
      <c r="L726" s="5" t="s">
        <v>23</v>
      </c>
      <c r="M726" s="5" t="s">
        <v>23</v>
      </c>
      <c r="N726" s="5" t="s">
        <v>23</v>
      </c>
      <c r="O726" s="13">
        <v>1227.17</v>
      </c>
      <c r="P726" s="145"/>
    </row>
    <row r="727" spans="1:16" ht="18.95" customHeight="1" outlineLevel="1" x14ac:dyDescent="0.25">
      <c r="A727" s="146" t="s">
        <v>20</v>
      </c>
      <c r="B727" s="146" t="s">
        <v>24</v>
      </c>
      <c r="C727" s="146" t="s">
        <v>779</v>
      </c>
      <c r="D727" s="137">
        <v>43087</v>
      </c>
      <c r="E727" s="137" t="s">
        <v>809</v>
      </c>
      <c r="F727" s="12">
        <v>43466</v>
      </c>
      <c r="G727" s="12">
        <v>43646</v>
      </c>
      <c r="H727" s="146" t="s">
        <v>818</v>
      </c>
      <c r="I727" s="13">
        <v>1901.69</v>
      </c>
      <c r="J727" s="14" t="s">
        <v>23</v>
      </c>
      <c r="K727" s="14" t="s">
        <v>23</v>
      </c>
      <c r="L727" s="5" t="s">
        <v>23</v>
      </c>
      <c r="M727" s="5" t="s">
        <v>23</v>
      </c>
      <c r="N727" s="5" t="s">
        <v>23</v>
      </c>
      <c r="O727" s="4" t="s">
        <v>23</v>
      </c>
      <c r="P727" s="153"/>
    </row>
    <row r="728" spans="1:16" ht="18.95" customHeight="1" outlineLevel="1" x14ac:dyDescent="0.25">
      <c r="A728" s="148"/>
      <c r="B728" s="148"/>
      <c r="C728" s="148"/>
      <c r="D728" s="141"/>
      <c r="E728" s="141"/>
      <c r="F728" s="12">
        <v>43647</v>
      </c>
      <c r="G728" s="12">
        <v>43830</v>
      </c>
      <c r="H728" s="147"/>
      <c r="I728" s="13">
        <v>2084.71</v>
      </c>
      <c r="J728" s="14" t="s">
        <v>23</v>
      </c>
      <c r="K728" s="14" t="s">
        <v>23</v>
      </c>
      <c r="L728" s="5" t="s">
        <v>23</v>
      </c>
      <c r="M728" s="5" t="s">
        <v>23</v>
      </c>
      <c r="N728" s="5" t="s">
        <v>23</v>
      </c>
      <c r="O728" s="4" t="s">
        <v>23</v>
      </c>
      <c r="P728" s="152"/>
    </row>
    <row r="729" spans="1:16" ht="18.95" customHeight="1" outlineLevel="1" x14ac:dyDescent="0.25">
      <c r="A729" s="148"/>
      <c r="B729" s="148"/>
      <c r="C729" s="148"/>
      <c r="D729" s="137">
        <v>43454</v>
      </c>
      <c r="E729" s="137" t="s">
        <v>817</v>
      </c>
      <c r="F729" s="12">
        <v>43466</v>
      </c>
      <c r="G729" s="12">
        <v>43646</v>
      </c>
      <c r="H729" s="149"/>
      <c r="I729" s="15" t="s">
        <v>23</v>
      </c>
      <c r="J729" s="14" t="s">
        <v>23</v>
      </c>
      <c r="K729" s="14" t="s">
        <v>23</v>
      </c>
      <c r="L729" s="5" t="s">
        <v>23</v>
      </c>
      <c r="M729" s="5" t="s">
        <v>23</v>
      </c>
      <c r="N729" s="5" t="s">
        <v>23</v>
      </c>
      <c r="O729" s="13">
        <v>2282.02</v>
      </c>
      <c r="P729" s="144" t="s">
        <v>444</v>
      </c>
    </row>
    <row r="730" spans="1:16" ht="18.95" customHeight="1" outlineLevel="1" x14ac:dyDescent="0.25">
      <c r="A730" s="148"/>
      <c r="B730" s="148"/>
      <c r="C730" s="148"/>
      <c r="D730" s="138"/>
      <c r="E730" s="138"/>
      <c r="F730" s="12">
        <v>43647</v>
      </c>
      <c r="G730" s="12">
        <v>43830</v>
      </c>
      <c r="H730" s="150"/>
      <c r="I730" s="15" t="s">
        <v>23</v>
      </c>
      <c r="J730" s="14" t="s">
        <v>23</v>
      </c>
      <c r="K730" s="14" t="s">
        <v>23</v>
      </c>
      <c r="L730" s="5" t="s">
        <v>23</v>
      </c>
      <c r="M730" s="5" t="s">
        <v>23</v>
      </c>
      <c r="N730" s="5" t="s">
        <v>23</v>
      </c>
      <c r="O730" s="13">
        <v>2327.66</v>
      </c>
      <c r="P730" s="145"/>
    </row>
    <row r="731" spans="1:16" ht="18.95" customHeight="1" outlineLevel="1" x14ac:dyDescent="0.25">
      <c r="A731" s="148"/>
      <c r="B731" s="148"/>
      <c r="C731" s="148"/>
      <c r="D731" s="138"/>
      <c r="E731" s="138"/>
      <c r="F731" s="12">
        <v>43466</v>
      </c>
      <c r="G731" s="12">
        <v>43646</v>
      </c>
      <c r="H731" s="150"/>
      <c r="I731" s="15" t="s">
        <v>23</v>
      </c>
      <c r="J731" s="14" t="s">
        <v>23</v>
      </c>
      <c r="K731" s="14" t="s">
        <v>23</v>
      </c>
      <c r="L731" s="5" t="s">
        <v>23</v>
      </c>
      <c r="M731" s="5" t="s">
        <v>23</v>
      </c>
      <c r="N731" s="5" t="s">
        <v>23</v>
      </c>
      <c r="O731" s="13">
        <v>1647.6</v>
      </c>
      <c r="P731" s="144" t="s">
        <v>446</v>
      </c>
    </row>
    <row r="732" spans="1:16" ht="18.95" customHeight="1" outlineLevel="1" x14ac:dyDescent="0.25">
      <c r="A732" s="147"/>
      <c r="B732" s="147"/>
      <c r="C732" s="148"/>
      <c r="D732" s="141"/>
      <c r="E732" s="141"/>
      <c r="F732" s="12">
        <v>43647</v>
      </c>
      <c r="G732" s="12">
        <v>43830</v>
      </c>
      <c r="H732" s="151"/>
      <c r="I732" s="15" t="s">
        <v>23</v>
      </c>
      <c r="J732" s="14" t="s">
        <v>23</v>
      </c>
      <c r="K732" s="14" t="s">
        <v>23</v>
      </c>
      <c r="L732" s="5" t="s">
        <v>23</v>
      </c>
      <c r="M732" s="5" t="s">
        <v>23</v>
      </c>
      <c r="N732" s="5" t="s">
        <v>23</v>
      </c>
      <c r="O732" s="13">
        <v>1680.55</v>
      </c>
      <c r="P732" s="145"/>
    </row>
    <row r="733" spans="1:16" ht="18.95" customHeight="1" outlineLevel="1" x14ac:dyDescent="0.25">
      <c r="A733" s="146" t="s">
        <v>20</v>
      </c>
      <c r="B733" s="146" t="s">
        <v>25</v>
      </c>
      <c r="C733" s="148"/>
      <c r="D733" s="137">
        <v>43087</v>
      </c>
      <c r="E733" s="137" t="s">
        <v>809</v>
      </c>
      <c r="F733" s="12">
        <v>43466</v>
      </c>
      <c r="G733" s="12">
        <v>43646</v>
      </c>
      <c r="H733" s="146" t="s">
        <v>818</v>
      </c>
      <c r="I733" s="13">
        <v>1901.69</v>
      </c>
      <c r="J733" s="14" t="s">
        <v>23</v>
      </c>
      <c r="K733" s="14" t="s">
        <v>23</v>
      </c>
      <c r="L733" s="5" t="s">
        <v>23</v>
      </c>
      <c r="M733" s="5" t="s">
        <v>23</v>
      </c>
      <c r="N733" s="5" t="s">
        <v>23</v>
      </c>
      <c r="O733" s="4" t="s">
        <v>23</v>
      </c>
      <c r="P733" s="153"/>
    </row>
    <row r="734" spans="1:16" ht="18.95" customHeight="1" outlineLevel="1" x14ac:dyDescent="0.25">
      <c r="A734" s="148"/>
      <c r="B734" s="148"/>
      <c r="C734" s="148"/>
      <c r="D734" s="141"/>
      <c r="E734" s="141"/>
      <c r="F734" s="12">
        <v>43647</v>
      </c>
      <c r="G734" s="12">
        <v>43830</v>
      </c>
      <c r="H734" s="147"/>
      <c r="I734" s="13">
        <v>2084.71</v>
      </c>
      <c r="J734" s="14" t="s">
        <v>23</v>
      </c>
      <c r="K734" s="14" t="s">
        <v>23</v>
      </c>
      <c r="L734" s="5" t="s">
        <v>23</v>
      </c>
      <c r="M734" s="5" t="s">
        <v>23</v>
      </c>
      <c r="N734" s="5" t="s">
        <v>23</v>
      </c>
      <c r="O734" s="4" t="s">
        <v>23</v>
      </c>
      <c r="P734" s="152"/>
    </row>
    <row r="735" spans="1:16" ht="18.95" customHeight="1" outlineLevel="1" x14ac:dyDescent="0.25">
      <c r="A735" s="148"/>
      <c r="B735" s="148"/>
      <c r="C735" s="148"/>
      <c r="D735" s="137">
        <v>43454</v>
      </c>
      <c r="E735" s="137" t="s">
        <v>817</v>
      </c>
      <c r="F735" s="12">
        <v>43466</v>
      </c>
      <c r="G735" s="12">
        <v>43646</v>
      </c>
      <c r="H735" s="149"/>
      <c r="I735" s="15" t="s">
        <v>23</v>
      </c>
      <c r="J735" s="14" t="s">
        <v>23</v>
      </c>
      <c r="K735" s="14" t="s">
        <v>23</v>
      </c>
      <c r="L735" s="5" t="s">
        <v>23</v>
      </c>
      <c r="M735" s="5" t="s">
        <v>23</v>
      </c>
      <c r="N735" s="5" t="s">
        <v>23</v>
      </c>
      <c r="O735" s="13">
        <v>2282.02</v>
      </c>
      <c r="P735" s="41"/>
    </row>
    <row r="736" spans="1:16" ht="18.95" customHeight="1" outlineLevel="1" x14ac:dyDescent="0.25">
      <c r="A736" s="148"/>
      <c r="B736" s="148"/>
      <c r="C736" s="148"/>
      <c r="D736" s="141"/>
      <c r="E736" s="141"/>
      <c r="F736" s="12">
        <v>43647</v>
      </c>
      <c r="G736" s="12">
        <v>43830</v>
      </c>
      <c r="H736" s="151"/>
      <c r="I736" s="15" t="s">
        <v>23</v>
      </c>
      <c r="J736" s="14" t="s">
        <v>23</v>
      </c>
      <c r="K736" s="14" t="s">
        <v>23</v>
      </c>
      <c r="L736" s="5" t="s">
        <v>23</v>
      </c>
      <c r="M736" s="5" t="s">
        <v>23</v>
      </c>
      <c r="N736" s="5" t="s">
        <v>23</v>
      </c>
      <c r="O736" s="13">
        <v>2327.66</v>
      </c>
      <c r="P736" s="41"/>
    </row>
    <row r="737" spans="1:16" ht="18.95" customHeight="1" outlineLevel="1" x14ac:dyDescent="0.25">
      <c r="A737" s="146" t="s">
        <v>20</v>
      </c>
      <c r="B737" s="157" t="s">
        <v>26</v>
      </c>
      <c r="C737" s="148"/>
      <c r="D737" s="137">
        <v>43087</v>
      </c>
      <c r="E737" s="137" t="s">
        <v>809</v>
      </c>
      <c r="F737" s="12">
        <v>43466</v>
      </c>
      <c r="G737" s="12">
        <v>43646</v>
      </c>
      <c r="H737" s="146" t="s">
        <v>818</v>
      </c>
      <c r="I737" s="13">
        <v>1901.69</v>
      </c>
      <c r="J737" s="14" t="s">
        <v>23</v>
      </c>
      <c r="K737" s="14" t="s">
        <v>23</v>
      </c>
      <c r="L737" s="5" t="s">
        <v>23</v>
      </c>
      <c r="M737" s="5" t="s">
        <v>23</v>
      </c>
      <c r="N737" s="5" t="s">
        <v>23</v>
      </c>
      <c r="O737" s="4" t="s">
        <v>23</v>
      </c>
      <c r="P737" s="41"/>
    </row>
    <row r="738" spans="1:16" ht="18.95" customHeight="1" outlineLevel="1" x14ac:dyDescent="0.25">
      <c r="A738" s="148"/>
      <c r="B738" s="157"/>
      <c r="C738" s="148"/>
      <c r="D738" s="141"/>
      <c r="E738" s="141"/>
      <c r="F738" s="12">
        <v>43647</v>
      </c>
      <c r="G738" s="12">
        <v>43830</v>
      </c>
      <c r="H738" s="147"/>
      <c r="I738" s="13">
        <v>2084.71</v>
      </c>
      <c r="J738" s="14" t="s">
        <v>23</v>
      </c>
      <c r="K738" s="14" t="s">
        <v>23</v>
      </c>
      <c r="L738" s="5" t="s">
        <v>23</v>
      </c>
      <c r="M738" s="5" t="s">
        <v>23</v>
      </c>
      <c r="N738" s="5" t="s">
        <v>23</v>
      </c>
      <c r="O738" s="4" t="s">
        <v>23</v>
      </c>
      <c r="P738" s="41"/>
    </row>
    <row r="739" spans="1:16" ht="18.95" customHeight="1" outlineLevel="1" x14ac:dyDescent="0.25">
      <c r="A739" s="148"/>
      <c r="B739" s="157"/>
      <c r="C739" s="148"/>
      <c r="D739" s="137">
        <v>43454</v>
      </c>
      <c r="E739" s="137" t="s">
        <v>817</v>
      </c>
      <c r="F739" s="12">
        <v>43466</v>
      </c>
      <c r="G739" s="12">
        <v>43646</v>
      </c>
      <c r="H739" s="149"/>
      <c r="I739" s="15" t="s">
        <v>23</v>
      </c>
      <c r="J739" s="14" t="s">
        <v>23</v>
      </c>
      <c r="K739" s="14" t="s">
        <v>23</v>
      </c>
      <c r="L739" s="5" t="s">
        <v>23</v>
      </c>
      <c r="M739" s="5" t="s">
        <v>23</v>
      </c>
      <c r="N739" s="5" t="s">
        <v>23</v>
      </c>
      <c r="O739" s="13">
        <v>2259.62</v>
      </c>
      <c r="P739" s="153"/>
    </row>
    <row r="740" spans="1:16" ht="18.95" customHeight="1" outlineLevel="1" x14ac:dyDescent="0.25">
      <c r="A740" s="147"/>
      <c r="B740" s="157"/>
      <c r="C740" s="147"/>
      <c r="D740" s="141"/>
      <c r="E740" s="141"/>
      <c r="F740" s="12">
        <v>43647</v>
      </c>
      <c r="G740" s="12">
        <v>43830</v>
      </c>
      <c r="H740" s="151"/>
      <c r="I740" s="15" t="s">
        <v>23</v>
      </c>
      <c r="J740" s="14" t="s">
        <v>23</v>
      </c>
      <c r="K740" s="14" t="s">
        <v>23</v>
      </c>
      <c r="L740" s="5" t="s">
        <v>23</v>
      </c>
      <c r="M740" s="5" t="s">
        <v>23</v>
      </c>
      <c r="N740" s="5" t="s">
        <v>23</v>
      </c>
      <c r="O740" s="13">
        <v>2304.81</v>
      </c>
      <c r="P740" s="152"/>
    </row>
    <row r="741" spans="1:16" ht="18.95" customHeight="1" outlineLevel="1" x14ac:dyDescent="0.25">
      <c r="A741" s="146" t="s">
        <v>20</v>
      </c>
      <c r="B741" s="146" t="s">
        <v>26</v>
      </c>
      <c r="C741" s="146" t="s">
        <v>812</v>
      </c>
      <c r="D741" s="137">
        <v>43461</v>
      </c>
      <c r="E741" s="137" t="s">
        <v>813</v>
      </c>
      <c r="F741" s="12">
        <v>43466</v>
      </c>
      <c r="G741" s="12">
        <v>43646</v>
      </c>
      <c r="H741" s="149"/>
      <c r="I741" s="13">
        <v>8901.4</v>
      </c>
      <c r="J741" s="115"/>
      <c r="K741" s="115"/>
      <c r="L741" s="117"/>
      <c r="M741" s="117"/>
      <c r="N741" s="117"/>
      <c r="O741" s="116" t="s">
        <v>23</v>
      </c>
      <c r="P741" s="114"/>
    </row>
    <row r="742" spans="1:16" ht="18.95" customHeight="1" outlineLevel="1" x14ac:dyDescent="0.25">
      <c r="A742" s="147"/>
      <c r="B742" s="147"/>
      <c r="C742" s="147"/>
      <c r="D742" s="141"/>
      <c r="E742" s="141"/>
      <c r="F742" s="12">
        <v>43647</v>
      </c>
      <c r="G742" s="12">
        <v>43830</v>
      </c>
      <c r="H742" s="151"/>
      <c r="I742" s="13">
        <v>9035.3799999999992</v>
      </c>
      <c r="J742" s="115"/>
      <c r="K742" s="115"/>
      <c r="L742" s="117"/>
      <c r="M742" s="117"/>
      <c r="N742" s="117"/>
      <c r="O742" s="116" t="s">
        <v>23</v>
      </c>
      <c r="P742" s="114"/>
    </row>
    <row r="743" spans="1:16" ht="18.95" customHeight="1" outlineLevel="1" x14ac:dyDescent="0.25">
      <c r="A743" s="146" t="s">
        <v>20</v>
      </c>
      <c r="B743" s="146" t="s">
        <v>26</v>
      </c>
      <c r="C743" s="146" t="s">
        <v>296</v>
      </c>
      <c r="D743" s="137">
        <v>43453</v>
      </c>
      <c r="E743" s="137" t="s">
        <v>815</v>
      </c>
      <c r="F743" s="12">
        <v>43466</v>
      </c>
      <c r="G743" s="12">
        <v>43646</v>
      </c>
      <c r="H743" s="146"/>
      <c r="I743" s="13">
        <v>4326.43</v>
      </c>
      <c r="J743" s="14" t="s">
        <v>23</v>
      </c>
      <c r="K743" s="14" t="s">
        <v>23</v>
      </c>
      <c r="L743" s="5" t="s">
        <v>23</v>
      </c>
      <c r="M743" s="5" t="s">
        <v>23</v>
      </c>
      <c r="N743" s="5" t="s">
        <v>23</v>
      </c>
      <c r="O743" s="15" t="s">
        <v>23</v>
      </c>
      <c r="P743" s="153"/>
    </row>
    <row r="744" spans="1:16" ht="18.95" customHeight="1" outlineLevel="1" x14ac:dyDescent="0.25">
      <c r="A744" s="147"/>
      <c r="B744" s="147"/>
      <c r="C744" s="148"/>
      <c r="D744" s="141"/>
      <c r="E744" s="141"/>
      <c r="F744" s="12">
        <v>43647</v>
      </c>
      <c r="G744" s="12">
        <v>43830</v>
      </c>
      <c r="H744" s="147"/>
      <c r="I744" s="13">
        <v>7243.94</v>
      </c>
      <c r="J744" s="14" t="s">
        <v>23</v>
      </c>
      <c r="K744" s="14" t="s">
        <v>23</v>
      </c>
      <c r="L744" s="5" t="s">
        <v>23</v>
      </c>
      <c r="M744" s="5" t="s">
        <v>23</v>
      </c>
      <c r="N744" s="5" t="s">
        <v>23</v>
      </c>
      <c r="O744" s="15" t="s">
        <v>23</v>
      </c>
      <c r="P744" s="152"/>
    </row>
    <row r="745" spans="1:16" ht="18.95" customHeight="1" outlineLevel="1" x14ac:dyDescent="0.25">
      <c r="A745" s="146" t="s">
        <v>20</v>
      </c>
      <c r="B745" s="146" t="s">
        <v>26</v>
      </c>
      <c r="C745" s="157" t="s">
        <v>814</v>
      </c>
      <c r="D745" s="137">
        <v>43497</v>
      </c>
      <c r="E745" s="137" t="s">
        <v>823</v>
      </c>
      <c r="F745" s="12">
        <v>43466</v>
      </c>
      <c r="G745" s="12">
        <v>43646</v>
      </c>
      <c r="H745" s="146"/>
      <c r="I745" s="13">
        <v>7356</v>
      </c>
      <c r="J745" s="14" t="s">
        <v>23</v>
      </c>
      <c r="K745" s="14" t="s">
        <v>23</v>
      </c>
      <c r="L745" s="5" t="s">
        <v>23</v>
      </c>
      <c r="M745" s="5" t="s">
        <v>23</v>
      </c>
      <c r="N745" s="5" t="s">
        <v>23</v>
      </c>
      <c r="O745" s="15" t="s">
        <v>23</v>
      </c>
      <c r="P745" s="153"/>
    </row>
    <row r="746" spans="1:16" ht="18.95" customHeight="1" outlineLevel="1" x14ac:dyDescent="0.25">
      <c r="A746" s="148"/>
      <c r="B746" s="148"/>
      <c r="C746" s="157"/>
      <c r="D746" s="141"/>
      <c r="E746" s="141"/>
      <c r="F746" s="12">
        <v>43647</v>
      </c>
      <c r="G746" s="12">
        <v>43830</v>
      </c>
      <c r="H746" s="147"/>
      <c r="I746" s="13">
        <v>7497.4</v>
      </c>
      <c r="J746" s="14" t="s">
        <v>23</v>
      </c>
      <c r="K746" s="14" t="s">
        <v>23</v>
      </c>
      <c r="L746" s="5" t="s">
        <v>23</v>
      </c>
      <c r="M746" s="5" t="s">
        <v>23</v>
      </c>
      <c r="N746" s="5" t="s">
        <v>23</v>
      </c>
      <c r="O746" s="15" t="s">
        <v>23</v>
      </c>
      <c r="P746" s="152"/>
    </row>
    <row r="747" spans="1:16" ht="18.95" customHeight="1" outlineLevel="1" x14ac:dyDescent="0.25">
      <c r="A747" s="148"/>
      <c r="B747" s="148"/>
      <c r="C747" s="157"/>
      <c r="D747" s="137">
        <v>43454</v>
      </c>
      <c r="E747" s="137" t="s">
        <v>817</v>
      </c>
      <c r="F747" s="12">
        <v>43466</v>
      </c>
      <c r="G747" s="12">
        <v>43646</v>
      </c>
      <c r="H747" s="149"/>
      <c r="I747" s="15" t="s">
        <v>23</v>
      </c>
      <c r="J747" s="14" t="s">
        <v>23</v>
      </c>
      <c r="K747" s="14" t="s">
        <v>23</v>
      </c>
      <c r="L747" s="5" t="s">
        <v>23</v>
      </c>
      <c r="M747" s="5" t="s">
        <v>23</v>
      </c>
      <c r="N747" s="5" t="s">
        <v>23</v>
      </c>
      <c r="O747" s="13">
        <v>2253.13</v>
      </c>
      <c r="P747" s="153"/>
    </row>
    <row r="748" spans="1:16" ht="18.95" customHeight="1" outlineLevel="1" x14ac:dyDescent="0.25">
      <c r="A748" s="147"/>
      <c r="B748" s="147"/>
      <c r="C748" s="157"/>
      <c r="D748" s="141"/>
      <c r="E748" s="141"/>
      <c r="F748" s="12">
        <v>43647</v>
      </c>
      <c r="G748" s="12">
        <v>43830</v>
      </c>
      <c r="H748" s="151"/>
      <c r="I748" s="15" t="s">
        <v>23</v>
      </c>
      <c r="J748" s="14" t="s">
        <v>23</v>
      </c>
      <c r="K748" s="14" t="s">
        <v>23</v>
      </c>
      <c r="L748" s="5" t="s">
        <v>23</v>
      </c>
      <c r="M748" s="5" t="s">
        <v>23</v>
      </c>
      <c r="N748" s="5" t="s">
        <v>23</v>
      </c>
      <c r="O748" s="13">
        <v>2298.19</v>
      </c>
      <c r="P748" s="152"/>
    </row>
    <row r="749" spans="1:16" ht="18.95" customHeight="1" outlineLevel="1" x14ac:dyDescent="0.25">
      <c r="A749" s="146" t="s">
        <v>20</v>
      </c>
      <c r="B749" s="146" t="s">
        <v>27</v>
      </c>
      <c r="C749" s="157"/>
      <c r="D749" s="137">
        <v>43497</v>
      </c>
      <c r="E749" s="137" t="s">
        <v>823</v>
      </c>
      <c r="F749" s="12">
        <v>43466</v>
      </c>
      <c r="G749" s="12">
        <v>43646</v>
      </c>
      <c r="H749" s="146"/>
      <c r="I749" s="13">
        <v>7356</v>
      </c>
      <c r="J749" s="14" t="s">
        <v>23</v>
      </c>
      <c r="K749" s="14" t="s">
        <v>23</v>
      </c>
      <c r="L749" s="5" t="s">
        <v>23</v>
      </c>
      <c r="M749" s="5" t="s">
        <v>23</v>
      </c>
      <c r="N749" s="5" t="s">
        <v>23</v>
      </c>
      <c r="O749" s="15" t="s">
        <v>23</v>
      </c>
      <c r="P749" s="153"/>
    </row>
    <row r="750" spans="1:16" ht="18.95" customHeight="1" outlineLevel="1" x14ac:dyDescent="0.25">
      <c r="A750" s="148"/>
      <c r="B750" s="148"/>
      <c r="C750" s="157"/>
      <c r="D750" s="141"/>
      <c r="E750" s="141"/>
      <c r="F750" s="12">
        <v>43647</v>
      </c>
      <c r="G750" s="12">
        <v>43830</v>
      </c>
      <c r="H750" s="147"/>
      <c r="I750" s="13">
        <v>7497.4</v>
      </c>
      <c r="J750" s="14" t="s">
        <v>23</v>
      </c>
      <c r="K750" s="14" t="s">
        <v>23</v>
      </c>
      <c r="L750" s="5" t="s">
        <v>23</v>
      </c>
      <c r="M750" s="5" t="s">
        <v>23</v>
      </c>
      <c r="N750" s="5" t="s">
        <v>23</v>
      </c>
      <c r="O750" s="15" t="s">
        <v>23</v>
      </c>
      <c r="P750" s="152"/>
    </row>
    <row r="751" spans="1:16" ht="18.95" customHeight="1" outlineLevel="1" x14ac:dyDescent="0.25">
      <c r="A751" s="148"/>
      <c r="B751" s="148"/>
      <c r="C751" s="157"/>
      <c r="D751" s="137">
        <v>43454</v>
      </c>
      <c r="E751" s="137" t="s">
        <v>817</v>
      </c>
      <c r="F751" s="12">
        <v>43466</v>
      </c>
      <c r="G751" s="12">
        <v>43646</v>
      </c>
      <c r="H751" s="149"/>
      <c r="I751" s="15" t="s">
        <v>23</v>
      </c>
      <c r="J751" s="14" t="s">
        <v>23</v>
      </c>
      <c r="K751" s="14" t="s">
        <v>23</v>
      </c>
      <c r="L751" s="5" t="s">
        <v>23</v>
      </c>
      <c r="M751" s="5" t="s">
        <v>23</v>
      </c>
      <c r="N751" s="5" t="s">
        <v>23</v>
      </c>
      <c r="O751" s="13">
        <v>2211.81</v>
      </c>
      <c r="P751" s="153"/>
    </row>
    <row r="752" spans="1:16" ht="18.95" customHeight="1" outlineLevel="1" x14ac:dyDescent="0.25">
      <c r="A752" s="147"/>
      <c r="B752" s="147"/>
      <c r="C752" s="157"/>
      <c r="D752" s="141"/>
      <c r="E752" s="141"/>
      <c r="F752" s="12">
        <v>43647</v>
      </c>
      <c r="G752" s="12">
        <v>43830</v>
      </c>
      <c r="H752" s="151"/>
      <c r="I752" s="15" t="s">
        <v>23</v>
      </c>
      <c r="J752" s="14" t="s">
        <v>23</v>
      </c>
      <c r="K752" s="14" t="s">
        <v>23</v>
      </c>
      <c r="L752" s="5" t="s">
        <v>23</v>
      </c>
      <c r="M752" s="5" t="s">
        <v>23</v>
      </c>
      <c r="N752" s="5" t="s">
        <v>23</v>
      </c>
      <c r="O752" s="13">
        <v>2256.0500000000002</v>
      </c>
      <c r="P752" s="152"/>
    </row>
    <row r="753" spans="1:19" ht="18.95" customHeight="1" outlineLevel="1" x14ac:dyDescent="0.25">
      <c r="A753" s="146" t="s">
        <v>20</v>
      </c>
      <c r="B753" s="146" t="s">
        <v>30</v>
      </c>
      <c r="C753" s="157" t="s">
        <v>598</v>
      </c>
      <c r="D753" s="137">
        <v>43448</v>
      </c>
      <c r="E753" s="137" t="s">
        <v>819</v>
      </c>
      <c r="F753" s="12">
        <v>43466</v>
      </c>
      <c r="G753" s="12">
        <v>43646</v>
      </c>
      <c r="H753" s="146"/>
      <c r="I753" s="13">
        <v>5772.37</v>
      </c>
      <c r="J753" s="14" t="s">
        <v>23</v>
      </c>
      <c r="K753" s="14" t="s">
        <v>23</v>
      </c>
      <c r="L753" s="5" t="s">
        <v>23</v>
      </c>
      <c r="M753" s="5" t="s">
        <v>23</v>
      </c>
      <c r="N753" s="5" t="s">
        <v>23</v>
      </c>
      <c r="O753" s="15" t="s">
        <v>23</v>
      </c>
      <c r="P753" s="153" t="s">
        <v>29</v>
      </c>
    </row>
    <row r="754" spans="1:19" s="10" customFormat="1" ht="18.95" customHeight="1" x14ac:dyDescent="0.25">
      <c r="A754" s="148"/>
      <c r="B754" s="148"/>
      <c r="C754" s="157"/>
      <c r="D754" s="141"/>
      <c r="E754" s="141"/>
      <c r="F754" s="12">
        <v>43647</v>
      </c>
      <c r="G754" s="12">
        <v>43830</v>
      </c>
      <c r="H754" s="147"/>
      <c r="I754" s="13">
        <v>7503.04</v>
      </c>
      <c r="J754" s="14" t="s">
        <v>23</v>
      </c>
      <c r="K754" s="14" t="s">
        <v>23</v>
      </c>
      <c r="L754" s="5" t="s">
        <v>23</v>
      </c>
      <c r="M754" s="5" t="s">
        <v>23</v>
      </c>
      <c r="N754" s="5" t="s">
        <v>23</v>
      </c>
      <c r="O754" s="15" t="s">
        <v>23</v>
      </c>
      <c r="P754" s="169"/>
      <c r="S754" s="11"/>
    </row>
    <row r="755" spans="1:19" s="17" customFormat="1" ht="18.95" customHeight="1" outlineLevel="1" x14ac:dyDescent="0.25">
      <c r="A755" s="148"/>
      <c r="B755" s="148"/>
      <c r="C755" s="157"/>
      <c r="D755" s="137">
        <v>43454</v>
      </c>
      <c r="E755" s="137" t="s">
        <v>817</v>
      </c>
      <c r="F755" s="12">
        <v>43466</v>
      </c>
      <c r="G755" s="12">
        <v>43646</v>
      </c>
      <c r="H755" s="149"/>
      <c r="I755" s="15" t="s">
        <v>23</v>
      </c>
      <c r="J755" s="14" t="s">
        <v>23</v>
      </c>
      <c r="K755" s="14" t="s">
        <v>23</v>
      </c>
      <c r="L755" s="5" t="s">
        <v>23</v>
      </c>
      <c r="M755" s="5" t="s">
        <v>23</v>
      </c>
      <c r="N755" s="5" t="s">
        <v>23</v>
      </c>
      <c r="O755" s="13">
        <v>2103.39</v>
      </c>
      <c r="P755" s="169"/>
      <c r="S755" s="18"/>
    </row>
    <row r="756" spans="1:19" s="17" customFormat="1" ht="18.95" customHeight="1" outlineLevel="1" x14ac:dyDescent="0.25">
      <c r="A756" s="147"/>
      <c r="B756" s="147"/>
      <c r="C756" s="157"/>
      <c r="D756" s="141"/>
      <c r="E756" s="141"/>
      <c r="F756" s="12">
        <v>43647</v>
      </c>
      <c r="G756" s="12">
        <v>43830</v>
      </c>
      <c r="H756" s="151"/>
      <c r="I756" s="15" t="s">
        <v>23</v>
      </c>
      <c r="J756" s="14" t="s">
        <v>23</v>
      </c>
      <c r="K756" s="14" t="s">
        <v>23</v>
      </c>
      <c r="L756" s="5" t="s">
        <v>23</v>
      </c>
      <c r="M756" s="5" t="s">
        <v>23</v>
      </c>
      <c r="N756" s="5" t="s">
        <v>23</v>
      </c>
      <c r="O756" s="13">
        <v>2145.46</v>
      </c>
      <c r="P756" s="152"/>
      <c r="S756" s="18"/>
    </row>
    <row r="757" spans="1:19" s="17" customFormat="1" ht="18.95" customHeight="1" outlineLevel="1" x14ac:dyDescent="0.25">
      <c r="A757" s="146" t="s">
        <v>20</v>
      </c>
      <c r="B757" s="146" t="s">
        <v>31</v>
      </c>
      <c r="C757" s="157"/>
      <c r="D757" s="137">
        <v>43448</v>
      </c>
      <c r="E757" s="137" t="s">
        <v>819</v>
      </c>
      <c r="F757" s="12">
        <v>43466</v>
      </c>
      <c r="G757" s="12">
        <v>43646</v>
      </c>
      <c r="H757" s="146"/>
      <c r="I757" s="13">
        <v>6865.12</v>
      </c>
      <c r="J757" s="14" t="s">
        <v>23</v>
      </c>
      <c r="K757" s="14" t="s">
        <v>23</v>
      </c>
      <c r="L757" s="5" t="s">
        <v>23</v>
      </c>
      <c r="M757" s="5" t="s">
        <v>23</v>
      </c>
      <c r="N757" s="5" t="s">
        <v>23</v>
      </c>
      <c r="O757" s="15" t="s">
        <v>23</v>
      </c>
      <c r="P757" s="153" t="s">
        <v>29</v>
      </c>
      <c r="S757" s="18"/>
    </row>
    <row r="758" spans="1:19" s="17" customFormat="1" ht="18.95" customHeight="1" outlineLevel="1" x14ac:dyDescent="0.25">
      <c r="A758" s="148"/>
      <c r="B758" s="148"/>
      <c r="C758" s="157"/>
      <c r="D758" s="141"/>
      <c r="E758" s="141"/>
      <c r="F758" s="12">
        <v>43647</v>
      </c>
      <c r="G758" s="12">
        <v>43830</v>
      </c>
      <c r="H758" s="147"/>
      <c r="I758" s="13">
        <v>8142.42</v>
      </c>
      <c r="J758" s="14" t="s">
        <v>23</v>
      </c>
      <c r="K758" s="14" t="s">
        <v>23</v>
      </c>
      <c r="L758" s="5" t="s">
        <v>23</v>
      </c>
      <c r="M758" s="5" t="s">
        <v>23</v>
      </c>
      <c r="N758" s="5" t="s">
        <v>23</v>
      </c>
      <c r="O758" s="15" t="s">
        <v>23</v>
      </c>
      <c r="P758" s="169"/>
      <c r="S758" s="18"/>
    </row>
    <row r="759" spans="1:19" s="17" customFormat="1" ht="18.95" customHeight="1" outlineLevel="1" x14ac:dyDescent="0.25">
      <c r="A759" s="148"/>
      <c r="B759" s="148"/>
      <c r="C759" s="157"/>
      <c r="D759" s="137">
        <v>43454</v>
      </c>
      <c r="E759" s="137" t="s">
        <v>817</v>
      </c>
      <c r="F759" s="12">
        <v>43466</v>
      </c>
      <c r="G759" s="12">
        <v>43646</v>
      </c>
      <c r="H759" s="149"/>
      <c r="I759" s="15" t="s">
        <v>23</v>
      </c>
      <c r="J759" s="14" t="s">
        <v>23</v>
      </c>
      <c r="K759" s="14" t="s">
        <v>23</v>
      </c>
      <c r="L759" s="5" t="s">
        <v>23</v>
      </c>
      <c r="M759" s="5" t="s">
        <v>23</v>
      </c>
      <c r="N759" s="5" t="s">
        <v>23</v>
      </c>
      <c r="O759" s="13">
        <v>2577.5500000000002</v>
      </c>
      <c r="P759" s="169"/>
      <c r="S759" s="18"/>
    </row>
    <row r="760" spans="1:19" s="17" customFormat="1" ht="18.95" customHeight="1" outlineLevel="1" x14ac:dyDescent="0.25">
      <c r="A760" s="147"/>
      <c r="B760" s="147"/>
      <c r="C760" s="157"/>
      <c r="D760" s="141"/>
      <c r="E760" s="141"/>
      <c r="F760" s="12">
        <v>43647</v>
      </c>
      <c r="G760" s="12">
        <v>43830</v>
      </c>
      <c r="H760" s="151"/>
      <c r="I760" s="15" t="s">
        <v>23</v>
      </c>
      <c r="J760" s="14" t="s">
        <v>23</v>
      </c>
      <c r="K760" s="14" t="s">
        <v>23</v>
      </c>
      <c r="L760" s="5" t="s">
        <v>23</v>
      </c>
      <c r="M760" s="5" t="s">
        <v>23</v>
      </c>
      <c r="N760" s="5" t="s">
        <v>23</v>
      </c>
      <c r="O760" s="13">
        <v>2577.5500000000002</v>
      </c>
      <c r="P760" s="152"/>
      <c r="S760" s="18"/>
    </row>
    <row r="761" spans="1:19" s="17" customFormat="1" ht="18.95" customHeight="1" outlineLevel="1" x14ac:dyDescent="0.25">
      <c r="A761" s="146" t="s">
        <v>20</v>
      </c>
      <c r="B761" s="146" t="s">
        <v>32</v>
      </c>
      <c r="C761" s="146" t="s">
        <v>33</v>
      </c>
      <c r="D761" s="137">
        <v>43448</v>
      </c>
      <c r="E761" s="137" t="s">
        <v>822</v>
      </c>
      <c r="F761" s="12">
        <v>43466</v>
      </c>
      <c r="G761" s="12">
        <v>43646</v>
      </c>
      <c r="H761" s="146"/>
      <c r="I761" s="13">
        <v>3462.8</v>
      </c>
      <c r="J761" s="14" t="s">
        <v>23</v>
      </c>
      <c r="K761" s="14" t="s">
        <v>23</v>
      </c>
      <c r="L761" s="5" t="s">
        <v>23</v>
      </c>
      <c r="M761" s="5" t="s">
        <v>23</v>
      </c>
      <c r="N761" s="5" t="s">
        <v>23</v>
      </c>
      <c r="O761" s="15" t="s">
        <v>23</v>
      </c>
      <c r="P761" s="153" t="s">
        <v>29</v>
      </c>
      <c r="Q761" s="17" t="e">
        <f t="shared" ref="Q761:Q770" si="9">O761/1.2</f>
        <v>#VALUE!</v>
      </c>
      <c r="S761" s="18"/>
    </row>
    <row r="762" spans="1:19" s="17" customFormat="1" ht="18.95" customHeight="1" outlineLevel="1" x14ac:dyDescent="0.25">
      <c r="A762" s="148"/>
      <c r="B762" s="148"/>
      <c r="C762" s="148"/>
      <c r="D762" s="141"/>
      <c r="E762" s="141"/>
      <c r="F762" s="12">
        <v>43647</v>
      </c>
      <c r="G762" s="12">
        <v>43830</v>
      </c>
      <c r="H762" s="147"/>
      <c r="I762" s="13">
        <v>4437.87</v>
      </c>
      <c r="J762" s="14" t="s">
        <v>23</v>
      </c>
      <c r="K762" s="14" t="s">
        <v>23</v>
      </c>
      <c r="L762" s="5" t="s">
        <v>23</v>
      </c>
      <c r="M762" s="5" t="s">
        <v>23</v>
      </c>
      <c r="N762" s="5" t="s">
        <v>23</v>
      </c>
      <c r="O762" s="15" t="s">
        <v>23</v>
      </c>
      <c r="P762" s="169"/>
      <c r="Q762" s="17" t="e">
        <f t="shared" si="9"/>
        <v>#VALUE!</v>
      </c>
      <c r="S762" s="18"/>
    </row>
    <row r="763" spans="1:19" s="17" customFormat="1" ht="18.95" customHeight="1" outlineLevel="1" x14ac:dyDescent="0.25">
      <c r="A763" s="148"/>
      <c r="B763" s="148"/>
      <c r="C763" s="148"/>
      <c r="D763" s="137">
        <v>43454</v>
      </c>
      <c r="E763" s="137" t="s">
        <v>817</v>
      </c>
      <c r="F763" s="12">
        <v>43466</v>
      </c>
      <c r="G763" s="12">
        <v>43646</v>
      </c>
      <c r="H763" s="149"/>
      <c r="I763" s="15" t="s">
        <v>23</v>
      </c>
      <c r="J763" s="14" t="s">
        <v>23</v>
      </c>
      <c r="K763" s="14" t="s">
        <v>23</v>
      </c>
      <c r="L763" s="5" t="s">
        <v>23</v>
      </c>
      <c r="M763" s="5" t="s">
        <v>23</v>
      </c>
      <c r="N763" s="5" t="s">
        <v>23</v>
      </c>
      <c r="O763" s="13">
        <v>2210.2600000000002</v>
      </c>
      <c r="P763" s="153" t="s">
        <v>29</v>
      </c>
      <c r="Q763" s="17">
        <f t="shared" si="9"/>
        <v>1841.8833333333337</v>
      </c>
      <c r="S763" s="18"/>
    </row>
    <row r="764" spans="1:19" s="17" customFormat="1" ht="18.95" customHeight="1" outlineLevel="1" x14ac:dyDescent="0.25">
      <c r="A764" s="147"/>
      <c r="B764" s="147"/>
      <c r="C764" s="148"/>
      <c r="D764" s="141"/>
      <c r="E764" s="141"/>
      <c r="F764" s="12">
        <v>43647</v>
      </c>
      <c r="G764" s="12">
        <v>43830</v>
      </c>
      <c r="H764" s="151"/>
      <c r="I764" s="15" t="s">
        <v>23</v>
      </c>
      <c r="J764" s="14" t="s">
        <v>23</v>
      </c>
      <c r="K764" s="14" t="s">
        <v>23</v>
      </c>
      <c r="L764" s="5" t="s">
        <v>23</v>
      </c>
      <c r="M764" s="5" t="s">
        <v>23</v>
      </c>
      <c r="N764" s="5" t="s">
        <v>23</v>
      </c>
      <c r="O764" s="13">
        <v>2254.46</v>
      </c>
      <c r="P764" s="169"/>
      <c r="Q764" s="17">
        <f t="shared" si="9"/>
        <v>1878.7166666666667</v>
      </c>
      <c r="S764" s="18"/>
    </row>
    <row r="765" spans="1:19" s="17" customFormat="1" ht="18.95" customHeight="1" outlineLevel="1" x14ac:dyDescent="0.25">
      <c r="A765" s="146" t="s">
        <v>20</v>
      </c>
      <c r="B765" s="146" t="s">
        <v>34</v>
      </c>
      <c r="C765" s="148"/>
      <c r="D765" s="137">
        <v>43448</v>
      </c>
      <c r="E765" s="137" t="s">
        <v>822</v>
      </c>
      <c r="F765" s="12">
        <v>43466</v>
      </c>
      <c r="G765" s="12">
        <v>43646</v>
      </c>
      <c r="H765" s="146"/>
      <c r="I765" s="13">
        <v>3462.8</v>
      </c>
      <c r="J765" s="14" t="s">
        <v>23</v>
      </c>
      <c r="K765" s="14" t="s">
        <v>23</v>
      </c>
      <c r="L765" s="5" t="s">
        <v>23</v>
      </c>
      <c r="M765" s="5" t="s">
        <v>23</v>
      </c>
      <c r="N765" s="5" t="s">
        <v>23</v>
      </c>
      <c r="O765" s="15" t="s">
        <v>23</v>
      </c>
      <c r="P765" s="153" t="s">
        <v>29</v>
      </c>
      <c r="Q765" s="17" t="e">
        <f t="shared" si="9"/>
        <v>#VALUE!</v>
      </c>
      <c r="S765" s="18"/>
    </row>
    <row r="766" spans="1:19" s="17" customFormat="1" ht="18.95" customHeight="1" outlineLevel="1" x14ac:dyDescent="0.25">
      <c r="A766" s="148"/>
      <c r="B766" s="148"/>
      <c r="C766" s="148"/>
      <c r="D766" s="141"/>
      <c r="E766" s="141"/>
      <c r="F766" s="12">
        <v>43647</v>
      </c>
      <c r="G766" s="12">
        <v>43830</v>
      </c>
      <c r="H766" s="147"/>
      <c r="I766" s="13">
        <v>4437.87</v>
      </c>
      <c r="J766" s="14" t="s">
        <v>23</v>
      </c>
      <c r="K766" s="14" t="s">
        <v>23</v>
      </c>
      <c r="L766" s="5" t="s">
        <v>23</v>
      </c>
      <c r="M766" s="5" t="s">
        <v>23</v>
      </c>
      <c r="N766" s="5" t="s">
        <v>23</v>
      </c>
      <c r="O766" s="15" t="s">
        <v>23</v>
      </c>
      <c r="P766" s="169"/>
      <c r="Q766" s="17" t="e">
        <f t="shared" si="9"/>
        <v>#VALUE!</v>
      </c>
      <c r="S766" s="18"/>
    </row>
    <row r="767" spans="1:19" s="17" customFormat="1" ht="18.95" customHeight="1" outlineLevel="1" x14ac:dyDescent="0.25">
      <c r="A767" s="148"/>
      <c r="B767" s="148"/>
      <c r="C767" s="148"/>
      <c r="D767" s="137">
        <v>43454</v>
      </c>
      <c r="E767" s="137" t="s">
        <v>817</v>
      </c>
      <c r="F767" s="12">
        <v>43466</v>
      </c>
      <c r="G767" s="12">
        <v>43646</v>
      </c>
      <c r="H767" s="149"/>
      <c r="I767" s="15" t="s">
        <v>23</v>
      </c>
      <c r="J767" s="14" t="s">
        <v>23</v>
      </c>
      <c r="K767" s="14" t="s">
        <v>23</v>
      </c>
      <c r="L767" s="5" t="s">
        <v>23</v>
      </c>
      <c r="M767" s="5" t="s">
        <v>23</v>
      </c>
      <c r="N767" s="5" t="s">
        <v>23</v>
      </c>
      <c r="O767" s="13">
        <v>2286.16</v>
      </c>
      <c r="P767" s="153" t="s">
        <v>29</v>
      </c>
      <c r="Q767" s="17">
        <f t="shared" si="9"/>
        <v>1905.1333333333332</v>
      </c>
      <c r="S767" s="18"/>
    </row>
    <row r="768" spans="1:19" s="17" customFormat="1" ht="18.95" customHeight="1" outlineLevel="1" x14ac:dyDescent="0.25">
      <c r="A768" s="147"/>
      <c r="B768" s="147"/>
      <c r="C768" s="148"/>
      <c r="D768" s="141"/>
      <c r="E768" s="141"/>
      <c r="F768" s="12">
        <v>43647</v>
      </c>
      <c r="G768" s="12">
        <v>43830</v>
      </c>
      <c r="H768" s="151"/>
      <c r="I768" s="15" t="s">
        <v>23</v>
      </c>
      <c r="J768" s="14" t="s">
        <v>23</v>
      </c>
      <c r="K768" s="14" t="s">
        <v>23</v>
      </c>
      <c r="L768" s="5" t="s">
        <v>23</v>
      </c>
      <c r="M768" s="5" t="s">
        <v>23</v>
      </c>
      <c r="N768" s="5" t="s">
        <v>23</v>
      </c>
      <c r="O768" s="13">
        <v>2331.89</v>
      </c>
      <c r="P768" s="169"/>
      <c r="Q768" s="17">
        <f t="shared" si="9"/>
        <v>1943.2416666666666</v>
      </c>
      <c r="S768" s="18"/>
    </row>
    <row r="769" spans="1:19" s="17" customFormat="1" ht="18.95" customHeight="1" outlineLevel="1" x14ac:dyDescent="0.25">
      <c r="A769" s="146" t="s">
        <v>20</v>
      </c>
      <c r="B769" s="146" t="s">
        <v>35</v>
      </c>
      <c r="C769" s="148"/>
      <c r="D769" s="137">
        <v>43448</v>
      </c>
      <c r="E769" s="137" t="s">
        <v>822</v>
      </c>
      <c r="F769" s="12">
        <v>43466</v>
      </c>
      <c r="G769" s="12">
        <v>43646</v>
      </c>
      <c r="H769" s="146"/>
      <c r="I769" s="13">
        <v>3462.8</v>
      </c>
      <c r="J769" s="14" t="s">
        <v>23</v>
      </c>
      <c r="K769" s="14" t="s">
        <v>23</v>
      </c>
      <c r="L769" s="5" t="s">
        <v>23</v>
      </c>
      <c r="M769" s="5" t="s">
        <v>23</v>
      </c>
      <c r="N769" s="5" t="s">
        <v>23</v>
      </c>
      <c r="O769" s="15" t="s">
        <v>23</v>
      </c>
      <c r="P769" s="153" t="s">
        <v>29</v>
      </c>
      <c r="Q769" s="17" t="e">
        <f t="shared" si="9"/>
        <v>#VALUE!</v>
      </c>
      <c r="S769" s="18"/>
    </row>
    <row r="770" spans="1:19" s="17" customFormat="1" ht="18.95" customHeight="1" outlineLevel="1" x14ac:dyDescent="0.25">
      <c r="A770" s="148"/>
      <c r="B770" s="148"/>
      <c r="C770" s="148"/>
      <c r="D770" s="141"/>
      <c r="E770" s="141"/>
      <c r="F770" s="12">
        <v>43647</v>
      </c>
      <c r="G770" s="12">
        <v>43830</v>
      </c>
      <c r="H770" s="147"/>
      <c r="I770" s="13">
        <v>4437.87</v>
      </c>
      <c r="J770" s="14" t="s">
        <v>23</v>
      </c>
      <c r="K770" s="14" t="s">
        <v>23</v>
      </c>
      <c r="L770" s="5" t="s">
        <v>23</v>
      </c>
      <c r="M770" s="5" t="s">
        <v>23</v>
      </c>
      <c r="N770" s="5" t="s">
        <v>23</v>
      </c>
      <c r="O770" s="15" t="s">
        <v>23</v>
      </c>
      <c r="P770" s="169"/>
      <c r="Q770" s="17" t="e">
        <f t="shared" si="9"/>
        <v>#VALUE!</v>
      </c>
      <c r="S770" s="18"/>
    </row>
    <row r="771" spans="1:19" s="17" customFormat="1" ht="18.95" customHeight="1" outlineLevel="1" x14ac:dyDescent="0.25">
      <c r="A771" s="148"/>
      <c r="B771" s="148"/>
      <c r="C771" s="148"/>
      <c r="D771" s="137">
        <v>43454</v>
      </c>
      <c r="E771" s="137" t="s">
        <v>817</v>
      </c>
      <c r="F771" s="12">
        <v>43466</v>
      </c>
      <c r="G771" s="12">
        <v>43646</v>
      </c>
      <c r="H771" s="149"/>
      <c r="I771" s="15" t="s">
        <v>23</v>
      </c>
      <c r="J771" s="14" t="s">
        <v>23</v>
      </c>
      <c r="K771" s="14" t="s">
        <v>23</v>
      </c>
      <c r="L771" s="5" t="s">
        <v>23</v>
      </c>
      <c r="M771" s="5" t="s">
        <v>23</v>
      </c>
      <c r="N771" s="5" t="s">
        <v>23</v>
      </c>
      <c r="O771" s="13">
        <v>2374.91</v>
      </c>
      <c r="P771" s="153" t="s">
        <v>444</v>
      </c>
      <c r="Q771" s="17">
        <f>O771/1.2</f>
        <v>1979.0916666666667</v>
      </c>
      <c r="S771" s="18"/>
    </row>
    <row r="772" spans="1:19" s="17" customFormat="1" ht="18.95" customHeight="1" outlineLevel="1" x14ac:dyDescent="0.25">
      <c r="A772" s="148"/>
      <c r="B772" s="148"/>
      <c r="C772" s="148"/>
      <c r="D772" s="138"/>
      <c r="E772" s="138"/>
      <c r="F772" s="12">
        <v>43647</v>
      </c>
      <c r="G772" s="12">
        <v>43830</v>
      </c>
      <c r="H772" s="151"/>
      <c r="I772" s="15" t="s">
        <v>23</v>
      </c>
      <c r="J772" s="14" t="s">
        <v>23</v>
      </c>
      <c r="K772" s="14" t="s">
        <v>23</v>
      </c>
      <c r="L772" s="5" t="s">
        <v>23</v>
      </c>
      <c r="M772" s="5" t="s">
        <v>23</v>
      </c>
      <c r="N772" s="5" t="s">
        <v>23</v>
      </c>
      <c r="O772" s="13">
        <v>2422.41</v>
      </c>
      <c r="P772" s="152"/>
      <c r="Q772" s="17">
        <f t="shared" ref="Q772:Q774" si="10">O772/1.2</f>
        <v>2018.675</v>
      </c>
      <c r="S772" s="18"/>
    </row>
    <row r="773" spans="1:19" s="17" customFormat="1" ht="18.95" customHeight="1" outlineLevel="1" x14ac:dyDescent="0.25">
      <c r="A773" s="148"/>
      <c r="B773" s="148"/>
      <c r="C773" s="148"/>
      <c r="D773" s="138"/>
      <c r="E773" s="138"/>
      <c r="F773" s="12">
        <v>43466</v>
      </c>
      <c r="G773" s="12">
        <v>43646</v>
      </c>
      <c r="H773" s="149"/>
      <c r="I773" s="15" t="s">
        <v>23</v>
      </c>
      <c r="J773" s="14" t="s">
        <v>23</v>
      </c>
      <c r="K773" s="14" t="s">
        <v>23</v>
      </c>
      <c r="L773" s="5" t="s">
        <v>23</v>
      </c>
      <c r="M773" s="5" t="s">
        <v>23</v>
      </c>
      <c r="N773" s="5" t="s">
        <v>23</v>
      </c>
      <c r="O773" s="13">
        <v>1488.56</v>
      </c>
      <c r="P773" s="153" t="s">
        <v>446</v>
      </c>
      <c r="Q773" s="17">
        <f t="shared" si="10"/>
        <v>1240.4666666666667</v>
      </c>
      <c r="S773" s="18"/>
    </row>
    <row r="774" spans="1:19" s="17" customFormat="1" ht="18.95" customHeight="1" outlineLevel="1" x14ac:dyDescent="0.25">
      <c r="A774" s="147"/>
      <c r="B774" s="147"/>
      <c r="C774" s="147"/>
      <c r="D774" s="141"/>
      <c r="E774" s="141"/>
      <c r="F774" s="12">
        <v>43647</v>
      </c>
      <c r="G774" s="12">
        <v>43830</v>
      </c>
      <c r="H774" s="150"/>
      <c r="I774" s="15" t="s">
        <v>23</v>
      </c>
      <c r="J774" s="14" t="s">
        <v>23</v>
      </c>
      <c r="K774" s="14" t="s">
        <v>23</v>
      </c>
      <c r="L774" s="5" t="s">
        <v>23</v>
      </c>
      <c r="M774" s="5" t="s">
        <v>23</v>
      </c>
      <c r="N774" s="5" t="s">
        <v>23</v>
      </c>
      <c r="O774" s="13">
        <v>1518.33</v>
      </c>
      <c r="P774" s="152"/>
      <c r="Q774" s="17">
        <f t="shared" si="10"/>
        <v>1265.2750000000001</v>
      </c>
      <c r="S774" s="18"/>
    </row>
    <row r="775" spans="1:19" s="17" customFormat="1" ht="18.95" customHeight="1" outlineLevel="1" x14ac:dyDescent="0.25">
      <c r="A775" s="146" t="s">
        <v>20</v>
      </c>
      <c r="B775" s="146" t="s">
        <v>26</v>
      </c>
      <c r="C775" s="146" t="s">
        <v>447</v>
      </c>
      <c r="D775" s="137">
        <v>43069</v>
      </c>
      <c r="E775" s="137" t="s">
        <v>352</v>
      </c>
      <c r="F775" s="12">
        <v>43466</v>
      </c>
      <c r="G775" s="12">
        <v>43646</v>
      </c>
      <c r="H775" s="168" t="s">
        <v>816</v>
      </c>
      <c r="I775" s="13">
        <v>4328.99</v>
      </c>
      <c r="J775" s="14" t="s">
        <v>23</v>
      </c>
      <c r="K775" s="14" t="s">
        <v>23</v>
      </c>
      <c r="L775" s="5" t="s">
        <v>23</v>
      </c>
      <c r="M775" s="5" t="s">
        <v>23</v>
      </c>
      <c r="N775" s="5" t="s">
        <v>23</v>
      </c>
      <c r="O775" s="15" t="s">
        <v>23</v>
      </c>
      <c r="P775" s="41"/>
      <c r="S775" s="18"/>
    </row>
    <row r="776" spans="1:19" s="17" customFormat="1" ht="18.95" customHeight="1" outlineLevel="1" x14ac:dyDescent="0.25">
      <c r="A776" s="148"/>
      <c r="B776" s="148"/>
      <c r="C776" s="148"/>
      <c r="D776" s="141"/>
      <c r="E776" s="141"/>
      <c r="F776" s="12">
        <v>43647</v>
      </c>
      <c r="G776" s="12">
        <v>43830</v>
      </c>
      <c r="H776" s="168"/>
      <c r="I776" s="13">
        <v>4542.83</v>
      </c>
      <c r="J776" s="14" t="s">
        <v>23</v>
      </c>
      <c r="K776" s="14" t="s">
        <v>23</v>
      </c>
      <c r="L776" s="5" t="s">
        <v>23</v>
      </c>
      <c r="M776" s="5" t="s">
        <v>23</v>
      </c>
      <c r="N776" s="5" t="s">
        <v>23</v>
      </c>
      <c r="O776" s="15" t="s">
        <v>23</v>
      </c>
      <c r="P776" s="41"/>
      <c r="S776" s="18"/>
    </row>
    <row r="777" spans="1:19" s="17" customFormat="1" ht="18.95" customHeight="1" outlineLevel="1" x14ac:dyDescent="0.25">
      <c r="A777" s="148"/>
      <c r="B777" s="148"/>
      <c r="C777" s="148"/>
      <c r="D777" s="156">
        <v>43454</v>
      </c>
      <c r="E777" s="156" t="s">
        <v>817</v>
      </c>
      <c r="F777" s="12">
        <v>43466</v>
      </c>
      <c r="G777" s="12">
        <v>43646</v>
      </c>
      <c r="H777" s="168"/>
      <c r="I777" s="15" t="s">
        <v>23</v>
      </c>
      <c r="J777" s="14" t="s">
        <v>23</v>
      </c>
      <c r="K777" s="14" t="s">
        <v>23</v>
      </c>
      <c r="L777" s="5" t="s">
        <v>23</v>
      </c>
      <c r="M777" s="5" t="s">
        <v>23</v>
      </c>
      <c r="N777" s="5" t="s">
        <v>23</v>
      </c>
      <c r="O777" s="13">
        <v>2259.62</v>
      </c>
      <c r="P777" s="41"/>
      <c r="S777" s="18"/>
    </row>
    <row r="778" spans="1:19" s="17" customFormat="1" ht="18.95" customHeight="1" outlineLevel="1" x14ac:dyDescent="0.25">
      <c r="A778" s="147"/>
      <c r="B778" s="147"/>
      <c r="C778" s="147"/>
      <c r="D778" s="156"/>
      <c r="E778" s="156"/>
      <c r="F778" s="12">
        <v>43647</v>
      </c>
      <c r="G778" s="12">
        <v>43830</v>
      </c>
      <c r="H778" s="168"/>
      <c r="I778" s="15" t="s">
        <v>23</v>
      </c>
      <c r="J778" s="14" t="s">
        <v>23</v>
      </c>
      <c r="K778" s="14" t="s">
        <v>23</v>
      </c>
      <c r="L778" s="5" t="s">
        <v>23</v>
      </c>
      <c r="M778" s="5" t="s">
        <v>23</v>
      </c>
      <c r="N778" s="5" t="s">
        <v>23</v>
      </c>
      <c r="O778" s="13">
        <v>2304.81</v>
      </c>
      <c r="P778" s="41"/>
      <c r="S778" s="18"/>
    </row>
    <row r="779" spans="1:19" s="17" customFormat="1" ht="18.95" customHeight="1" outlineLevel="1" x14ac:dyDescent="0.25">
      <c r="A779" s="146" t="s">
        <v>20</v>
      </c>
      <c r="B779" s="146" t="s">
        <v>36</v>
      </c>
      <c r="C779" s="146" t="s">
        <v>37</v>
      </c>
      <c r="D779" s="137">
        <v>42706</v>
      </c>
      <c r="E779" s="137" t="s">
        <v>820</v>
      </c>
      <c r="F779" s="12">
        <v>43466</v>
      </c>
      <c r="G779" s="12">
        <v>43646</v>
      </c>
      <c r="H779" s="148" t="s">
        <v>821</v>
      </c>
      <c r="I779" s="13">
        <v>3639.53</v>
      </c>
      <c r="J779" s="14" t="s">
        <v>23</v>
      </c>
      <c r="K779" s="14" t="s">
        <v>23</v>
      </c>
      <c r="L779" s="5" t="s">
        <v>23</v>
      </c>
      <c r="M779" s="5" t="s">
        <v>23</v>
      </c>
      <c r="N779" s="5" t="s">
        <v>23</v>
      </c>
      <c r="O779" s="15" t="s">
        <v>23</v>
      </c>
      <c r="P779" s="153" t="s">
        <v>29</v>
      </c>
      <c r="S779" s="18"/>
    </row>
    <row r="780" spans="1:19" s="17" customFormat="1" ht="18.95" customHeight="1" outlineLevel="1" x14ac:dyDescent="0.25">
      <c r="A780" s="148"/>
      <c r="B780" s="148"/>
      <c r="C780" s="148"/>
      <c r="D780" s="141"/>
      <c r="E780" s="141"/>
      <c r="F780" s="12">
        <v>43647</v>
      </c>
      <c r="G780" s="12">
        <v>43830</v>
      </c>
      <c r="H780" s="147"/>
      <c r="I780" s="13">
        <v>3793.53</v>
      </c>
      <c r="J780" s="14" t="s">
        <v>23</v>
      </c>
      <c r="K780" s="14" t="s">
        <v>23</v>
      </c>
      <c r="L780" s="5" t="s">
        <v>23</v>
      </c>
      <c r="M780" s="5" t="s">
        <v>23</v>
      </c>
      <c r="N780" s="5" t="s">
        <v>23</v>
      </c>
      <c r="O780" s="15" t="s">
        <v>23</v>
      </c>
      <c r="P780" s="169"/>
      <c r="S780" s="18"/>
    </row>
    <row r="781" spans="1:19" s="17" customFormat="1" ht="18.95" customHeight="1" outlineLevel="1" x14ac:dyDescent="0.25">
      <c r="A781" s="148"/>
      <c r="B781" s="148"/>
      <c r="C781" s="148"/>
      <c r="D781" s="137">
        <v>43454</v>
      </c>
      <c r="E781" s="137" t="s">
        <v>817</v>
      </c>
      <c r="F781" s="12">
        <v>43466</v>
      </c>
      <c r="G781" s="12">
        <v>43646</v>
      </c>
      <c r="H781" s="149"/>
      <c r="I781" s="15" t="s">
        <v>23</v>
      </c>
      <c r="J781" s="14" t="s">
        <v>23</v>
      </c>
      <c r="K781" s="14" t="s">
        <v>23</v>
      </c>
      <c r="L781" s="5" t="s">
        <v>23</v>
      </c>
      <c r="M781" s="5" t="s">
        <v>23</v>
      </c>
      <c r="N781" s="5" t="s">
        <v>23</v>
      </c>
      <c r="O781" s="13">
        <v>2577.5500000000002</v>
      </c>
      <c r="P781" s="169"/>
      <c r="S781" s="18"/>
    </row>
    <row r="782" spans="1:19" s="17" customFormat="1" ht="18.95" customHeight="1" outlineLevel="1" x14ac:dyDescent="0.25">
      <c r="A782" s="147"/>
      <c r="B782" s="147"/>
      <c r="C782" s="148"/>
      <c r="D782" s="141"/>
      <c r="E782" s="141"/>
      <c r="F782" s="12">
        <v>43647</v>
      </c>
      <c r="G782" s="12">
        <v>43830</v>
      </c>
      <c r="H782" s="151"/>
      <c r="I782" s="15" t="s">
        <v>23</v>
      </c>
      <c r="J782" s="14" t="s">
        <v>23</v>
      </c>
      <c r="K782" s="14" t="s">
        <v>23</v>
      </c>
      <c r="L782" s="5" t="s">
        <v>23</v>
      </c>
      <c r="M782" s="5" t="s">
        <v>23</v>
      </c>
      <c r="N782" s="5" t="s">
        <v>23</v>
      </c>
      <c r="O782" s="13">
        <v>2577.5500000000002</v>
      </c>
      <c r="P782" s="152"/>
      <c r="S782" s="18"/>
    </row>
    <row r="783" spans="1:19" s="17" customFormat="1" ht="18.95" customHeight="1" outlineLevel="1" x14ac:dyDescent="0.25">
      <c r="A783" s="146" t="s">
        <v>20</v>
      </c>
      <c r="B783" s="146" t="s">
        <v>38</v>
      </c>
      <c r="C783" s="148"/>
      <c r="D783" s="137">
        <v>42706</v>
      </c>
      <c r="E783" s="137" t="s">
        <v>820</v>
      </c>
      <c r="F783" s="12">
        <v>43466</v>
      </c>
      <c r="G783" s="12">
        <v>43646</v>
      </c>
      <c r="H783" s="146" t="s">
        <v>821</v>
      </c>
      <c r="I783" s="13">
        <v>3639.53</v>
      </c>
      <c r="J783" s="14" t="s">
        <v>23</v>
      </c>
      <c r="K783" s="14" t="s">
        <v>23</v>
      </c>
      <c r="L783" s="5" t="s">
        <v>23</v>
      </c>
      <c r="M783" s="5" t="s">
        <v>23</v>
      </c>
      <c r="N783" s="5" t="s">
        <v>23</v>
      </c>
      <c r="O783" s="15" t="s">
        <v>23</v>
      </c>
      <c r="P783" s="153" t="s">
        <v>29</v>
      </c>
      <c r="S783" s="18"/>
    </row>
    <row r="784" spans="1:19" s="17" customFormat="1" ht="18.95" customHeight="1" outlineLevel="1" x14ac:dyDescent="0.25">
      <c r="A784" s="148"/>
      <c r="B784" s="148"/>
      <c r="C784" s="148"/>
      <c r="D784" s="141"/>
      <c r="E784" s="141"/>
      <c r="F784" s="12">
        <v>43647</v>
      </c>
      <c r="G784" s="12">
        <v>43830</v>
      </c>
      <c r="H784" s="147"/>
      <c r="I784" s="13">
        <v>3793.53</v>
      </c>
      <c r="J784" s="14" t="s">
        <v>23</v>
      </c>
      <c r="K784" s="14" t="s">
        <v>23</v>
      </c>
      <c r="L784" s="5" t="s">
        <v>23</v>
      </c>
      <c r="M784" s="5" t="s">
        <v>23</v>
      </c>
      <c r="N784" s="5" t="s">
        <v>23</v>
      </c>
      <c r="O784" s="15" t="s">
        <v>23</v>
      </c>
      <c r="P784" s="169"/>
      <c r="S784" s="18"/>
    </row>
    <row r="785" spans="1:19" s="17" customFormat="1" ht="18.95" customHeight="1" outlineLevel="1" x14ac:dyDescent="0.25">
      <c r="A785" s="148"/>
      <c r="B785" s="148"/>
      <c r="C785" s="148"/>
      <c r="D785" s="137">
        <v>43454</v>
      </c>
      <c r="E785" s="137" t="s">
        <v>817</v>
      </c>
      <c r="F785" s="12">
        <v>43466</v>
      </c>
      <c r="G785" s="12">
        <v>43646</v>
      </c>
      <c r="H785" s="149"/>
      <c r="I785" s="15" t="s">
        <v>23</v>
      </c>
      <c r="J785" s="14" t="s">
        <v>23</v>
      </c>
      <c r="K785" s="14" t="s">
        <v>23</v>
      </c>
      <c r="L785" s="5" t="s">
        <v>23</v>
      </c>
      <c r="M785" s="5" t="s">
        <v>23</v>
      </c>
      <c r="N785" s="5" t="s">
        <v>23</v>
      </c>
      <c r="O785" s="13">
        <v>2191.89</v>
      </c>
      <c r="P785" s="153" t="s">
        <v>444</v>
      </c>
      <c r="S785" s="18"/>
    </row>
    <row r="786" spans="1:19" s="17" customFormat="1" ht="18.95" customHeight="1" outlineLevel="1" x14ac:dyDescent="0.25">
      <c r="A786" s="148"/>
      <c r="B786" s="148"/>
      <c r="C786" s="148"/>
      <c r="D786" s="138"/>
      <c r="E786" s="138"/>
      <c r="F786" s="12">
        <v>43647</v>
      </c>
      <c r="G786" s="12">
        <v>43830</v>
      </c>
      <c r="H786" s="151"/>
      <c r="I786" s="15" t="s">
        <v>23</v>
      </c>
      <c r="J786" s="14" t="s">
        <v>23</v>
      </c>
      <c r="K786" s="14" t="s">
        <v>23</v>
      </c>
      <c r="L786" s="5" t="s">
        <v>23</v>
      </c>
      <c r="M786" s="5" t="s">
        <v>23</v>
      </c>
      <c r="N786" s="5" t="s">
        <v>23</v>
      </c>
      <c r="O786" s="13">
        <v>2235.73</v>
      </c>
      <c r="P786" s="152"/>
      <c r="S786" s="18"/>
    </row>
    <row r="787" spans="1:19" s="17" customFormat="1" ht="18.95" customHeight="1" outlineLevel="1" x14ac:dyDescent="0.25">
      <c r="A787" s="148"/>
      <c r="B787" s="148"/>
      <c r="C787" s="148"/>
      <c r="D787" s="138"/>
      <c r="E787" s="138"/>
      <c r="F787" s="12">
        <v>43466</v>
      </c>
      <c r="G787" s="12">
        <v>43646</v>
      </c>
      <c r="H787" s="149"/>
      <c r="I787" s="15" t="s">
        <v>23</v>
      </c>
      <c r="J787" s="14" t="s">
        <v>23</v>
      </c>
      <c r="K787" s="14" t="s">
        <v>23</v>
      </c>
      <c r="L787" s="5" t="s">
        <v>23</v>
      </c>
      <c r="M787" s="5" t="s">
        <v>23</v>
      </c>
      <c r="N787" s="5" t="s">
        <v>23</v>
      </c>
      <c r="O787" s="13">
        <v>1257.92</v>
      </c>
      <c r="P787" s="153" t="s">
        <v>446</v>
      </c>
      <c r="S787" s="18"/>
    </row>
    <row r="788" spans="1:19" s="17" customFormat="1" ht="18.95" customHeight="1" outlineLevel="1" x14ac:dyDescent="0.25">
      <c r="A788" s="147"/>
      <c r="B788" s="147"/>
      <c r="C788" s="147"/>
      <c r="D788" s="141"/>
      <c r="E788" s="141"/>
      <c r="F788" s="12">
        <v>43647</v>
      </c>
      <c r="G788" s="12">
        <v>43830</v>
      </c>
      <c r="H788" s="151"/>
      <c r="I788" s="15" t="s">
        <v>23</v>
      </c>
      <c r="J788" s="14" t="s">
        <v>23</v>
      </c>
      <c r="K788" s="14" t="s">
        <v>23</v>
      </c>
      <c r="L788" s="5" t="s">
        <v>23</v>
      </c>
      <c r="M788" s="5" t="s">
        <v>23</v>
      </c>
      <c r="N788" s="5" t="s">
        <v>23</v>
      </c>
      <c r="O788" s="13">
        <v>1283.08</v>
      </c>
      <c r="P788" s="152"/>
      <c r="S788" s="18"/>
    </row>
    <row r="789" spans="1:19" s="17" customFormat="1" ht="18.95" customHeight="1" outlineLevel="1" x14ac:dyDescent="0.25">
      <c r="A789" s="146" t="s">
        <v>20</v>
      </c>
      <c r="B789" s="146" t="s">
        <v>50</v>
      </c>
      <c r="C789" s="146" t="s">
        <v>448</v>
      </c>
      <c r="D789" s="156">
        <v>43083</v>
      </c>
      <c r="E789" s="156" t="s">
        <v>608</v>
      </c>
      <c r="F789" s="12">
        <v>43466</v>
      </c>
      <c r="G789" s="12">
        <v>43646</v>
      </c>
      <c r="H789" s="142" t="s">
        <v>807</v>
      </c>
      <c r="I789" s="13">
        <v>2872.24</v>
      </c>
      <c r="J789" s="14" t="s">
        <v>23</v>
      </c>
      <c r="K789" s="14" t="s">
        <v>23</v>
      </c>
      <c r="L789" s="5" t="s">
        <v>23</v>
      </c>
      <c r="M789" s="5" t="s">
        <v>23</v>
      </c>
      <c r="N789" s="5" t="s">
        <v>23</v>
      </c>
      <c r="O789" s="4" t="s">
        <v>23</v>
      </c>
      <c r="P789" s="180" t="s">
        <v>331</v>
      </c>
      <c r="S789" s="18"/>
    </row>
    <row r="790" spans="1:19" s="17" customFormat="1" ht="18.95" customHeight="1" outlineLevel="1" x14ac:dyDescent="0.25">
      <c r="A790" s="148"/>
      <c r="B790" s="148"/>
      <c r="C790" s="148"/>
      <c r="D790" s="156"/>
      <c r="E790" s="156"/>
      <c r="F790" s="12">
        <v>43647</v>
      </c>
      <c r="G790" s="12">
        <v>43830</v>
      </c>
      <c r="H790" s="143"/>
      <c r="I790" s="13">
        <v>3270.55</v>
      </c>
      <c r="J790" s="14" t="s">
        <v>23</v>
      </c>
      <c r="K790" s="14" t="s">
        <v>23</v>
      </c>
      <c r="L790" s="5" t="s">
        <v>23</v>
      </c>
      <c r="M790" s="5" t="s">
        <v>23</v>
      </c>
      <c r="N790" s="5" t="s">
        <v>23</v>
      </c>
      <c r="O790" s="4" t="s">
        <v>23</v>
      </c>
      <c r="P790" s="181"/>
      <c r="S790" s="18"/>
    </row>
    <row r="791" spans="1:19" s="17" customFormat="1" ht="18.95" customHeight="1" outlineLevel="1" x14ac:dyDescent="0.25">
      <c r="A791" s="148"/>
      <c r="B791" s="148"/>
      <c r="C791" s="148"/>
      <c r="D791" s="137">
        <v>43454</v>
      </c>
      <c r="E791" s="137" t="s">
        <v>808</v>
      </c>
      <c r="F791" s="12">
        <v>43466</v>
      </c>
      <c r="G791" s="12">
        <v>43646</v>
      </c>
      <c r="H791" s="149"/>
      <c r="I791" s="15" t="s">
        <v>23</v>
      </c>
      <c r="J791" s="14" t="s">
        <v>23</v>
      </c>
      <c r="K791" s="14" t="s">
        <v>23</v>
      </c>
      <c r="L791" s="5" t="s">
        <v>23</v>
      </c>
      <c r="M791" s="5" t="s">
        <v>23</v>
      </c>
      <c r="N791" s="5" t="s">
        <v>23</v>
      </c>
      <c r="O791" s="13">
        <v>2794.23</v>
      </c>
      <c r="P791" s="181"/>
      <c r="S791" s="18"/>
    </row>
    <row r="792" spans="1:19" s="17" customFormat="1" ht="18.95" customHeight="1" outlineLevel="1" x14ac:dyDescent="0.25">
      <c r="A792" s="148"/>
      <c r="B792" s="148"/>
      <c r="C792" s="147"/>
      <c r="D792" s="141"/>
      <c r="E792" s="141"/>
      <c r="F792" s="12">
        <v>43647</v>
      </c>
      <c r="G792" s="12">
        <v>43830</v>
      </c>
      <c r="H792" s="151"/>
      <c r="I792" s="15" t="s">
        <v>23</v>
      </c>
      <c r="J792" s="14" t="s">
        <v>23</v>
      </c>
      <c r="K792" s="14" t="s">
        <v>23</v>
      </c>
      <c r="L792" s="5" t="s">
        <v>23</v>
      </c>
      <c r="M792" s="5" t="s">
        <v>23</v>
      </c>
      <c r="N792" s="5" t="s">
        <v>23</v>
      </c>
      <c r="O792" s="13">
        <v>2794.23</v>
      </c>
      <c r="P792" s="182"/>
      <c r="S792" s="18"/>
    </row>
    <row r="793" spans="1:19" s="10" customFormat="1" ht="18.95" customHeight="1" x14ac:dyDescent="0.25">
      <c r="A793" s="6">
        <v>9</v>
      </c>
      <c r="B793" s="6" t="s">
        <v>152</v>
      </c>
      <c r="C793" s="7"/>
      <c r="D793" s="7"/>
      <c r="E793" s="7"/>
      <c r="F793" s="7"/>
      <c r="G793" s="7"/>
      <c r="H793" s="7"/>
      <c r="I793" s="8"/>
      <c r="J793" s="31"/>
      <c r="K793" s="31"/>
      <c r="L793" s="32"/>
      <c r="M793" s="32"/>
      <c r="N793" s="32"/>
      <c r="O793" s="8"/>
      <c r="P793" s="9"/>
      <c r="S793" s="11"/>
    </row>
    <row r="794" spans="1:19" s="17" customFormat="1" ht="18.95" customHeight="1" outlineLevel="1" x14ac:dyDescent="0.25">
      <c r="A794" s="146" t="s">
        <v>57</v>
      </c>
      <c r="B794" s="146" t="s">
        <v>75</v>
      </c>
      <c r="C794" s="146" t="s">
        <v>76</v>
      </c>
      <c r="D794" s="137">
        <v>43434</v>
      </c>
      <c r="E794" s="156" t="s">
        <v>707</v>
      </c>
      <c r="F794" s="12">
        <v>43466</v>
      </c>
      <c r="G794" s="12">
        <v>43646</v>
      </c>
      <c r="H794" s="146"/>
      <c r="I794" s="13">
        <v>1971.46</v>
      </c>
      <c r="J794" s="95" t="s">
        <v>23</v>
      </c>
      <c r="K794" s="95" t="s">
        <v>23</v>
      </c>
      <c r="L794" s="97" t="s">
        <v>23</v>
      </c>
      <c r="M794" s="97" t="s">
        <v>23</v>
      </c>
      <c r="N794" s="97" t="s">
        <v>23</v>
      </c>
      <c r="O794" s="4" t="s">
        <v>23</v>
      </c>
      <c r="P794" s="153"/>
      <c r="S794" s="18"/>
    </row>
    <row r="795" spans="1:19" s="17" customFormat="1" ht="18.95" customHeight="1" outlineLevel="1" x14ac:dyDescent="0.25">
      <c r="A795" s="148"/>
      <c r="B795" s="148"/>
      <c r="C795" s="148"/>
      <c r="D795" s="141"/>
      <c r="E795" s="156"/>
      <c r="F795" s="12">
        <v>43647</v>
      </c>
      <c r="G795" s="12">
        <v>43830</v>
      </c>
      <c r="H795" s="147"/>
      <c r="I795" s="13">
        <v>2037.34</v>
      </c>
      <c r="J795" s="95" t="s">
        <v>23</v>
      </c>
      <c r="K795" s="95" t="s">
        <v>23</v>
      </c>
      <c r="L795" s="97" t="s">
        <v>23</v>
      </c>
      <c r="M795" s="97" t="s">
        <v>23</v>
      </c>
      <c r="N795" s="97" t="s">
        <v>23</v>
      </c>
      <c r="O795" s="4" t="s">
        <v>23</v>
      </c>
      <c r="P795" s="152"/>
      <c r="S795" s="18"/>
    </row>
    <row r="796" spans="1:19" s="17" customFormat="1" ht="18.95" customHeight="1" outlineLevel="1" x14ac:dyDescent="0.25">
      <c r="A796" s="148"/>
      <c r="B796" s="148"/>
      <c r="C796" s="148"/>
      <c r="D796" s="137">
        <v>43454</v>
      </c>
      <c r="E796" s="137" t="s">
        <v>708</v>
      </c>
      <c r="F796" s="12">
        <v>43466</v>
      </c>
      <c r="G796" s="12">
        <v>43646</v>
      </c>
      <c r="H796" s="149"/>
      <c r="I796" s="96" t="s">
        <v>23</v>
      </c>
      <c r="J796" s="95" t="s">
        <v>23</v>
      </c>
      <c r="K796" s="95" t="s">
        <v>23</v>
      </c>
      <c r="L796" s="97" t="s">
        <v>23</v>
      </c>
      <c r="M796" s="97" t="s">
        <v>23</v>
      </c>
      <c r="N796" s="97" t="s">
        <v>23</v>
      </c>
      <c r="O796" s="13">
        <v>2365.757593220339</v>
      </c>
      <c r="P796" s="153"/>
      <c r="S796" s="18"/>
    </row>
    <row r="797" spans="1:19" s="17" customFormat="1" ht="18.95" customHeight="1" outlineLevel="1" x14ac:dyDescent="0.25">
      <c r="A797" s="147"/>
      <c r="B797" s="147"/>
      <c r="C797" s="147"/>
      <c r="D797" s="141"/>
      <c r="E797" s="141"/>
      <c r="F797" s="12">
        <v>43647</v>
      </c>
      <c r="G797" s="12">
        <v>43830</v>
      </c>
      <c r="H797" s="151"/>
      <c r="I797" s="96" t="s">
        <v>23</v>
      </c>
      <c r="J797" s="95" t="s">
        <v>23</v>
      </c>
      <c r="K797" s="95" t="s">
        <v>23</v>
      </c>
      <c r="L797" s="97" t="s">
        <v>23</v>
      </c>
      <c r="M797" s="97" t="s">
        <v>23</v>
      </c>
      <c r="N797" s="97" t="s">
        <v>23</v>
      </c>
      <c r="O797" s="13">
        <v>2413.0700000000002</v>
      </c>
      <c r="P797" s="152"/>
      <c r="S797" s="18"/>
    </row>
    <row r="798" spans="1:19" s="17" customFormat="1" ht="18.95" customHeight="1" outlineLevel="1" x14ac:dyDescent="0.25">
      <c r="A798" s="146" t="s">
        <v>57</v>
      </c>
      <c r="B798" s="146" t="s">
        <v>78</v>
      </c>
      <c r="C798" s="146" t="s">
        <v>779</v>
      </c>
      <c r="D798" s="137">
        <v>43453</v>
      </c>
      <c r="E798" s="156" t="s">
        <v>709</v>
      </c>
      <c r="F798" s="12">
        <v>43466</v>
      </c>
      <c r="G798" s="12">
        <v>43646</v>
      </c>
      <c r="H798" s="146"/>
      <c r="I798" s="13">
        <v>1962.53</v>
      </c>
      <c r="J798" s="95" t="s">
        <v>708</v>
      </c>
      <c r="K798" s="95" t="s">
        <v>23</v>
      </c>
      <c r="L798" s="97" t="s">
        <v>23</v>
      </c>
      <c r="M798" s="97" t="s">
        <v>23</v>
      </c>
      <c r="N798" s="97" t="s">
        <v>23</v>
      </c>
      <c r="O798" s="4" t="s">
        <v>23</v>
      </c>
      <c r="P798" s="153"/>
      <c r="S798" s="18"/>
    </row>
    <row r="799" spans="1:19" s="17" customFormat="1" ht="18.95" customHeight="1" outlineLevel="1" x14ac:dyDescent="0.25">
      <c r="A799" s="148"/>
      <c r="B799" s="148"/>
      <c r="C799" s="148"/>
      <c r="D799" s="141"/>
      <c r="E799" s="156"/>
      <c r="F799" s="12">
        <v>43647</v>
      </c>
      <c r="G799" s="12">
        <v>43830</v>
      </c>
      <c r="H799" s="147"/>
      <c r="I799" s="13">
        <v>2220.6799999999998</v>
      </c>
      <c r="J799" s="95"/>
      <c r="K799" s="95" t="s">
        <v>23</v>
      </c>
      <c r="L799" s="97" t="s">
        <v>23</v>
      </c>
      <c r="M799" s="97" t="s">
        <v>23</v>
      </c>
      <c r="N799" s="97" t="s">
        <v>23</v>
      </c>
      <c r="O799" s="4" t="s">
        <v>23</v>
      </c>
      <c r="P799" s="152"/>
      <c r="S799" s="18"/>
    </row>
    <row r="800" spans="1:19" s="17" customFormat="1" ht="18.95" customHeight="1" outlineLevel="1" x14ac:dyDescent="0.25">
      <c r="A800" s="148"/>
      <c r="B800" s="148"/>
      <c r="C800" s="148"/>
      <c r="D800" s="137">
        <v>43454</v>
      </c>
      <c r="E800" s="137" t="s">
        <v>708</v>
      </c>
      <c r="F800" s="12">
        <v>43466</v>
      </c>
      <c r="G800" s="12">
        <v>43646</v>
      </c>
      <c r="H800" s="149"/>
      <c r="I800" s="96" t="s">
        <v>23</v>
      </c>
      <c r="J800" s="95" t="s">
        <v>23</v>
      </c>
      <c r="K800" s="95" t="s">
        <v>23</v>
      </c>
      <c r="L800" s="97" t="s">
        <v>23</v>
      </c>
      <c r="M800" s="97" t="s">
        <v>23</v>
      </c>
      <c r="N800" s="97" t="s">
        <v>23</v>
      </c>
      <c r="O800" s="13">
        <v>1817.1355932203389</v>
      </c>
      <c r="P800" s="153"/>
      <c r="S800" s="18"/>
    </row>
    <row r="801" spans="1:19" s="17" customFormat="1" ht="18.95" customHeight="1" outlineLevel="1" x14ac:dyDescent="0.25">
      <c r="A801" s="147"/>
      <c r="B801" s="147"/>
      <c r="C801" s="147"/>
      <c r="D801" s="141"/>
      <c r="E801" s="141"/>
      <c r="F801" s="12">
        <v>43647</v>
      </c>
      <c r="G801" s="12">
        <v>43830</v>
      </c>
      <c r="H801" s="151"/>
      <c r="I801" s="96" t="s">
        <v>23</v>
      </c>
      <c r="J801" s="95" t="s">
        <v>23</v>
      </c>
      <c r="K801" s="95" t="s">
        <v>23</v>
      </c>
      <c r="L801" s="97" t="s">
        <v>23</v>
      </c>
      <c r="M801" s="97" t="s">
        <v>23</v>
      </c>
      <c r="N801" s="97" t="s">
        <v>23</v>
      </c>
      <c r="O801" s="13">
        <v>1853.48</v>
      </c>
      <c r="P801" s="152"/>
      <c r="S801" s="18"/>
    </row>
    <row r="802" spans="1:19" s="17" customFormat="1" ht="18.95" customHeight="1" outlineLevel="1" x14ac:dyDescent="0.25">
      <c r="A802" s="146" t="s">
        <v>57</v>
      </c>
      <c r="B802" s="146" t="s">
        <v>78</v>
      </c>
      <c r="C802" s="146" t="s">
        <v>293</v>
      </c>
      <c r="D802" s="137">
        <v>43427</v>
      </c>
      <c r="E802" s="156" t="s">
        <v>710</v>
      </c>
      <c r="F802" s="12">
        <v>43466</v>
      </c>
      <c r="G802" s="12">
        <v>43646</v>
      </c>
      <c r="H802" s="146"/>
      <c r="I802" s="13">
        <v>1998.64</v>
      </c>
      <c r="J802" s="95" t="s">
        <v>23</v>
      </c>
      <c r="K802" s="95" t="s">
        <v>23</v>
      </c>
      <c r="L802" s="97" t="s">
        <v>23</v>
      </c>
      <c r="M802" s="97" t="s">
        <v>23</v>
      </c>
      <c r="N802" s="97" t="s">
        <v>23</v>
      </c>
      <c r="O802" s="4" t="s">
        <v>23</v>
      </c>
      <c r="P802" s="153"/>
      <c r="S802" s="18"/>
    </row>
    <row r="803" spans="1:19" s="17" customFormat="1" ht="18.95" customHeight="1" outlineLevel="1" x14ac:dyDescent="0.25">
      <c r="A803" s="148"/>
      <c r="B803" s="148"/>
      <c r="C803" s="148"/>
      <c r="D803" s="141"/>
      <c r="E803" s="156"/>
      <c r="F803" s="12">
        <v>43647</v>
      </c>
      <c r="G803" s="12">
        <v>43830</v>
      </c>
      <c r="H803" s="147"/>
      <c r="I803" s="13">
        <v>2074.87</v>
      </c>
      <c r="J803" s="95" t="s">
        <v>23</v>
      </c>
      <c r="K803" s="95" t="s">
        <v>23</v>
      </c>
      <c r="L803" s="97" t="s">
        <v>23</v>
      </c>
      <c r="M803" s="97" t="s">
        <v>23</v>
      </c>
      <c r="N803" s="97" t="s">
        <v>23</v>
      </c>
      <c r="O803" s="4" t="s">
        <v>23</v>
      </c>
      <c r="P803" s="152"/>
      <c r="S803" s="18"/>
    </row>
    <row r="804" spans="1:19" s="17" customFormat="1" ht="18.95" customHeight="1" outlineLevel="1" x14ac:dyDescent="0.25">
      <c r="A804" s="148"/>
      <c r="B804" s="148"/>
      <c r="C804" s="148"/>
      <c r="D804" s="137">
        <v>43427</v>
      </c>
      <c r="E804" s="156" t="s">
        <v>710</v>
      </c>
      <c r="F804" s="12">
        <v>43466</v>
      </c>
      <c r="G804" s="12">
        <v>43646</v>
      </c>
      <c r="H804" s="149"/>
      <c r="I804" s="96" t="s">
        <v>23</v>
      </c>
      <c r="J804" s="95" t="s">
        <v>23</v>
      </c>
      <c r="K804" s="95" t="s">
        <v>23</v>
      </c>
      <c r="L804" s="97" t="s">
        <v>23</v>
      </c>
      <c r="M804" s="97" t="s">
        <v>23</v>
      </c>
      <c r="N804" s="97" t="s">
        <v>23</v>
      </c>
      <c r="O804" s="13">
        <v>1553.7762711864409</v>
      </c>
      <c r="P804" s="144" t="s">
        <v>444</v>
      </c>
      <c r="S804" s="18"/>
    </row>
    <row r="805" spans="1:19" s="17" customFormat="1" ht="18.95" customHeight="1" outlineLevel="1" x14ac:dyDescent="0.25">
      <c r="A805" s="147"/>
      <c r="B805" s="148"/>
      <c r="C805" s="148"/>
      <c r="D805" s="141"/>
      <c r="E805" s="156"/>
      <c r="F805" s="12">
        <v>43647</v>
      </c>
      <c r="G805" s="12">
        <v>43830</v>
      </c>
      <c r="H805" s="151"/>
      <c r="I805" s="96" t="s">
        <v>23</v>
      </c>
      <c r="J805" s="95" t="s">
        <v>23</v>
      </c>
      <c r="K805" s="95" t="s">
        <v>23</v>
      </c>
      <c r="L805" s="97" t="s">
        <v>23</v>
      </c>
      <c r="M805" s="97" t="s">
        <v>23</v>
      </c>
      <c r="N805" s="97" t="s">
        <v>23</v>
      </c>
      <c r="O805" s="13">
        <v>1584.85</v>
      </c>
      <c r="P805" s="145"/>
      <c r="S805" s="18"/>
    </row>
    <row r="806" spans="1:19" s="17" customFormat="1" ht="18.95" customHeight="1" outlineLevel="1" x14ac:dyDescent="0.25">
      <c r="A806" s="93"/>
      <c r="B806" s="148"/>
      <c r="C806" s="148"/>
      <c r="D806" s="137">
        <v>43454</v>
      </c>
      <c r="E806" s="137" t="s">
        <v>708</v>
      </c>
      <c r="F806" s="12">
        <v>43466</v>
      </c>
      <c r="G806" s="12">
        <v>43646</v>
      </c>
      <c r="H806" s="94"/>
      <c r="I806" s="96" t="s">
        <v>23</v>
      </c>
      <c r="J806" s="95" t="s">
        <v>23</v>
      </c>
      <c r="K806" s="95" t="s">
        <v>23</v>
      </c>
      <c r="L806" s="97" t="s">
        <v>23</v>
      </c>
      <c r="M806" s="97" t="s">
        <v>23</v>
      </c>
      <c r="N806" s="97" t="s">
        <v>23</v>
      </c>
      <c r="O806" s="13">
        <v>772.88135593220352</v>
      </c>
      <c r="P806" s="144" t="s">
        <v>446</v>
      </c>
      <c r="S806" s="18"/>
    </row>
    <row r="807" spans="1:19" s="17" customFormat="1" ht="18.95" customHeight="1" outlineLevel="1" x14ac:dyDescent="0.25">
      <c r="A807" s="93"/>
      <c r="B807" s="147"/>
      <c r="C807" s="147"/>
      <c r="D807" s="141"/>
      <c r="E807" s="141"/>
      <c r="F807" s="12">
        <v>43647</v>
      </c>
      <c r="G807" s="12">
        <v>43830</v>
      </c>
      <c r="H807" s="94"/>
      <c r="I807" s="96" t="s">
        <v>23</v>
      </c>
      <c r="J807" s="95" t="s">
        <v>23</v>
      </c>
      <c r="K807" s="95" t="s">
        <v>23</v>
      </c>
      <c r="L807" s="97" t="s">
        <v>23</v>
      </c>
      <c r="M807" s="97" t="s">
        <v>23</v>
      </c>
      <c r="N807" s="97" t="s">
        <v>23</v>
      </c>
      <c r="O807" s="13">
        <v>788.33898305084756</v>
      </c>
      <c r="P807" s="145"/>
      <c r="S807" s="18"/>
    </row>
    <row r="808" spans="1:19" s="17" customFormat="1" ht="18.95" customHeight="1" outlineLevel="1" x14ac:dyDescent="0.25">
      <c r="A808" s="146" t="s">
        <v>57</v>
      </c>
      <c r="B808" s="146" t="s">
        <v>521</v>
      </c>
      <c r="C808" s="146" t="s">
        <v>779</v>
      </c>
      <c r="D808" s="137">
        <v>43453</v>
      </c>
      <c r="E808" s="156" t="s">
        <v>615</v>
      </c>
      <c r="F808" s="12">
        <v>43466</v>
      </c>
      <c r="G808" s="12">
        <v>43646</v>
      </c>
      <c r="H808" s="146"/>
      <c r="I808" s="13">
        <v>2108.89</v>
      </c>
      <c r="J808" s="95" t="s">
        <v>23</v>
      </c>
      <c r="K808" s="95" t="s">
        <v>23</v>
      </c>
      <c r="L808" s="97" t="s">
        <v>23</v>
      </c>
      <c r="M808" s="97" t="s">
        <v>23</v>
      </c>
      <c r="N808" s="97" t="s">
        <v>23</v>
      </c>
      <c r="O808" s="4" t="s">
        <v>23</v>
      </c>
      <c r="P808" s="153"/>
      <c r="S808" s="18"/>
    </row>
    <row r="809" spans="1:19" s="17" customFormat="1" ht="18.95" customHeight="1" outlineLevel="1" x14ac:dyDescent="0.25">
      <c r="A809" s="148"/>
      <c r="B809" s="148"/>
      <c r="C809" s="148"/>
      <c r="D809" s="141"/>
      <c r="E809" s="156"/>
      <c r="F809" s="12">
        <v>43647</v>
      </c>
      <c r="G809" s="12">
        <v>43830</v>
      </c>
      <c r="H809" s="147"/>
      <c r="I809" s="13">
        <v>2150.92</v>
      </c>
      <c r="J809" s="95" t="s">
        <v>23</v>
      </c>
      <c r="K809" s="95" t="s">
        <v>23</v>
      </c>
      <c r="L809" s="97" t="s">
        <v>23</v>
      </c>
      <c r="M809" s="97" t="s">
        <v>23</v>
      </c>
      <c r="N809" s="97" t="s">
        <v>23</v>
      </c>
      <c r="O809" s="4" t="s">
        <v>23</v>
      </c>
      <c r="P809" s="152"/>
      <c r="S809" s="18"/>
    </row>
    <row r="810" spans="1:19" s="17" customFormat="1" ht="18.95" customHeight="1" outlineLevel="1" x14ac:dyDescent="0.25">
      <c r="A810" s="148"/>
      <c r="B810" s="148"/>
      <c r="C810" s="148"/>
      <c r="D810" s="137">
        <v>43454</v>
      </c>
      <c r="E810" s="137" t="s">
        <v>708</v>
      </c>
      <c r="F810" s="12">
        <v>43466</v>
      </c>
      <c r="G810" s="12">
        <v>43646</v>
      </c>
      <c r="H810" s="149"/>
      <c r="I810" s="96" t="s">
        <v>23</v>
      </c>
      <c r="J810" s="95" t="s">
        <v>23</v>
      </c>
      <c r="K810" s="95" t="s">
        <v>23</v>
      </c>
      <c r="L810" s="97" t="s">
        <v>23</v>
      </c>
      <c r="M810" s="97" t="s">
        <v>23</v>
      </c>
      <c r="N810" s="97" t="s">
        <v>23</v>
      </c>
      <c r="O810" s="13">
        <v>2403.5898305084747</v>
      </c>
      <c r="P810" s="144" t="s">
        <v>444</v>
      </c>
      <c r="S810" s="18"/>
    </row>
    <row r="811" spans="1:19" s="17" customFormat="1" ht="18.95" customHeight="1" outlineLevel="1" x14ac:dyDescent="0.25">
      <c r="A811" s="148"/>
      <c r="B811" s="148"/>
      <c r="C811" s="148"/>
      <c r="D811" s="141"/>
      <c r="E811" s="141"/>
      <c r="F811" s="12">
        <v>43647</v>
      </c>
      <c r="G811" s="12">
        <v>43830</v>
      </c>
      <c r="H811" s="150"/>
      <c r="I811" s="96" t="s">
        <v>23</v>
      </c>
      <c r="J811" s="95" t="s">
        <v>23</v>
      </c>
      <c r="K811" s="95" t="s">
        <v>23</v>
      </c>
      <c r="L811" s="97" t="s">
        <v>23</v>
      </c>
      <c r="M811" s="97" t="s">
        <v>23</v>
      </c>
      <c r="N811" s="97" t="s">
        <v>23</v>
      </c>
      <c r="O811" s="13">
        <v>2451.6668135593218</v>
      </c>
      <c r="P811" s="145"/>
      <c r="S811" s="18"/>
    </row>
    <row r="812" spans="1:19" s="17" customFormat="1" ht="32.25" customHeight="1" outlineLevel="1" x14ac:dyDescent="0.25">
      <c r="A812" s="148"/>
      <c r="B812" s="148"/>
      <c r="C812" s="148"/>
      <c r="D812" s="137">
        <v>43454</v>
      </c>
      <c r="E812" s="137" t="s">
        <v>708</v>
      </c>
      <c r="F812" s="12">
        <v>43466</v>
      </c>
      <c r="G812" s="12">
        <v>43646</v>
      </c>
      <c r="H812" s="150"/>
      <c r="I812" s="96" t="s">
        <v>23</v>
      </c>
      <c r="J812" s="95" t="s">
        <v>23</v>
      </c>
      <c r="K812" s="95" t="s">
        <v>23</v>
      </c>
      <c r="L812" s="97" t="s">
        <v>23</v>
      </c>
      <c r="M812" s="97" t="s">
        <v>23</v>
      </c>
      <c r="N812" s="97" t="s">
        <v>23</v>
      </c>
      <c r="O812" s="13">
        <v>1667.3796610169491</v>
      </c>
      <c r="P812" s="144" t="s">
        <v>711</v>
      </c>
      <c r="S812" s="18"/>
    </row>
    <row r="813" spans="1:19" s="17" customFormat="1" ht="32.25" customHeight="1" outlineLevel="1" x14ac:dyDescent="0.25">
      <c r="A813" s="148"/>
      <c r="B813" s="148"/>
      <c r="C813" s="148"/>
      <c r="D813" s="141"/>
      <c r="E813" s="141"/>
      <c r="F813" s="12">
        <v>43647</v>
      </c>
      <c r="G813" s="12">
        <v>43830</v>
      </c>
      <c r="H813" s="151"/>
      <c r="I813" s="96" t="s">
        <v>23</v>
      </c>
      <c r="J813" s="95" t="s">
        <v>23</v>
      </c>
      <c r="K813" s="95" t="s">
        <v>23</v>
      </c>
      <c r="L813" s="97" t="s">
        <v>23</v>
      </c>
      <c r="M813" s="97" t="s">
        <v>23</v>
      </c>
      <c r="N813" s="97" t="s">
        <v>23</v>
      </c>
      <c r="O813" s="13">
        <v>1700.727254237288</v>
      </c>
      <c r="P813" s="145"/>
      <c r="S813" s="18"/>
    </row>
    <row r="814" spans="1:19" s="17" customFormat="1" ht="33.75" customHeight="1" outlineLevel="1" x14ac:dyDescent="0.25">
      <c r="A814" s="148"/>
      <c r="B814" s="148"/>
      <c r="C814" s="148"/>
      <c r="D814" s="137">
        <v>43454</v>
      </c>
      <c r="E814" s="137" t="s">
        <v>708</v>
      </c>
      <c r="F814" s="12">
        <v>43466</v>
      </c>
      <c r="G814" s="12">
        <v>43646</v>
      </c>
      <c r="H814" s="94"/>
      <c r="I814" s="96" t="s">
        <v>23</v>
      </c>
      <c r="J814" s="95" t="s">
        <v>23</v>
      </c>
      <c r="K814" s="95" t="s">
        <v>23</v>
      </c>
      <c r="L814" s="97" t="s">
        <v>23</v>
      </c>
      <c r="M814" s="97" t="s">
        <v>23</v>
      </c>
      <c r="N814" s="97" t="s">
        <v>23</v>
      </c>
      <c r="O814" s="13">
        <v>1818.9559322033899</v>
      </c>
      <c r="P814" s="144" t="s">
        <v>712</v>
      </c>
      <c r="S814" s="18"/>
    </row>
    <row r="815" spans="1:19" s="17" customFormat="1" ht="33.75" customHeight="1" outlineLevel="1" x14ac:dyDescent="0.25">
      <c r="A815" s="147"/>
      <c r="B815" s="147"/>
      <c r="C815" s="147"/>
      <c r="D815" s="141"/>
      <c r="E815" s="141"/>
      <c r="F815" s="12">
        <v>43647</v>
      </c>
      <c r="G815" s="12">
        <v>43830</v>
      </c>
      <c r="H815" s="94"/>
      <c r="I815" s="96" t="s">
        <v>23</v>
      </c>
      <c r="J815" s="95" t="s">
        <v>23</v>
      </c>
      <c r="K815" s="95" t="s">
        <v>23</v>
      </c>
      <c r="L815" s="97" t="s">
        <v>23</v>
      </c>
      <c r="M815" s="97" t="s">
        <v>23</v>
      </c>
      <c r="N815" s="97" t="s">
        <v>23</v>
      </c>
      <c r="O815" s="13">
        <v>1855.3350508474578</v>
      </c>
      <c r="P815" s="145"/>
      <c r="S815" s="18"/>
    </row>
    <row r="816" spans="1:19" s="17" customFormat="1" ht="18.95" customHeight="1" outlineLevel="1" x14ac:dyDescent="0.25">
      <c r="A816" s="146" t="s">
        <v>57</v>
      </c>
      <c r="B816" s="146" t="s">
        <v>58</v>
      </c>
      <c r="C816" s="146" t="s">
        <v>448</v>
      </c>
      <c r="D816" s="156">
        <v>43083</v>
      </c>
      <c r="E816" s="156" t="s">
        <v>608</v>
      </c>
      <c r="F816" s="12">
        <v>43466</v>
      </c>
      <c r="G816" s="12">
        <v>43646</v>
      </c>
      <c r="H816" s="142" t="s">
        <v>807</v>
      </c>
      <c r="I816" s="13">
        <v>2872.24</v>
      </c>
      <c r="J816" s="95" t="s">
        <v>23</v>
      </c>
      <c r="K816" s="95" t="s">
        <v>23</v>
      </c>
      <c r="L816" s="97" t="s">
        <v>23</v>
      </c>
      <c r="M816" s="97" t="s">
        <v>23</v>
      </c>
      <c r="N816" s="97" t="s">
        <v>23</v>
      </c>
      <c r="O816" s="4" t="s">
        <v>23</v>
      </c>
      <c r="P816" s="180" t="s">
        <v>331</v>
      </c>
      <c r="S816" s="18"/>
    </row>
    <row r="817" spans="1:19" s="17" customFormat="1" ht="18.95" customHeight="1" outlineLevel="1" x14ac:dyDescent="0.25">
      <c r="A817" s="148"/>
      <c r="B817" s="148"/>
      <c r="C817" s="148"/>
      <c r="D817" s="156"/>
      <c r="E817" s="156"/>
      <c r="F817" s="12">
        <v>43647</v>
      </c>
      <c r="G817" s="12">
        <v>43830</v>
      </c>
      <c r="H817" s="143"/>
      <c r="I817" s="13">
        <v>3270.55</v>
      </c>
      <c r="J817" s="95" t="s">
        <v>23</v>
      </c>
      <c r="K817" s="95" t="s">
        <v>23</v>
      </c>
      <c r="L817" s="97" t="s">
        <v>23</v>
      </c>
      <c r="M817" s="97" t="s">
        <v>23</v>
      </c>
      <c r="N817" s="97" t="s">
        <v>23</v>
      </c>
      <c r="O817" s="4" t="s">
        <v>23</v>
      </c>
      <c r="P817" s="181"/>
      <c r="S817" s="18"/>
    </row>
    <row r="818" spans="1:19" s="17" customFormat="1" ht="18.95" customHeight="1" outlineLevel="1" x14ac:dyDescent="0.25">
      <c r="A818" s="148"/>
      <c r="B818" s="148"/>
      <c r="C818" s="148"/>
      <c r="D818" s="137">
        <v>43454</v>
      </c>
      <c r="E818" s="137" t="s">
        <v>808</v>
      </c>
      <c r="F818" s="12">
        <v>43466</v>
      </c>
      <c r="G818" s="12">
        <v>43646</v>
      </c>
      <c r="H818" s="149"/>
      <c r="I818" s="96" t="s">
        <v>23</v>
      </c>
      <c r="J818" s="95" t="s">
        <v>23</v>
      </c>
      <c r="K818" s="95" t="s">
        <v>23</v>
      </c>
      <c r="L818" s="97" t="s">
        <v>23</v>
      </c>
      <c r="M818" s="97" t="s">
        <v>23</v>
      </c>
      <c r="N818" s="97" t="s">
        <v>23</v>
      </c>
      <c r="O818" s="13">
        <v>2794.23</v>
      </c>
      <c r="P818" s="181"/>
      <c r="S818" s="18"/>
    </row>
    <row r="819" spans="1:19" s="17" customFormat="1" ht="18.95" customHeight="1" outlineLevel="1" x14ac:dyDescent="0.25">
      <c r="A819" s="148"/>
      <c r="B819" s="148"/>
      <c r="C819" s="147"/>
      <c r="D819" s="141"/>
      <c r="E819" s="141"/>
      <c r="F819" s="12">
        <v>43647</v>
      </c>
      <c r="G819" s="12">
        <v>43830</v>
      </c>
      <c r="H819" s="151"/>
      <c r="I819" s="96" t="s">
        <v>23</v>
      </c>
      <c r="J819" s="95" t="s">
        <v>23</v>
      </c>
      <c r="K819" s="95" t="s">
        <v>23</v>
      </c>
      <c r="L819" s="97" t="s">
        <v>23</v>
      </c>
      <c r="M819" s="97" t="s">
        <v>23</v>
      </c>
      <c r="N819" s="97" t="s">
        <v>23</v>
      </c>
      <c r="O819" s="13">
        <v>2794.23</v>
      </c>
      <c r="P819" s="182"/>
      <c r="S819" s="18"/>
    </row>
    <row r="820" spans="1:19" s="17" customFormat="1" ht="18.95" customHeight="1" outlineLevel="1" x14ac:dyDescent="0.25">
      <c r="A820" s="146" t="s">
        <v>57</v>
      </c>
      <c r="B820" s="146" t="s">
        <v>80</v>
      </c>
      <c r="C820" s="146" t="s">
        <v>81</v>
      </c>
      <c r="D820" s="156">
        <v>43453</v>
      </c>
      <c r="E820" s="156" t="s">
        <v>713</v>
      </c>
      <c r="F820" s="12">
        <v>43466</v>
      </c>
      <c r="G820" s="12">
        <v>43646</v>
      </c>
      <c r="H820" s="146"/>
      <c r="I820" s="13">
        <v>1593.2</v>
      </c>
      <c r="J820" s="95" t="s">
        <v>23</v>
      </c>
      <c r="K820" s="95" t="s">
        <v>23</v>
      </c>
      <c r="L820" s="97" t="s">
        <v>23</v>
      </c>
      <c r="M820" s="97" t="s">
        <v>23</v>
      </c>
      <c r="N820" s="97" t="s">
        <v>23</v>
      </c>
      <c r="O820" s="4" t="s">
        <v>23</v>
      </c>
      <c r="P820" s="153" t="s">
        <v>326</v>
      </c>
      <c r="S820" s="18"/>
    </row>
    <row r="821" spans="1:19" s="17" customFormat="1" ht="18.95" customHeight="1" outlineLevel="1" x14ac:dyDescent="0.25">
      <c r="A821" s="148"/>
      <c r="B821" s="148"/>
      <c r="C821" s="148"/>
      <c r="D821" s="156"/>
      <c r="E821" s="156"/>
      <c r="F821" s="12">
        <v>43647</v>
      </c>
      <c r="G821" s="12">
        <v>43830</v>
      </c>
      <c r="H821" s="147"/>
      <c r="I821" s="13">
        <v>1636.63</v>
      </c>
      <c r="J821" s="95" t="s">
        <v>23</v>
      </c>
      <c r="K821" s="95" t="s">
        <v>23</v>
      </c>
      <c r="L821" s="97" t="s">
        <v>23</v>
      </c>
      <c r="M821" s="97" t="s">
        <v>23</v>
      </c>
      <c r="N821" s="97" t="s">
        <v>23</v>
      </c>
      <c r="O821" s="4" t="s">
        <v>23</v>
      </c>
      <c r="P821" s="152"/>
      <c r="S821" s="18"/>
    </row>
    <row r="822" spans="1:19" s="17" customFormat="1" ht="18.95" customHeight="1" outlineLevel="1" x14ac:dyDescent="0.25">
      <c r="A822" s="148"/>
      <c r="B822" s="148"/>
      <c r="C822" s="148"/>
      <c r="D822" s="156">
        <v>43453</v>
      </c>
      <c r="E822" s="156" t="s">
        <v>713</v>
      </c>
      <c r="F822" s="12">
        <v>43466</v>
      </c>
      <c r="G822" s="12">
        <v>43646</v>
      </c>
      <c r="H822" s="146"/>
      <c r="I822" s="13">
        <v>2144.9</v>
      </c>
      <c r="J822" s="95" t="s">
        <v>23</v>
      </c>
      <c r="K822" s="95" t="s">
        <v>23</v>
      </c>
      <c r="L822" s="97" t="s">
        <v>23</v>
      </c>
      <c r="M822" s="97" t="s">
        <v>23</v>
      </c>
      <c r="N822" s="97" t="s">
        <v>23</v>
      </c>
      <c r="O822" s="4" t="s">
        <v>23</v>
      </c>
      <c r="P822" s="153"/>
      <c r="S822" s="18"/>
    </row>
    <row r="823" spans="1:19" s="17" customFormat="1" ht="18.95" customHeight="1" outlineLevel="1" x14ac:dyDescent="0.25">
      <c r="A823" s="148"/>
      <c r="B823" s="148"/>
      <c r="C823" s="148"/>
      <c r="D823" s="156"/>
      <c r="E823" s="156"/>
      <c r="F823" s="12">
        <v>43647</v>
      </c>
      <c r="G823" s="12">
        <v>43830</v>
      </c>
      <c r="H823" s="147"/>
      <c r="I823" s="13">
        <v>2201.4</v>
      </c>
      <c r="J823" s="95" t="s">
        <v>23</v>
      </c>
      <c r="K823" s="95" t="s">
        <v>23</v>
      </c>
      <c r="L823" s="97" t="s">
        <v>23</v>
      </c>
      <c r="M823" s="97" t="s">
        <v>23</v>
      </c>
      <c r="N823" s="97" t="s">
        <v>23</v>
      </c>
      <c r="O823" s="4" t="s">
        <v>23</v>
      </c>
      <c r="P823" s="152"/>
      <c r="S823" s="18"/>
    </row>
    <row r="824" spans="1:19" s="17" customFormat="1" ht="18.95" customHeight="1" outlineLevel="1" x14ac:dyDescent="0.25">
      <c r="A824" s="148"/>
      <c r="B824" s="148"/>
      <c r="C824" s="148"/>
      <c r="D824" s="137">
        <v>43454</v>
      </c>
      <c r="E824" s="137" t="s">
        <v>708</v>
      </c>
      <c r="F824" s="12">
        <v>43466</v>
      </c>
      <c r="G824" s="12">
        <v>43646</v>
      </c>
      <c r="H824" s="149"/>
      <c r="I824" s="96" t="s">
        <v>23</v>
      </c>
      <c r="J824" s="95" t="s">
        <v>23</v>
      </c>
      <c r="K824" s="95" t="s">
        <v>23</v>
      </c>
      <c r="L824" s="97" t="s">
        <v>23</v>
      </c>
      <c r="M824" s="97" t="s">
        <v>23</v>
      </c>
      <c r="N824" s="97" t="s">
        <v>23</v>
      </c>
      <c r="O824" s="13">
        <v>2132.9796610169492</v>
      </c>
      <c r="P824" s="153"/>
      <c r="S824" s="18"/>
    </row>
    <row r="825" spans="1:19" s="17" customFormat="1" ht="18.95" customHeight="1" outlineLevel="1" x14ac:dyDescent="0.25">
      <c r="A825" s="147"/>
      <c r="B825" s="147"/>
      <c r="C825" s="147"/>
      <c r="D825" s="141"/>
      <c r="E825" s="141"/>
      <c r="F825" s="12">
        <v>43647</v>
      </c>
      <c r="G825" s="12">
        <v>43830</v>
      </c>
      <c r="H825" s="151"/>
      <c r="I825" s="96" t="s">
        <v>23</v>
      </c>
      <c r="J825" s="95" t="s">
        <v>23</v>
      </c>
      <c r="K825" s="95" t="s">
        <v>23</v>
      </c>
      <c r="L825" s="97" t="s">
        <v>23</v>
      </c>
      <c r="M825" s="97" t="s">
        <v>23</v>
      </c>
      <c r="N825" s="97" t="s">
        <v>23</v>
      </c>
      <c r="O825" s="13">
        <v>2175.64</v>
      </c>
      <c r="P825" s="152"/>
      <c r="S825" s="18"/>
    </row>
    <row r="826" spans="1:19" s="17" customFormat="1" ht="18.95" customHeight="1" outlineLevel="1" x14ac:dyDescent="0.25">
      <c r="A826" s="146" t="s">
        <v>57</v>
      </c>
      <c r="B826" s="146" t="s">
        <v>82</v>
      </c>
      <c r="C826" s="146" t="s">
        <v>83</v>
      </c>
      <c r="D826" s="156">
        <v>43434</v>
      </c>
      <c r="E826" s="156" t="s">
        <v>352</v>
      </c>
      <c r="F826" s="12">
        <v>43466</v>
      </c>
      <c r="G826" s="12">
        <v>43646</v>
      </c>
      <c r="H826" s="146"/>
      <c r="I826" s="13">
        <v>4681.32</v>
      </c>
      <c r="J826" s="95" t="s">
        <v>23</v>
      </c>
      <c r="K826" s="95" t="s">
        <v>23</v>
      </c>
      <c r="L826" s="97" t="s">
        <v>23</v>
      </c>
      <c r="M826" s="97" t="s">
        <v>23</v>
      </c>
      <c r="N826" s="97" t="s">
        <v>23</v>
      </c>
      <c r="O826" s="4" t="s">
        <v>23</v>
      </c>
      <c r="P826" s="153"/>
      <c r="S826" s="18"/>
    </row>
    <row r="827" spans="1:19" s="17" customFormat="1" ht="18.95" customHeight="1" outlineLevel="1" x14ac:dyDescent="0.25">
      <c r="A827" s="148"/>
      <c r="B827" s="148"/>
      <c r="C827" s="148"/>
      <c r="D827" s="156"/>
      <c r="E827" s="156"/>
      <c r="F827" s="12">
        <v>43647</v>
      </c>
      <c r="G827" s="12">
        <v>43830</v>
      </c>
      <c r="H827" s="147"/>
      <c r="I827" s="13">
        <v>4828.7</v>
      </c>
      <c r="J827" s="95" t="s">
        <v>23</v>
      </c>
      <c r="K827" s="95" t="s">
        <v>23</v>
      </c>
      <c r="L827" s="97" t="s">
        <v>23</v>
      </c>
      <c r="M827" s="97" t="s">
        <v>23</v>
      </c>
      <c r="N827" s="97" t="s">
        <v>23</v>
      </c>
      <c r="O827" s="4" t="s">
        <v>23</v>
      </c>
      <c r="P827" s="152"/>
      <c r="S827" s="18"/>
    </row>
    <row r="828" spans="1:19" s="17" customFormat="1" ht="18.95" customHeight="1" outlineLevel="1" x14ac:dyDescent="0.25">
      <c r="A828" s="148"/>
      <c r="B828" s="148"/>
      <c r="C828" s="148"/>
      <c r="D828" s="137">
        <v>43454</v>
      </c>
      <c r="E828" s="137" t="s">
        <v>708</v>
      </c>
      <c r="F828" s="12">
        <v>43466</v>
      </c>
      <c r="G828" s="12">
        <v>43646</v>
      </c>
      <c r="H828" s="149"/>
      <c r="I828" s="96" t="s">
        <v>23</v>
      </c>
      <c r="J828" s="95" t="s">
        <v>23</v>
      </c>
      <c r="K828" s="95" t="s">
        <v>23</v>
      </c>
      <c r="L828" s="97" t="s">
        <v>23</v>
      </c>
      <c r="M828" s="97" t="s">
        <v>23</v>
      </c>
      <c r="N828" s="97" t="s">
        <v>23</v>
      </c>
      <c r="O828" s="13">
        <v>2626.9627118644071</v>
      </c>
      <c r="P828" s="153"/>
      <c r="S828" s="18"/>
    </row>
    <row r="829" spans="1:19" s="17" customFormat="1" ht="18.95" customHeight="1" outlineLevel="1" x14ac:dyDescent="0.25">
      <c r="A829" s="147"/>
      <c r="B829" s="147"/>
      <c r="C829" s="147"/>
      <c r="D829" s="141"/>
      <c r="E829" s="141"/>
      <c r="F829" s="12">
        <v>43647</v>
      </c>
      <c r="G829" s="12">
        <v>43830</v>
      </c>
      <c r="H829" s="151"/>
      <c r="I829" s="96" t="s">
        <v>23</v>
      </c>
      <c r="J829" s="95" t="s">
        <v>23</v>
      </c>
      <c r="K829" s="95" t="s">
        <v>23</v>
      </c>
      <c r="L829" s="97" t="s">
        <v>23</v>
      </c>
      <c r="M829" s="97" t="s">
        <v>23</v>
      </c>
      <c r="N829" s="97" t="s">
        <v>23</v>
      </c>
      <c r="O829" s="13">
        <v>2626.96</v>
      </c>
      <c r="P829" s="152"/>
      <c r="S829" s="18"/>
    </row>
    <row r="830" spans="1:19" s="17" customFormat="1" ht="18.95" customHeight="1" outlineLevel="1" x14ac:dyDescent="0.25">
      <c r="A830" s="148"/>
      <c r="B830" s="146" t="s">
        <v>84</v>
      </c>
      <c r="C830" s="146" t="s">
        <v>319</v>
      </c>
      <c r="D830" s="137">
        <v>43454</v>
      </c>
      <c r="E830" s="137" t="s">
        <v>792</v>
      </c>
      <c r="F830" s="12">
        <v>43466</v>
      </c>
      <c r="G830" s="12">
        <v>43646</v>
      </c>
      <c r="H830" s="148"/>
      <c r="I830" s="13">
        <v>3163.12</v>
      </c>
      <c r="J830" s="111" t="s">
        <v>23</v>
      </c>
      <c r="K830" s="111" t="s">
        <v>23</v>
      </c>
      <c r="L830" s="113" t="s">
        <v>23</v>
      </c>
      <c r="M830" s="113" t="s">
        <v>23</v>
      </c>
      <c r="N830" s="113" t="s">
        <v>23</v>
      </c>
      <c r="O830" s="112" t="s">
        <v>85</v>
      </c>
      <c r="P830" s="144"/>
      <c r="S830" s="18"/>
    </row>
    <row r="831" spans="1:19" s="17" customFormat="1" ht="18.95" customHeight="1" outlineLevel="1" x14ac:dyDescent="0.25">
      <c r="A831" s="148"/>
      <c r="B831" s="148"/>
      <c r="C831" s="148"/>
      <c r="D831" s="141"/>
      <c r="E831" s="141"/>
      <c r="F831" s="12">
        <v>43647</v>
      </c>
      <c r="G831" s="12">
        <v>43830</v>
      </c>
      <c r="H831" s="147"/>
      <c r="I831" s="13">
        <v>4000.88</v>
      </c>
      <c r="J831" s="111" t="s">
        <v>23</v>
      </c>
      <c r="K831" s="111" t="s">
        <v>23</v>
      </c>
      <c r="L831" s="113" t="s">
        <v>23</v>
      </c>
      <c r="M831" s="113" t="s">
        <v>23</v>
      </c>
      <c r="N831" s="113" t="s">
        <v>23</v>
      </c>
      <c r="O831" s="112" t="s">
        <v>85</v>
      </c>
      <c r="P831" s="145"/>
      <c r="S831" s="18"/>
    </row>
    <row r="832" spans="1:19" s="17" customFormat="1" ht="18.95" customHeight="1" outlineLevel="1" x14ac:dyDescent="0.25">
      <c r="A832" s="148"/>
      <c r="B832" s="148"/>
      <c r="C832" s="148"/>
      <c r="D832" s="137">
        <v>43454</v>
      </c>
      <c r="E832" s="137" t="s">
        <v>708</v>
      </c>
      <c r="F832" s="12">
        <v>43466</v>
      </c>
      <c r="G832" s="12">
        <v>43646</v>
      </c>
      <c r="H832" s="149"/>
      <c r="I832" s="112" t="s">
        <v>23</v>
      </c>
      <c r="J832" s="111" t="s">
        <v>23</v>
      </c>
      <c r="K832" s="111" t="s">
        <v>23</v>
      </c>
      <c r="L832" s="113" t="s">
        <v>23</v>
      </c>
      <c r="M832" s="113" t="s">
        <v>23</v>
      </c>
      <c r="N832" s="113" t="s">
        <v>23</v>
      </c>
      <c r="O832" s="13">
        <v>2174.92</v>
      </c>
      <c r="P832" s="144" t="s">
        <v>444</v>
      </c>
      <c r="Q832" s="17">
        <f>O832/1.2</f>
        <v>1812.4333333333334</v>
      </c>
      <c r="R832" s="67">
        <f>I830-Q832</f>
        <v>1350.6866666666665</v>
      </c>
      <c r="S832" s="18">
        <f>R832*712.346</f>
        <v>962156.24425333319</v>
      </c>
    </row>
    <row r="833" spans="1:19" s="17" customFormat="1" ht="18.95" customHeight="1" outlineLevel="1" x14ac:dyDescent="0.25">
      <c r="A833" s="148"/>
      <c r="B833" s="148"/>
      <c r="C833" s="148"/>
      <c r="D833" s="138"/>
      <c r="E833" s="138"/>
      <c r="F833" s="12">
        <v>43647</v>
      </c>
      <c r="G833" s="12">
        <v>43830</v>
      </c>
      <c r="H833" s="150"/>
      <c r="I833" s="112" t="s">
        <v>23</v>
      </c>
      <c r="J833" s="111" t="s">
        <v>23</v>
      </c>
      <c r="K833" s="111" t="s">
        <v>23</v>
      </c>
      <c r="L833" s="113" t="s">
        <v>23</v>
      </c>
      <c r="M833" s="113" t="s">
        <v>23</v>
      </c>
      <c r="N833" s="113" t="s">
        <v>23</v>
      </c>
      <c r="O833" s="13">
        <v>2218.42</v>
      </c>
      <c r="P833" s="145"/>
      <c r="S833" s="18"/>
    </row>
    <row r="834" spans="1:19" s="17" customFormat="1" ht="18.95" customHeight="1" outlineLevel="1" x14ac:dyDescent="0.25">
      <c r="A834" s="148"/>
      <c r="B834" s="148"/>
      <c r="C834" s="148"/>
      <c r="D834" s="138"/>
      <c r="E834" s="138"/>
      <c r="F834" s="12">
        <v>43466</v>
      </c>
      <c r="G834" s="12">
        <v>43646</v>
      </c>
      <c r="H834" s="150"/>
      <c r="I834" s="112" t="s">
        <v>23</v>
      </c>
      <c r="J834" s="111" t="s">
        <v>23</v>
      </c>
      <c r="K834" s="111" t="s">
        <v>23</v>
      </c>
      <c r="L834" s="113" t="s">
        <v>23</v>
      </c>
      <c r="M834" s="113" t="s">
        <v>23</v>
      </c>
      <c r="N834" s="113" t="s">
        <v>23</v>
      </c>
      <c r="O834" s="13">
        <v>1483.19</v>
      </c>
      <c r="P834" s="144" t="s">
        <v>446</v>
      </c>
      <c r="S834" s="18"/>
    </row>
    <row r="835" spans="1:19" s="17" customFormat="1" ht="18.95" customHeight="1" outlineLevel="1" x14ac:dyDescent="0.25">
      <c r="A835" s="147"/>
      <c r="B835" s="147"/>
      <c r="C835" s="147"/>
      <c r="D835" s="141"/>
      <c r="E835" s="141"/>
      <c r="F835" s="12">
        <v>43647</v>
      </c>
      <c r="G835" s="12">
        <v>43830</v>
      </c>
      <c r="H835" s="151"/>
      <c r="I835" s="112" t="s">
        <v>23</v>
      </c>
      <c r="J835" s="111" t="s">
        <v>23</v>
      </c>
      <c r="K835" s="111" t="s">
        <v>23</v>
      </c>
      <c r="L835" s="113" t="s">
        <v>23</v>
      </c>
      <c r="M835" s="113" t="s">
        <v>23</v>
      </c>
      <c r="N835" s="113" t="s">
        <v>23</v>
      </c>
      <c r="O835" s="13">
        <v>1512.85</v>
      </c>
      <c r="P835" s="145"/>
      <c r="S835" s="18"/>
    </row>
    <row r="836" spans="1:19" s="17" customFormat="1" ht="18.95" customHeight="1" outlineLevel="1" x14ac:dyDescent="0.25">
      <c r="A836" s="146" t="s">
        <v>57</v>
      </c>
      <c r="B836" s="146" t="s">
        <v>79</v>
      </c>
      <c r="C836" s="146" t="s">
        <v>294</v>
      </c>
      <c r="D836" s="137">
        <v>43490</v>
      </c>
      <c r="E836" s="156" t="s">
        <v>714</v>
      </c>
      <c r="F836" s="12">
        <v>43466</v>
      </c>
      <c r="G836" s="12">
        <v>43496</v>
      </c>
      <c r="H836" s="146" t="s">
        <v>827</v>
      </c>
      <c r="I836" s="13">
        <v>2777.64</v>
      </c>
      <c r="J836" s="95" t="s">
        <v>23</v>
      </c>
      <c r="K836" s="95" t="s">
        <v>23</v>
      </c>
      <c r="L836" s="97" t="s">
        <v>23</v>
      </c>
      <c r="M836" s="97" t="s">
        <v>23</v>
      </c>
      <c r="N836" s="97" t="s">
        <v>23</v>
      </c>
      <c r="O836" s="4" t="s">
        <v>23</v>
      </c>
      <c r="P836" s="153" t="s">
        <v>29</v>
      </c>
      <c r="S836" s="18"/>
    </row>
    <row r="837" spans="1:19" s="17" customFormat="1" ht="18.95" customHeight="1" outlineLevel="1" x14ac:dyDescent="0.25">
      <c r="A837" s="148"/>
      <c r="B837" s="148"/>
      <c r="C837" s="148"/>
      <c r="D837" s="138"/>
      <c r="E837" s="156"/>
      <c r="F837" s="12">
        <v>43497</v>
      </c>
      <c r="G837" s="12">
        <v>43646</v>
      </c>
      <c r="H837" s="148"/>
      <c r="I837" s="13">
        <v>3333.17</v>
      </c>
      <c r="J837" s="95"/>
      <c r="K837" s="95"/>
      <c r="L837" s="97"/>
      <c r="M837" s="97"/>
      <c r="N837" s="97"/>
      <c r="O837" s="4"/>
      <c r="P837" s="169"/>
      <c r="S837" s="18"/>
    </row>
    <row r="838" spans="1:19" s="17" customFormat="1" ht="18.95" customHeight="1" outlineLevel="1" x14ac:dyDescent="0.25">
      <c r="A838" s="148"/>
      <c r="B838" s="148"/>
      <c r="C838" s="148"/>
      <c r="D838" s="141"/>
      <c r="E838" s="156"/>
      <c r="F838" s="12">
        <v>43647</v>
      </c>
      <c r="G838" s="12">
        <v>43830</v>
      </c>
      <c r="H838" s="147"/>
      <c r="I838" s="13">
        <v>3400.28</v>
      </c>
      <c r="J838" s="95" t="s">
        <v>23</v>
      </c>
      <c r="K838" s="95" t="s">
        <v>23</v>
      </c>
      <c r="L838" s="97" t="s">
        <v>23</v>
      </c>
      <c r="M838" s="97" t="s">
        <v>23</v>
      </c>
      <c r="N838" s="97" t="s">
        <v>23</v>
      </c>
      <c r="O838" s="4" t="s">
        <v>23</v>
      </c>
      <c r="P838" s="152"/>
      <c r="S838" s="18"/>
    </row>
    <row r="839" spans="1:19" s="17" customFormat="1" ht="18.95" customHeight="1" outlineLevel="1" x14ac:dyDescent="0.25">
      <c r="A839" s="148"/>
      <c r="B839" s="148"/>
      <c r="C839" s="148"/>
      <c r="D839" s="137">
        <v>43490</v>
      </c>
      <c r="E839" s="137" t="s">
        <v>714</v>
      </c>
      <c r="F839" s="12">
        <v>43466</v>
      </c>
      <c r="G839" s="12">
        <v>43646</v>
      </c>
      <c r="H839" s="149"/>
      <c r="I839" s="96" t="s">
        <v>23</v>
      </c>
      <c r="J839" s="95" t="s">
        <v>23</v>
      </c>
      <c r="K839" s="95" t="s">
        <v>23</v>
      </c>
      <c r="L839" s="97" t="s">
        <v>23</v>
      </c>
      <c r="M839" s="97" t="s">
        <v>23</v>
      </c>
      <c r="N839" s="97" t="s">
        <v>23</v>
      </c>
      <c r="O839" s="13">
        <v>2601.640677966102</v>
      </c>
      <c r="P839" s="144" t="s">
        <v>444</v>
      </c>
      <c r="S839" s="18"/>
    </row>
    <row r="840" spans="1:19" s="17" customFormat="1" ht="18.95" customHeight="1" outlineLevel="1" x14ac:dyDescent="0.25">
      <c r="A840" s="148"/>
      <c r="B840" s="148"/>
      <c r="C840" s="148"/>
      <c r="D840" s="141"/>
      <c r="E840" s="141"/>
      <c r="F840" s="12">
        <v>43647</v>
      </c>
      <c r="G840" s="12">
        <v>43830</v>
      </c>
      <c r="H840" s="150"/>
      <c r="I840" s="96" t="s">
        <v>23</v>
      </c>
      <c r="J840" s="95" t="s">
        <v>23</v>
      </c>
      <c r="K840" s="95" t="s">
        <v>23</v>
      </c>
      <c r="L840" s="97" t="s">
        <v>23</v>
      </c>
      <c r="M840" s="97" t="s">
        <v>23</v>
      </c>
      <c r="N840" s="97" t="s">
        <v>23</v>
      </c>
      <c r="O840" s="13">
        <v>2601.64</v>
      </c>
      <c r="P840" s="145"/>
      <c r="S840" s="18"/>
    </row>
    <row r="841" spans="1:19" s="17" customFormat="1" ht="18.95" customHeight="1" outlineLevel="1" x14ac:dyDescent="0.25">
      <c r="A841" s="148"/>
      <c r="B841" s="148"/>
      <c r="C841" s="148"/>
      <c r="D841" s="137">
        <v>43454</v>
      </c>
      <c r="E841" s="137" t="s">
        <v>708</v>
      </c>
      <c r="F841" s="12">
        <v>43466</v>
      </c>
      <c r="G841" s="12">
        <v>43646</v>
      </c>
      <c r="H841" s="150"/>
      <c r="I841" s="96" t="s">
        <v>23</v>
      </c>
      <c r="J841" s="95" t="s">
        <v>23</v>
      </c>
      <c r="K841" s="95" t="s">
        <v>23</v>
      </c>
      <c r="L841" s="97" t="s">
        <v>23</v>
      </c>
      <c r="M841" s="97" t="s">
        <v>23</v>
      </c>
      <c r="N841" s="97" t="s">
        <v>23</v>
      </c>
      <c r="O841" s="13">
        <v>1912.1491525423728</v>
      </c>
      <c r="P841" s="144" t="s">
        <v>446</v>
      </c>
      <c r="S841" s="18"/>
    </row>
    <row r="842" spans="1:19" s="17" customFormat="1" ht="18.95" customHeight="1" outlineLevel="1" x14ac:dyDescent="0.25">
      <c r="A842" s="147"/>
      <c r="B842" s="147"/>
      <c r="C842" s="147"/>
      <c r="D842" s="141"/>
      <c r="E842" s="141"/>
      <c r="F842" s="12">
        <v>43647</v>
      </c>
      <c r="G842" s="12">
        <v>43830</v>
      </c>
      <c r="H842" s="151"/>
      <c r="I842" s="96" t="s">
        <v>23</v>
      </c>
      <c r="J842" s="95" t="s">
        <v>23</v>
      </c>
      <c r="K842" s="95" t="s">
        <v>23</v>
      </c>
      <c r="L842" s="97" t="s">
        <v>23</v>
      </c>
      <c r="M842" s="97" t="s">
        <v>23</v>
      </c>
      <c r="N842" s="97" t="s">
        <v>23</v>
      </c>
      <c r="O842" s="13">
        <v>1950.39</v>
      </c>
      <c r="P842" s="145"/>
      <c r="S842" s="18"/>
    </row>
    <row r="843" spans="1:19" s="17" customFormat="1" ht="18.95" customHeight="1" outlineLevel="1" x14ac:dyDescent="0.25">
      <c r="A843" s="146" t="s">
        <v>57</v>
      </c>
      <c r="B843" s="146" t="s">
        <v>79</v>
      </c>
      <c r="C843" s="146" t="s">
        <v>779</v>
      </c>
      <c r="D843" s="137">
        <v>43539</v>
      </c>
      <c r="E843" s="156" t="s">
        <v>832</v>
      </c>
      <c r="F843" s="12">
        <v>43539</v>
      </c>
      <c r="G843" s="12">
        <v>43646</v>
      </c>
      <c r="H843" s="146"/>
      <c r="I843" s="13">
        <v>1537.12</v>
      </c>
      <c r="J843" s="95" t="s">
        <v>23</v>
      </c>
      <c r="K843" s="95" t="s">
        <v>23</v>
      </c>
      <c r="L843" s="97" t="s">
        <v>23</v>
      </c>
      <c r="M843" s="97" t="s">
        <v>23</v>
      </c>
      <c r="N843" s="97" t="s">
        <v>23</v>
      </c>
      <c r="O843" s="4" t="s">
        <v>23</v>
      </c>
      <c r="P843" s="153"/>
      <c r="S843" s="18"/>
    </row>
    <row r="844" spans="1:19" s="17" customFormat="1" ht="18.95" customHeight="1" outlineLevel="1" x14ac:dyDescent="0.25">
      <c r="A844" s="147"/>
      <c r="B844" s="147"/>
      <c r="C844" s="147"/>
      <c r="D844" s="141"/>
      <c r="E844" s="156"/>
      <c r="F844" s="12">
        <v>43647</v>
      </c>
      <c r="G844" s="12">
        <v>43830</v>
      </c>
      <c r="H844" s="147"/>
      <c r="I844" s="13">
        <v>1537.12</v>
      </c>
      <c r="J844" s="95" t="s">
        <v>23</v>
      </c>
      <c r="K844" s="95" t="s">
        <v>23</v>
      </c>
      <c r="L844" s="97" t="s">
        <v>23</v>
      </c>
      <c r="M844" s="97" t="s">
        <v>23</v>
      </c>
      <c r="N844" s="97" t="s">
        <v>23</v>
      </c>
      <c r="O844" s="4" t="s">
        <v>23</v>
      </c>
      <c r="P844" s="152"/>
      <c r="S844" s="18"/>
    </row>
    <row r="845" spans="1:19" s="17" customFormat="1" ht="18.95" customHeight="1" outlineLevel="1" x14ac:dyDescent="0.25">
      <c r="A845" s="146" t="s">
        <v>57</v>
      </c>
      <c r="B845" s="146" t="s">
        <v>522</v>
      </c>
      <c r="C845" s="146" t="s">
        <v>86</v>
      </c>
      <c r="D845" s="156">
        <v>43453</v>
      </c>
      <c r="E845" s="137" t="s">
        <v>715</v>
      </c>
      <c r="F845" s="12">
        <v>43466</v>
      </c>
      <c r="G845" s="12">
        <v>43646</v>
      </c>
      <c r="H845" s="146"/>
      <c r="I845" s="13">
        <v>3146.15</v>
      </c>
      <c r="J845" s="95" t="s">
        <v>23</v>
      </c>
      <c r="K845" s="95" t="s">
        <v>23</v>
      </c>
      <c r="L845" s="97" t="s">
        <v>23</v>
      </c>
      <c r="M845" s="97" t="s">
        <v>23</v>
      </c>
      <c r="N845" s="97" t="s">
        <v>23</v>
      </c>
      <c r="O845" s="4" t="s">
        <v>23</v>
      </c>
      <c r="P845" s="153"/>
      <c r="S845" s="18"/>
    </row>
    <row r="846" spans="1:19" s="17" customFormat="1" ht="18.95" customHeight="1" outlineLevel="1" x14ac:dyDescent="0.25">
      <c r="A846" s="148"/>
      <c r="B846" s="148"/>
      <c r="C846" s="148"/>
      <c r="D846" s="156"/>
      <c r="E846" s="141"/>
      <c r="F846" s="12">
        <v>43647</v>
      </c>
      <c r="G846" s="12">
        <v>43830</v>
      </c>
      <c r="H846" s="147"/>
      <c r="I846" s="13">
        <v>3303.41</v>
      </c>
      <c r="J846" s="95" t="s">
        <v>23</v>
      </c>
      <c r="K846" s="95" t="s">
        <v>23</v>
      </c>
      <c r="L846" s="97" t="s">
        <v>23</v>
      </c>
      <c r="M846" s="97" t="s">
        <v>23</v>
      </c>
      <c r="N846" s="97" t="s">
        <v>23</v>
      </c>
      <c r="O846" s="4" t="s">
        <v>23</v>
      </c>
      <c r="P846" s="169"/>
      <c r="S846" s="18"/>
    </row>
    <row r="847" spans="1:19" s="17" customFormat="1" ht="18.95" customHeight="1" outlineLevel="1" x14ac:dyDescent="0.25">
      <c r="A847" s="148"/>
      <c r="B847" s="148"/>
      <c r="C847" s="148"/>
      <c r="D847" s="137">
        <v>43454</v>
      </c>
      <c r="E847" s="137" t="s">
        <v>708</v>
      </c>
      <c r="F847" s="12">
        <v>43466</v>
      </c>
      <c r="G847" s="12">
        <v>43646</v>
      </c>
      <c r="H847" s="149"/>
      <c r="I847" s="96" t="s">
        <v>23</v>
      </c>
      <c r="J847" s="95" t="s">
        <v>23</v>
      </c>
      <c r="K847" s="95" t="s">
        <v>23</v>
      </c>
      <c r="L847" s="97" t="s">
        <v>23</v>
      </c>
      <c r="M847" s="97" t="s">
        <v>23</v>
      </c>
      <c r="N847" s="97" t="s">
        <v>23</v>
      </c>
      <c r="O847" s="13">
        <v>2550.4</v>
      </c>
      <c r="P847" s="169"/>
      <c r="S847" s="18"/>
    </row>
    <row r="848" spans="1:19" s="17" customFormat="1" ht="18.95" customHeight="1" outlineLevel="1" x14ac:dyDescent="0.25">
      <c r="A848" s="148"/>
      <c r="B848" s="148"/>
      <c r="C848" s="148"/>
      <c r="D848" s="141"/>
      <c r="E848" s="141"/>
      <c r="F848" s="12">
        <v>43647</v>
      </c>
      <c r="G848" s="12">
        <v>43830</v>
      </c>
      <c r="H848" s="151"/>
      <c r="I848" s="96" t="s">
        <v>23</v>
      </c>
      <c r="J848" s="95" t="s">
        <v>23</v>
      </c>
      <c r="K848" s="95" t="s">
        <v>23</v>
      </c>
      <c r="L848" s="97" t="s">
        <v>23</v>
      </c>
      <c r="M848" s="97" t="s">
        <v>23</v>
      </c>
      <c r="N848" s="97" t="s">
        <v>23</v>
      </c>
      <c r="O848" s="13">
        <v>2550.4</v>
      </c>
      <c r="P848" s="152"/>
      <c r="S848" s="18"/>
    </row>
    <row r="849" spans="1:19" s="17" customFormat="1" ht="18.95" customHeight="1" outlineLevel="1" x14ac:dyDescent="0.25">
      <c r="A849" s="146" t="s">
        <v>57</v>
      </c>
      <c r="B849" s="146" t="s">
        <v>523</v>
      </c>
      <c r="C849" s="148"/>
      <c r="D849" s="137">
        <v>43441</v>
      </c>
      <c r="E849" s="137" t="s">
        <v>716</v>
      </c>
      <c r="F849" s="12">
        <v>43466</v>
      </c>
      <c r="G849" s="12">
        <v>43646</v>
      </c>
      <c r="H849" s="146"/>
      <c r="I849" s="13">
        <v>551.70000000000005</v>
      </c>
      <c r="J849" s="95" t="s">
        <v>23</v>
      </c>
      <c r="K849" s="95" t="s">
        <v>23</v>
      </c>
      <c r="L849" s="97" t="s">
        <v>23</v>
      </c>
      <c r="M849" s="97" t="s">
        <v>23</v>
      </c>
      <c r="N849" s="97" t="s">
        <v>23</v>
      </c>
      <c r="O849" s="96" t="s">
        <v>23</v>
      </c>
      <c r="P849" s="144" t="s">
        <v>379</v>
      </c>
      <c r="S849" s="18"/>
    </row>
    <row r="850" spans="1:19" s="17" customFormat="1" ht="18.95" customHeight="1" outlineLevel="1" x14ac:dyDescent="0.25">
      <c r="A850" s="147"/>
      <c r="B850" s="147"/>
      <c r="C850" s="148"/>
      <c r="D850" s="141"/>
      <c r="E850" s="141"/>
      <c r="F850" s="12">
        <v>43647</v>
      </c>
      <c r="G850" s="12">
        <v>43830</v>
      </c>
      <c r="H850" s="147"/>
      <c r="I850" s="13">
        <v>564.77</v>
      </c>
      <c r="J850" s="95" t="s">
        <v>23</v>
      </c>
      <c r="K850" s="95" t="s">
        <v>23</v>
      </c>
      <c r="L850" s="97" t="s">
        <v>23</v>
      </c>
      <c r="M850" s="97" t="s">
        <v>23</v>
      </c>
      <c r="N850" s="97" t="s">
        <v>23</v>
      </c>
      <c r="O850" s="96" t="s">
        <v>23</v>
      </c>
      <c r="P850" s="158"/>
      <c r="S850" s="18"/>
    </row>
    <row r="851" spans="1:19" s="17" customFormat="1" ht="18.95" customHeight="1" outlineLevel="1" x14ac:dyDescent="0.25">
      <c r="A851" s="146" t="s">
        <v>57</v>
      </c>
      <c r="B851" s="146" t="s">
        <v>522</v>
      </c>
      <c r="C851" s="148"/>
      <c r="D851" s="137">
        <v>43441</v>
      </c>
      <c r="E851" s="137" t="s">
        <v>716</v>
      </c>
      <c r="F851" s="12">
        <v>43466</v>
      </c>
      <c r="G851" s="12">
        <v>43646</v>
      </c>
      <c r="H851" s="146"/>
      <c r="I851" s="13">
        <v>832.49</v>
      </c>
      <c r="J851" s="95" t="s">
        <v>23</v>
      </c>
      <c r="K851" s="95" t="s">
        <v>23</v>
      </c>
      <c r="L851" s="97" t="s">
        <v>23</v>
      </c>
      <c r="M851" s="97" t="s">
        <v>23</v>
      </c>
      <c r="N851" s="97" t="s">
        <v>23</v>
      </c>
      <c r="O851" s="96" t="s">
        <v>23</v>
      </c>
      <c r="P851" s="158"/>
      <c r="S851" s="18"/>
    </row>
    <row r="852" spans="1:19" s="17" customFormat="1" ht="18.95" customHeight="1" outlineLevel="1" x14ac:dyDescent="0.25">
      <c r="A852" s="147"/>
      <c r="B852" s="147"/>
      <c r="C852" s="147"/>
      <c r="D852" s="141"/>
      <c r="E852" s="141"/>
      <c r="F852" s="12">
        <v>43647</v>
      </c>
      <c r="G852" s="12">
        <v>43830</v>
      </c>
      <c r="H852" s="147"/>
      <c r="I852" s="13">
        <v>910.8</v>
      </c>
      <c r="J852" s="95" t="s">
        <v>23</v>
      </c>
      <c r="K852" s="95" t="s">
        <v>23</v>
      </c>
      <c r="L852" s="97" t="s">
        <v>23</v>
      </c>
      <c r="M852" s="97" t="s">
        <v>23</v>
      </c>
      <c r="N852" s="97" t="s">
        <v>23</v>
      </c>
      <c r="O852" s="96" t="s">
        <v>23</v>
      </c>
      <c r="P852" s="145"/>
      <c r="S852" s="18"/>
    </row>
    <row r="853" spans="1:19" s="17" customFormat="1" ht="18.95" customHeight="1" outlineLevel="1" x14ac:dyDescent="0.25">
      <c r="A853" s="146" t="s">
        <v>57</v>
      </c>
      <c r="B853" s="146" t="s">
        <v>77</v>
      </c>
      <c r="C853" s="146" t="s">
        <v>779</v>
      </c>
      <c r="D853" s="156">
        <v>43453</v>
      </c>
      <c r="E853" s="156" t="s">
        <v>717</v>
      </c>
      <c r="F853" s="12">
        <v>43466</v>
      </c>
      <c r="G853" s="12">
        <v>43646</v>
      </c>
      <c r="H853" s="146"/>
      <c r="I853" s="13">
        <v>3420.79</v>
      </c>
      <c r="J853" s="95" t="s">
        <v>23</v>
      </c>
      <c r="K853" s="95" t="s">
        <v>23</v>
      </c>
      <c r="L853" s="97" t="s">
        <v>23</v>
      </c>
      <c r="M853" s="97" t="s">
        <v>23</v>
      </c>
      <c r="N853" s="97" t="s">
        <v>23</v>
      </c>
      <c r="O853" s="4" t="s">
        <v>23</v>
      </c>
      <c r="P853" s="153"/>
      <c r="S853" s="18"/>
    </row>
    <row r="854" spans="1:19" s="17" customFormat="1" ht="18.95" customHeight="1" outlineLevel="1" x14ac:dyDescent="0.25">
      <c r="A854" s="148"/>
      <c r="B854" s="148"/>
      <c r="C854" s="148"/>
      <c r="D854" s="156"/>
      <c r="E854" s="156"/>
      <c r="F854" s="12">
        <v>43647</v>
      </c>
      <c r="G854" s="12">
        <v>43830</v>
      </c>
      <c r="H854" s="147"/>
      <c r="I854" s="13">
        <v>3561.62</v>
      </c>
      <c r="J854" s="95" t="s">
        <v>23</v>
      </c>
      <c r="K854" s="95" t="s">
        <v>23</v>
      </c>
      <c r="L854" s="97" t="s">
        <v>23</v>
      </c>
      <c r="M854" s="97" t="s">
        <v>23</v>
      </c>
      <c r="N854" s="97" t="s">
        <v>23</v>
      </c>
      <c r="O854" s="4" t="s">
        <v>23</v>
      </c>
      <c r="P854" s="152"/>
      <c r="S854" s="18"/>
    </row>
    <row r="855" spans="1:19" s="17" customFormat="1" ht="18.95" customHeight="1" outlineLevel="1" x14ac:dyDescent="0.25">
      <c r="A855" s="148"/>
      <c r="B855" s="148"/>
      <c r="C855" s="148"/>
      <c r="D855" s="137">
        <v>43454</v>
      </c>
      <c r="E855" s="137" t="s">
        <v>708</v>
      </c>
      <c r="F855" s="12">
        <v>43466</v>
      </c>
      <c r="G855" s="12">
        <v>43646</v>
      </c>
      <c r="H855" s="149"/>
      <c r="I855" s="96" t="s">
        <v>23</v>
      </c>
      <c r="J855" s="95" t="s">
        <v>23</v>
      </c>
      <c r="K855" s="95" t="s">
        <v>23</v>
      </c>
      <c r="L855" s="97" t="s">
        <v>23</v>
      </c>
      <c r="M855" s="97" t="s">
        <v>23</v>
      </c>
      <c r="N855" s="97" t="s">
        <v>23</v>
      </c>
      <c r="O855" s="13">
        <v>2831.4813559322038</v>
      </c>
      <c r="P855" s="153"/>
      <c r="S855" s="18"/>
    </row>
    <row r="856" spans="1:19" s="17" customFormat="1" ht="18.95" customHeight="1" outlineLevel="1" x14ac:dyDescent="0.25">
      <c r="A856" s="147"/>
      <c r="B856" s="147"/>
      <c r="C856" s="148"/>
      <c r="D856" s="141"/>
      <c r="E856" s="141"/>
      <c r="F856" s="12">
        <v>43647</v>
      </c>
      <c r="G856" s="12">
        <v>43830</v>
      </c>
      <c r="H856" s="151"/>
      <c r="I856" s="96" t="s">
        <v>23</v>
      </c>
      <c r="J856" s="95" t="s">
        <v>23</v>
      </c>
      <c r="K856" s="95" t="s">
        <v>23</v>
      </c>
      <c r="L856" s="97" t="s">
        <v>23</v>
      </c>
      <c r="M856" s="97" t="s">
        <v>23</v>
      </c>
      <c r="N856" s="97" t="s">
        <v>23</v>
      </c>
      <c r="O856" s="13">
        <v>2831.48</v>
      </c>
      <c r="P856" s="152"/>
      <c r="S856" s="18"/>
    </row>
    <row r="857" spans="1:19" s="17" customFormat="1" ht="18.95" customHeight="1" outlineLevel="1" x14ac:dyDescent="0.25">
      <c r="A857" s="146" t="s">
        <v>57</v>
      </c>
      <c r="B857" s="146" t="s">
        <v>524</v>
      </c>
      <c r="C857" s="148"/>
      <c r="D857" s="156">
        <v>43453</v>
      </c>
      <c r="E857" s="156" t="s">
        <v>717</v>
      </c>
      <c r="F857" s="12">
        <v>43466</v>
      </c>
      <c r="G857" s="12">
        <v>43646</v>
      </c>
      <c r="H857" s="146"/>
      <c r="I857" s="13">
        <v>3420.79</v>
      </c>
      <c r="J857" s="95" t="s">
        <v>23</v>
      </c>
      <c r="K857" s="95" t="s">
        <v>23</v>
      </c>
      <c r="L857" s="97" t="s">
        <v>23</v>
      </c>
      <c r="M857" s="97" t="s">
        <v>23</v>
      </c>
      <c r="N857" s="97" t="s">
        <v>23</v>
      </c>
      <c r="O857" s="4" t="s">
        <v>23</v>
      </c>
      <c r="P857" s="153"/>
      <c r="S857" s="18"/>
    </row>
    <row r="858" spans="1:19" s="17" customFormat="1" ht="18.95" customHeight="1" outlineLevel="1" x14ac:dyDescent="0.25">
      <c r="A858" s="148"/>
      <c r="B858" s="148" t="s">
        <v>87</v>
      </c>
      <c r="C858" s="148"/>
      <c r="D858" s="156"/>
      <c r="E858" s="156"/>
      <c r="F858" s="12">
        <v>43647</v>
      </c>
      <c r="G858" s="12">
        <v>43830</v>
      </c>
      <c r="H858" s="147"/>
      <c r="I858" s="13">
        <v>3561.62</v>
      </c>
      <c r="J858" s="95" t="s">
        <v>23</v>
      </c>
      <c r="K858" s="95" t="s">
        <v>23</v>
      </c>
      <c r="L858" s="97" t="s">
        <v>23</v>
      </c>
      <c r="M858" s="97" t="s">
        <v>23</v>
      </c>
      <c r="N858" s="97" t="s">
        <v>23</v>
      </c>
      <c r="O858" s="4" t="s">
        <v>23</v>
      </c>
      <c r="P858" s="169"/>
      <c r="S858" s="18"/>
    </row>
    <row r="859" spans="1:19" s="17" customFormat="1" ht="18.95" customHeight="1" outlineLevel="1" x14ac:dyDescent="0.25">
      <c r="A859" s="148"/>
      <c r="B859" s="148"/>
      <c r="C859" s="148"/>
      <c r="D859" s="137">
        <v>43454</v>
      </c>
      <c r="E859" s="137" t="s">
        <v>708</v>
      </c>
      <c r="F859" s="12">
        <v>43466</v>
      </c>
      <c r="G859" s="12">
        <v>43646</v>
      </c>
      <c r="H859" s="149"/>
      <c r="I859" s="96" t="s">
        <v>23</v>
      </c>
      <c r="J859" s="95" t="s">
        <v>23</v>
      </c>
      <c r="K859" s="95" t="s">
        <v>23</v>
      </c>
      <c r="L859" s="97" t="s">
        <v>23</v>
      </c>
      <c r="M859" s="97" t="s">
        <v>23</v>
      </c>
      <c r="N859" s="97" t="s">
        <v>23</v>
      </c>
      <c r="O859" s="13">
        <v>2327.8532542372882</v>
      </c>
      <c r="P859" s="169"/>
      <c r="S859" s="18"/>
    </row>
    <row r="860" spans="1:19" s="17" customFormat="1" ht="18.95" customHeight="1" outlineLevel="1" x14ac:dyDescent="0.25">
      <c r="A860" s="148"/>
      <c r="B860" s="148"/>
      <c r="C860" s="148"/>
      <c r="D860" s="141"/>
      <c r="E860" s="141"/>
      <c r="F860" s="12">
        <v>43647</v>
      </c>
      <c r="G860" s="12">
        <v>43830</v>
      </c>
      <c r="H860" s="151"/>
      <c r="I860" s="96" t="s">
        <v>23</v>
      </c>
      <c r="J860" s="95" t="s">
        <v>23</v>
      </c>
      <c r="K860" s="95" t="s">
        <v>23</v>
      </c>
      <c r="L860" s="97" t="s">
        <v>23</v>
      </c>
      <c r="M860" s="97" t="s">
        <v>23</v>
      </c>
      <c r="N860" s="97" t="s">
        <v>23</v>
      </c>
      <c r="O860" s="13">
        <v>2374.41</v>
      </c>
      <c r="P860" s="152"/>
      <c r="S860" s="18"/>
    </row>
    <row r="861" spans="1:19" s="17" customFormat="1" ht="18.95" customHeight="1" outlineLevel="1" x14ac:dyDescent="0.25">
      <c r="A861" s="146" t="s">
        <v>57</v>
      </c>
      <c r="B861" s="146" t="s">
        <v>525</v>
      </c>
      <c r="C861" s="148"/>
      <c r="D861" s="156">
        <v>43453</v>
      </c>
      <c r="E861" s="156" t="s">
        <v>717</v>
      </c>
      <c r="F861" s="12">
        <v>43466</v>
      </c>
      <c r="G861" s="12">
        <v>43646</v>
      </c>
      <c r="H861" s="146"/>
      <c r="I861" s="13">
        <v>3420.79</v>
      </c>
      <c r="J861" s="95" t="s">
        <v>23</v>
      </c>
      <c r="K861" s="95" t="s">
        <v>23</v>
      </c>
      <c r="L861" s="97" t="s">
        <v>23</v>
      </c>
      <c r="M861" s="97" t="s">
        <v>23</v>
      </c>
      <c r="N861" s="97" t="s">
        <v>23</v>
      </c>
      <c r="O861" s="4" t="s">
        <v>23</v>
      </c>
      <c r="P861" s="153"/>
      <c r="S861" s="18"/>
    </row>
    <row r="862" spans="1:19" s="17" customFormat="1" ht="18.95" customHeight="1" outlineLevel="1" x14ac:dyDescent="0.25">
      <c r="A862" s="148"/>
      <c r="B862" s="148" t="s">
        <v>88</v>
      </c>
      <c r="C862" s="148"/>
      <c r="D862" s="156"/>
      <c r="E862" s="156"/>
      <c r="F862" s="12">
        <v>43647</v>
      </c>
      <c r="G862" s="12">
        <v>43830</v>
      </c>
      <c r="H862" s="147"/>
      <c r="I862" s="13">
        <v>3561.62</v>
      </c>
      <c r="J862" s="95" t="s">
        <v>23</v>
      </c>
      <c r="K862" s="95" t="s">
        <v>23</v>
      </c>
      <c r="L862" s="97" t="s">
        <v>23</v>
      </c>
      <c r="M862" s="97" t="s">
        <v>23</v>
      </c>
      <c r="N862" s="97" t="s">
        <v>23</v>
      </c>
      <c r="O862" s="4" t="s">
        <v>23</v>
      </c>
      <c r="P862" s="169"/>
      <c r="S862" s="18"/>
    </row>
    <row r="863" spans="1:19" s="17" customFormat="1" ht="18.95" customHeight="1" outlineLevel="1" x14ac:dyDescent="0.25">
      <c r="A863" s="148"/>
      <c r="B863" s="148"/>
      <c r="C863" s="148"/>
      <c r="D863" s="137">
        <v>43454</v>
      </c>
      <c r="E863" s="137" t="s">
        <v>708</v>
      </c>
      <c r="F863" s="12">
        <v>43466</v>
      </c>
      <c r="G863" s="12">
        <v>43646</v>
      </c>
      <c r="H863" s="149"/>
      <c r="I863" s="96" t="s">
        <v>23</v>
      </c>
      <c r="J863" s="95" t="s">
        <v>23</v>
      </c>
      <c r="K863" s="95" t="s">
        <v>23</v>
      </c>
      <c r="L863" s="97" t="s">
        <v>23</v>
      </c>
      <c r="M863" s="97" t="s">
        <v>23</v>
      </c>
      <c r="N863" s="97" t="s">
        <v>23</v>
      </c>
      <c r="O863" s="13">
        <v>2618.1717966101696</v>
      </c>
      <c r="P863" s="169"/>
      <c r="S863" s="18"/>
    </row>
    <row r="864" spans="1:19" s="17" customFormat="1" ht="18.95" customHeight="1" outlineLevel="1" x14ac:dyDescent="0.25">
      <c r="A864" s="148"/>
      <c r="B864" s="148"/>
      <c r="C864" s="148"/>
      <c r="D864" s="141"/>
      <c r="E864" s="141"/>
      <c r="F864" s="12">
        <v>43647</v>
      </c>
      <c r="G864" s="12">
        <v>43830</v>
      </c>
      <c r="H864" s="151"/>
      <c r="I864" s="96" t="s">
        <v>23</v>
      </c>
      <c r="J864" s="95" t="s">
        <v>23</v>
      </c>
      <c r="K864" s="95" t="s">
        <v>23</v>
      </c>
      <c r="L864" s="97" t="s">
        <v>23</v>
      </c>
      <c r="M864" s="97" t="s">
        <v>23</v>
      </c>
      <c r="N864" s="97" t="s">
        <v>23</v>
      </c>
      <c r="O864" s="13">
        <v>2618.17</v>
      </c>
      <c r="P864" s="152"/>
      <c r="S864" s="18"/>
    </row>
    <row r="865" spans="1:19" s="17" customFormat="1" ht="18.95" customHeight="1" outlineLevel="1" x14ac:dyDescent="0.25">
      <c r="A865" s="146" t="s">
        <v>57</v>
      </c>
      <c r="B865" s="146" t="s">
        <v>89</v>
      </c>
      <c r="C865" s="148"/>
      <c r="D865" s="156">
        <v>43453</v>
      </c>
      <c r="E865" s="156" t="s">
        <v>717</v>
      </c>
      <c r="F865" s="12">
        <v>43466</v>
      </c>
      <c r="G865" s="12">
        <v>43646</v>
      </c>
      <c r="H865" s="146"/>
      <c r="I865" s="13">
        <v>3420.79</v>
      </c>
      <c r="J865" s="95" t="s">
        <v>23</v>
      </c>
      <c r="K865" s="95" t="s">
        <v>23</v>
      </c>
      <c r="L865" s="97" t="s">
        <v>23</v>
      </c>
      <c r="M865" s="97" t="s">
        <v>23</v>
      </c>
      <c r="N865" s="97" t="s">
        <v>23</v>
      </c>
      <c r="O865" s="4" t="s">
        <v>23</v>
      </c>
      <c r="P865" s="153"/>
      <c r="S865" s="18"/>
    </row>
    <row r="866" spans="1:19" s="17" customFormat="1" ht="18.95" customHeight="1" outlineLevel="1" x14ac:dyDescent="0.25">
      <c r="A866" s="148"/>
      <c r="B866" s="148"/>
      <c r="C866" s="148"/>
      <c r="D866" s="156"/>
      <c r="E866" s="156"/>
      <c r="F866" s="12">
        <v>43647</v>
      </c>
      <c r="G866" s="12">
        <v>43830</v>
      </c>
      <c r="H866" s="147"/>
      <c r="I866" s="13">
        <v>3561.62</v>
      </c>
      <c r="J866" s="95" t="s">
        <v>23</v>
      </c>
      <c r="K866" s="95" t="s">
        <v>23</v>
      </c>
      <c r="L866" s="97" t="s">
        <v>23</v>
      </c>
      <c r="M866" s="97" t="s">
        <v>23</v>
      </c>
      <c r="N866" s="97" t="s">
        <v>23</v>
      </c>
      <c r="O866" s="4" t="s">
        <v>23</v>
      </c>
      <c r="P866" s="169"/>
      <c r="S866" s="18"/>
    </row>
    <row r="867" spans="1:19" s="17" customFormat="1" ht="18.95" customHeight="1" outlineLevel="1" x14ac:dyDescent="0.25">
      <c r="A867" s="148"/>
      <c r="B867" s="148"/>
      <c r="C867" s="148"/>
      <c r="D867" s="137">
        <v>43454</v>
      </c>
      <c r="E867" s="137" t="s">
        <v>708</v>
      </c>
      <c r="F867" s="12">
        <v>43466</v>
      </c>
      <c r="G867" s="12">
        <v>43646</v>
      </c>
      <c r="H867" s="149"/>
      <c r="I867" s="96" t="s">
        <v>23</v>
      </c>
      <c r="J867" s="95" t="s">
        <v>23</v>
      </c>
      <c r="K867" s="95" t="s">
        <v>23</v>
      </c>
      <c r="L867" s="97" t="s">
        <v>23</v>
      </c>
      <c r="M867" s="97" t="s">
        <v>23</v>
      </c>
      <c r="N867" s="97" t="s">
        <v>23</v>
      </c>
      <c r="O867" s="13">
        <v>2531.4</v>
      </c>
      <c r="P867" s="169"/>
      <c r="S867" s="18"/>
    </row>
    <row r="868" spans="1:19" s="17" customFormat="1" ht="18.95" customHeight="1" outlineLevel="1" x14ac:dyDescent="0.25">
      <c r="A868" s="148"/>
      <c r="B868" s="148"/>
      <c r="C868" s="147"/>
      <c r="D868" s="141"/>
      <c r="E868" s="141"/>
      <c r="F868" s="12">
        <v>43647</v>
      </c>
      <c r="G868" s="12">
        <v>43830</v>
      </c>
      <c r="H868" s="151"/>
      <c r="I868" s="96" t="s">
        <v>23</v>
      </c>
      <c r="J868" s="95" t="s">
        <v>23</v>
      </c>
      <c r="K868" s="95" t="s">
        <v>23</v>
      </c>
      <c r="L868" s="97" t="s">
        <v>23</v>
      </c>
      <c r="M868" s="97" t="s">
        <v>23</v>
      </c>
      <c r="N868" s="97" t="s">
        <v>23</v>
      </c>
      <c r="O868" s="13">
        <v>2531.4</v>
      </c>
      <c r="P868" s="152"/>
      <c r="S868" s="18"/>
    </row>
    <row r="869" spans="1:19" s="17" customFormat="1" ht="18.95" customHeight="1" outlineLevel="1" x14ac:dyDescent="0.25">
      <c r="A869" s="146" t="s">
        <v>57</v>
      </c>
      <c r="B869" s="146" t="s">
        <v>90</v>
      </c>
      <c r="C869" s="146" t="s">
        <v>91</v>
      </c>
      <c r="D869" s="137">
        <v>43792</v>
      </c>
      <c r="E869" s="137" t="s">
        <v>718</v>
      </c>
      <c r="F869" s="12">
        <v>43466</v>
      </c>
      <c r="G869" s="12">
        <v>43646</v>
      </c>
      <c r="H869" s="146"/>
      <c r="I869" s="13">
        <v>3038.28</v>
      </c>
      <c r="J869" s="95" t="s">
        <v>23</v>
      </c>
      <c r="K869" s="95" t="s">
        <v>23</v>
      </c>
      <c r="L869" s="97" t="s">
        <v>23</v>
      </c>
      <c r="M869" s="97" t="s">
        <v>23</v>
      </c>
      <c r="N869" s="97" t="s">
        <v>23</v>
      </c>
      <c r="O869" s="96" t="s">
        <v>23</v>
      </c>
      <c r="P869" s="153"/>
      <c r="S869" s="18"/>
    </row>
    <row r="870" spans="1:19" s="17" customFormat="1" ht="18.95" customHeight="1" outlineLevel="1" x14ac:dyDescent="0.25">
      <c r="A870" s="147"/>
      <c r="B870" s="147"/>
      <c r="C870" s="147"/>
      <c r="D870" s="141"/>
      <c r="E870" s="141"/>
      <c r="F870" s="12">
        <v>43647</v>
      </c>
      <c r="G870" s="12">
        <v>43830</v>
      </c>
      <c r="H870" s="147"/>
      <c r="I870" s="13">
        <v>3090.69</v>
      </c>
      <c r="J870" s="95" t="s">
        <v>23</v>
      </c>
      <c r="K870" s="95" t="s">
        <v>23</v>
      </c>
      <c r="L870" s="97" t="s">
        <v>23</v>
      </c>
      <c r="M870" s="97" t="s">
        <v>23</v>
      </c>
      <c r="N870" s="97" t="s">
        <v>23</v>
      </c>
      <c r="O870" s="96" t="s">
        <v>23</v>
      </c>
      <c r="P870" s="152"/>
      <c r="S870" s="18"/>
    </row>
    <row r="871" spans="1:19" s="17" customFormat="1" ht="18.95" customHeight="1" outlineLevel="1" x14ac:dyDescent="0.25">
      <c r="A871" s="146" t="s">
        <v>57</v>
      </c>
      <c r="B871" s="146" t="s">
        <v>75</v>
      </c>
      <c r="C871" s="146" t="s">
        <v>232</v>
      </c>
      <c r="D871" s="137">
        <v>43799</v>
      </c>
      <c r="E871" s="137" t="s">
        <v>719</v>
      </c>
      <c r="F871" s="12">
        <v>43466</v>
      </c>
      <c r="G871" s="12">
        <v>43646</v>
      </c>
      <c r="H871" s="149"/>
      <c r="I871" s="13">
        <v>1726.5</v>
      </c>
      <c r="J871" s="95" t="s">
        <v>23</v>
      </c>
      <c r="K871" s="95" t="s">
        <v>23</v>
      </c>
      <c r="L871" s="97" t="s">
        <v>23</v>
      </c>
      <c r="M871" s="97" t="s">
        <v>23</v>
      </c>
      <c r="N871" s="97" t="s">
        <v>23</v>
      </c>
      <c r="O871" s="96" t="s">
        <v>23</v>
      </c>
      <c r="P871" s="153"/>
      <c r="S871" s="18"/>
    </row>
    <row r="872" spans="1:19" s="17" customFormat="1" ht="18.95" customHeight="1" outlineLevel="1" x14ac:dyDescent="0.25">
      <c r="A872" s="147"/>
      <c r="B872" s="147"/>
      <c r="C872" s="147"/>
      <c r="D872" s="141"/>
      <c r="E872" s="141"/>
      <c r="F872" s="12">
        <v>43647</v>
      </c>
      <c r="G872" s="12">
        <v>43830</v>
      </c>
      <c r="H872" s="151"/>
      <c r="I872" s="13">
        <v>1746.83</v>
      </c>
      <c r="J872" s="95" t="s">
        <v>23</v>
      </c>
      <c r="K872" s="95" t="s">
        <v>23</v>
      </c>
      <c r="L872" s="97" t="s">
        <v>23</v>
      </c>
      <c r="M872" s="97" t="s">
        <v>23</v>
      </c>
      <c r="N872" s="97" t="s">
        <v>23</v>
      </c>
      <c r="O872" s="96" t="s">
        <v>23</v>
      </c>
      <c r="P872" s="152"/>
      <c r="S872" s="18"/>
    </row>
    <row r="873" spans="1:19" s="17" customFormat="1" ht="18.95" customHeight="1" outlineLevel="1" x14ac:dyDescent="0.25">
      <c r="A873" s="146" t="s">
        <v>57</v>
      </c>
      <c r="B873" s="146" t="s">
        <v>82</v>
      </c>
      <c r="C873" s="146" t="s">
        <v>363</v>
      </c>
      <c r="D873" s="156">
        <v>43145</v>
      </c>
      <c r="E873" s="137" t="s">
        <v>720</v>
      </c>
      <c r="F873" s="12">
        <v>43466</v>
      </c>
      <c r="G873" s="12">
        <v>43646</v>
      </c>
      <c r="H873" s="146"/>
      <c r="I873" s="13">
        <v>2420</v>
      </c>
      <c r="J873" s="95" t="s">
        <v>23</v>
      </c>
      <c r="K873" s="95" t="s">
        <v>23</v>
      </c>
      <c r="L873" s="97" t="s">
        <v>23</v>
      </c>
      <c r="M873" s="97" t="s">
        <v>23</v>
      </c>
      <c r="N873" s="97" t="s">
        <v>23</v>
      </c>
      <c r="O873" s="4" t="s">
        <v>23</v>
      </c>
      <c r="P873" s="153"/>
      <c r="S873" s="18"/>
    </row>
    <row r="874" spans="1:19" s="17" customFormat="1" ht="18.95" customHeight="1" outlineLevel="1" x14ac:dyDescent="0.25">
      <c r="A874" s="148"/>
      <c r="B874" s="148"/>
      <c r="C874" s="148"/>
      <c r="D874" s="156"/>
      <c r="E874" s="141"/>
      <c r="F874" s="12">
        <v>43647</v>
      </c>
      <c r="G874" s="12">
        <v>43830</v>
      </c>
      <c r="H874" s="147"/>
      <c r="I874" s="13">
        <v>2467.3200000000002</v>
      </c>
      <c r="J874" s="95" t="s">
        <v>23</v>
      </c>
      <c r="K874" s="95" t="s">
        <v>23</v>
      </c>
      <c r="L874" s="97" t="s">
        <v>23</v>
      </c>
      <c r="M874" s="97" t="s">
        <v>23</v>
      </c>
      <c r="N874" s="97" t="s">
        <v>23</v>
      </c>
      <c r="O874" s="4" t="s">
        <v>23</v>
      </c>
      <c r="P874" s="152"/>
      <c r="S874" s="18"/>
    </row>
    <row r="875" spans="1:19" s="17" customFormat="1" ht="18.95" customHeight="1" outlineLevel="1" x14ac:dyDescent="0.25">
      <c r="A875" s="148"/>
      <c r="B875" s="148"/>
      <c r="C875" s="148"/>
      <c r="D875" s="137">
        <v>43454</v>
      </c>
      <c r="E875" s="137" t="s">
        <v>708</v>
      </c>
      <c r="F875" s="12">
        <v>43466</v>
      </c>
      <c r="G875" s="12">
        <v>43646</v>
      </c>
      <c r="H875" s="149"/>
      <c r="I875" s="96" t="s">
        <v>23</v>
      </c>
      <c r="J875" s="95" t="s">
        <v>23</v>
      </c>
      <c r="K875" s="95" t="s">
        <v>23</v>
      </c>
      <c r="L875" s="97" t="s">
        <v>23</v>
      </c>
      <c r="M875" s="97" t="s">
        <v>23</v>
      </c>
      <c r="N875" s="97" t="s">
        <v>23</v>
      </c>
      <c r="O875" s="13">
        <v>1981.2915254237289</v>
      </c>
      <c r="P875" s="153"/>
      <c r="S875" s="18"/>
    </row>
    <row r="876" spans="1:19" s="17" customFormat="1" ht="18.95" customHeight="1" outlineLevel="1" x14ac:dyDescent="0.25">
      <c r="A876" s="148"/>
      <c r="B876" s="148"/>
      <c r="C876" s="148"/>
      <c r="D876" s="141"/>
      <c r="E876" s="141"/>
      <c r="F876" s="12">
        <v>43647</v>
      </c>
      <c r="G876" s="12">
        <v>43830</v>
      </c>
      <c r="H876" s="151"/>
      <c r="I876" s="96" t="s">
        <v>23</v>
      </c>
      <c r="J876" s="95" t="s">
        <v>23</v>
      </c>
      <c r="K876" s="95" t="s">
        <v>23</v>
      </c>
      <c r="L876" s="97" t="s">
        <v>23</v>
      </c>
      <c r="M876" s="97" t="s">
        <v>23</v>
      </c>
      <c r="N876" s="97" t="s">
        <v>23</v>
      </c>
      <c r="O876" s="13">
        <v>2020.92</v>
      </c>
      <c r="P876" s="152"/>
      <c r="S876" s="18"/>
    </row>
    <row r="877" spans="1:19" s="17" customFormat="1" ht="18.95" customHeight="1" outlineLevel="1" x14ac:dyDescent="0.25">
      <c r="A877" s="146" t="s">
        <v>57</v>
      </c>
      <c r="B877" s="146" t="s">
        <v>360</v>
      </c>
      <c r="C877" s="146" t="s">
        <v>357</v>
      </c>
      <c r="D877" s="137">
        <v>43454</v>
      </c>
      <c r="E877" s="137" t="s">
        <v>721</v>
      </c>
      <c r="F877" s="12">
        <v>43466</v>
      </c>
      <c r="G877" s="12">
        <v>43646</v>
      </c>
      <c r="H877" s="146"/>
      <c r="I877" s="13">
        <v>2940</v>
      </c>
      <c r="J877" s="95" t="s">
        <v>23</v>
      </c>
      <c r="K877" s="95" t="s">
        <v>23</v>
      </c>
      <c r="L877" s="97" t="s">
        <v>23</v>
      </c>
      <c r="M877" s="97" t="s">
        <v>23</v>
      </c>
      <c r="N877" s="97" t="s">
        <v>23</v>
      </c>
      <c r="O877" s="4" t="s">
        <v>23</v>
      </c>
      <c r="P877" s="153"/>
      <c r="S877" s="18"/>
    </row>
    <row r="878" spans="1:19" s="17" customFormat="1" ht="18.95" customHeight="1" outlineLevel="1" x14ac:dyDescent="0.25">
      <c r="A878" s="148"/>
      <c r="B878" s="148"/>
      <c r="C878" s="148"/>
      <c r="D878" s="141"/>
      <c r="E878" s="141"/>
      <c r="F878" s="12">
        <v>43647</v>
      </c>
      <c r="G878" s="12">
        <v>43830</v>
      </c>
      <c r="H878" s="147"/>
      <c r="I878" s="13">
        <v>2987.71</v>
      </c>
      <c r="J878" s="95" t="s">
        <v>23</v>
      </c>
      <c r="K878" s="95" t="s">
        <v>23</v>
      </c>
      <c r="L878" s="97" t="s">
        <v>23</v>
      </c>
      <c r="M878" s="97" t="s">
        <v>23</v>
      </c>
      <c r="N878" s="97" t="s">
        <v>23</v>
      </c>
      <c r="O878" s="4" t="s">
        <v>23</v>
      </c>
      <c r="P878" s="152"/>
      <c r="S878" s="18"/>
    </row>
    <row r="879" spans="1:19" s="17" customFormat="1" ht="18.95" customHeight="1" outlineLevel="1" x14ac:dyDescent="0.25">
      <c r="A879" s="148"/>
      <c r="B879" s="148"/>
      <c r="C879" s="148"/>
      <c r="D879" s="137">
        <v>43454</v>
      </c>
      <c r="E879" s="137" t="s">
        <v>708</v>
      </c>
      <c r="F879" s="12">
        <v>43466</v>
      </c>
      <c r="G879" s="12">
        <v>43646</v>
      </c>
      <c r="H879" s="149"/>
      <c r="I879" s="96" t="s">
        <v>23</v>
      </c>
      <c r="J879" s="95" t="s">
        <v>23</v>
      </c>
      <c r="K879" s="95" t="s">
        <v>23</v>
      </c>
      <c r="L879" s="97" t="s">
        <v>23</v>
      </c>
      <c r="M879" s="97" t="s">
        <v>23</v>
      </c>
      <c r="N879" s="97" t="s">
        <v>23</v>
      </c>
      <c r="O879" s="13">
        <v>2566.29</v>
      </c>
      <c r="P879" s="153"/>
      <c r="S879" s="18"/>
    </row>
    <row r="880" spans="1:19" s="17" customFormat="1" ht="18.95" customHeight="1" outlineLevel="1" x14ac:dyDescent="0.25">
      <c r="A880" s="148"/>
      <c r="B880" s="148"/>
      <c r="C880" s="148"/>
      <c r="D880" s="141"/>
      <c r="E880" s="141"/>
      <c r="F880" s="12">
        <v>43647</v>
      </c>
      <c r="G880" s="12">
        <v>43830</v>
      </c>
      <c r="H880" s="151"/>
      <c r="I880" s="96" t="s">
        <v>23</v>
      </c>
      <c r="J880" s="95" t="s">
        <v>23</v>
      </c>
      <c r="K880" s="95" t="s">
        <v>23</v>
      </c>
      <c r="L880" s="97" t="s">
        <v>23</v>
      </c>
      <c r="M880" s="97" t="s">
        <v>23</v>
      </c>
      <c r="N880" s="97" t="s">
        <v>23</v>
      </c>
      <c r="O880" s="13">
        <v>2566.29</v>
      </c>
      <c r="P880" s="152"/>
      <c r="S880" s="18"/>
    </row>
    <row r="881" spans="1:19" s="17" customFormat="1" ht="18.95" customHeight="1" outlineLevel="1" x14ac:dyDescent="0.25">
      <c r="A881" s="6">
        <v>10</v>
      </c>
      <c r="B881" s="6" t="s">
        <v>153</v>
      </c>
      <c r="C881" s="7"/>
      <c r="D881" s="7"/>
      <c r="E881" s="7"/>
      <c r="F881" s="7"/>
      <c r="G881" s="7"/>
      <c r="H881" s="7"/>
      <c r="I881" s="8"/>
      <c r="J881" s="31"/>
      <c r="K881" s="31"/>
      <c r="L881" s="32"/>
      <c r="M881" s="32"/>
      <c r="N881" s="32"/>
      <c r="O881" s="8"/>
      <c r="P881" s="9"/>
      <c r="S881" s="18"/>
    </row>
    <row r="882" spans="1:19" s="17" customFormat="1" ht="18.95" customHeight="1" outlineLevel="1" x14ac:dyDescent="0.25">
      <c r="A882" s="146" t="s">
        <v>51</v>
      </c>
      <c r="B882" s="146" t="s">
        <v>743</v>
      </c>
      <c r="C882" s="146" t="s">
        <v>181</v>
      </c>
      <c r="D882" s="137">
        <v>43453</v>
      </c>
      <c r="E882" s="137" t="s">
        <v>674</v>
      </c>
      <c r="F882" s="12">
        <v>43466</v>
      </c>
      <c r="G882" s="12">
        <v>43646</v>
      </c>
      <c r="H882" s="146"/>
      <c r="I882" s="13">
        <v>2038.79</v>
      </c>
      <c r="J882" s="14" t="s">
        <v>23</v>
      </c>
      <c r="K882" s="14" t="s">
        <v>23</v>
      </c>
      <c r="L882" s="5" t="s">
        <v>23</v>
      </c>
      <c r="M882" s="5" t="s">
        <v>23</v>
      </c>
      <c r="N882" s="5" t="s">
        <v>23</v>
      </c>
      <c r="O882" s="15" t="s">
        <v>23</v>
      </c>
      <c r="P882" s="153"/>
      <c r="S882" s="18"/>
    </row>
    <row r="883" spans="1:19" s="17" customFormat="1" ht="18.95" customHeight="1" outlineLevel="1" x14ac:dyDescent="0.25">
      <c r="A883" s="148"/>
      <c r="B883" s="148"/>
      <c r="C883" s="148"/>
      <c r="D883" s="141"/>
      <c r="E883" s="141"/>
      <c r="F883" s="12">
        <v>43647</v>
      </c>
      <c r="G883" s="12">
        <v>43830</v>
      </c>
      <c r="H883" s="147"/>
      <c r="I883" s="13">
        <v>2052.44</v>
      </c>
      <c r="J883" s="14" t="s">
        <v>23</v>
      </c>
      <c r="K883" s="14" t="s">
        <v>23</v>
      </c>
      <c r="L883" s="5" t="s">
        <v>23</v>
      </c>
      <c r="M883" s="5" t="s">
        <v>23</v>
      </c>
      <c r="N883" s="5" t="s">
        <v>23</v>
      </c>
      <c r="O883" s="15" t="s">
        <v>23</v>
      </c>
      <c r="P883" s="152"/>
      <c r="S883" s="18"/>
    </row>
    <row r="884" spans="1:19" s="17" customFormat="1" ht="18.95" customHeight="1" outlineLevel="1" x14ac:dyDescent="0.25">
      <c r="A884" s="148"/>
      <c r="B884" s="148"/>
      <c r="C884" s="148"/>
      <c r="D884" s="137">
        <v>43454</v>
      </c>
      <c r="E884" s="137" t="s">
        <v>742</v>
      </c>
      <c r="F884" s="12">
        <v>43466</v>
      </c>
      <c r="G884" s="12">
        <v>43646</v>
      </c>
      <c r="H884" s="149"/>
      <c r="I884" s="15" t="s">
        <v>23</v>
      </c>
      <c r="J884" s="14" t="s">
        <v>23</v>
      </c>
      <c r="K884" s="14" t="s">
        <v>23</v>
      </c>
      <c r="L884" s="5" t="s">
        <v>23</v>
      </c>
      <c r="M884" s="5" t="s">
        <v>23</v>
      </c>
      <c r="N884" s="5" t="s">
        <v>23</v>
      </c>
      <c r="O884" s="13">
        <v>2227.84</v>
      </c>
      <c r="P884" s="153"/>
      <c r="S884" s="18"/>
    </row>
    <row r="885" spans="1:19" s="17" customFormat="1" ht="18.95" customHeight="1" outlineLevel="1" x14ac:dyDescent="0.25">
      <c r="A885" s="147"/>
      <c r="B885" s="147"/>
      <c r="C885" s="147"/>
      <c r="D885" s="141"/>
      <c r="E885" s="141"/>
      <c r="F885" s="12">
        <v>43647</v>
      </c>
      <c r="G885" s="12">
        <v>43830</v>
      </c>
      <c r="H885" s="151"/>
      <c r="I885" s="15" t="s">
        <v>23</v>
      </c>
      <c r="J885" s="14" t="s">
        <v>23</v>
      </c>
      <c r="K885" s="14" t="s">
        <v>23</v>
      </c>
      <c r="L885" s="5" t="s">
        <v>23</v>
      </c>
      <c r="M885" s="5" t="s">
        <v>23</v>
      </c>
      <c r="N885" s="5" t="s">
        <v>23</v>
      </c>
      <c r="O885" s="13">
        <v>2272.4</v>
      </c>
      <c r="P885" s="152"/>
      <c r="S885" s="18"/>
    </row>
    <row r="886" spans="1:19" s="17" customFormat="1" ht="18.95" customHeight="1" outlineLevel="1" x14ac:dyDescent="0.25">
      <c r="A886" s="146" t="s">
        <v>51</v>
      </c>
      <c r="B886" s="146" t="s">
        <v>182</v>
      </c>
      <c r="C886" s="146" t="s">
        <v>93</v>
      </c>
      <c r="D886" s="137">
        <v>43453</v>
      </c>
      <c r="E886" s="137" t="s">
        <v>691</v>
      </c>
      <c r="F886" s="12">
        <v>43466</v>
      </c>
      <c r="G886" s="12">
        <v>43646</v>
      </c>
      <c r="H886" s="146"/>
      <c r="I886" s="13">
        <v>2138.73</v>
      </c>
      <c r="J886" s="14" t="s">
        <v>23</v>
      </c>
      <c r="K886" s="14" t="s">
        <v>23</v>
      </c>
      <c r="L886" s="5" t="s">
        <v>23</v>
      </c>
      <c r="M886" s="5" t="s">
        <v>23</v>
      </c>
      <c r="N886" s="5" t="s">
        <v>23</v>
      </c>
      <c r="O886" s="15" t="s">
        <v>23</v>
      </c>
      <c r="P886" s="153"/>
      <c r="S886" s="18"/>
    </row>
    <row r="887" spans="1:19" s="17" customFormat="1" ht="18.95" customHeight="1" outlineLevel="1" x14ac:dyDescent="0.25">
      <c r="A887" s="148"/>
      <c r="B887" s="148"/>
      <c r="C887" s="148"/>
      <c r="D887" s="141"/>
      <c r="E887" s="141"/>
      <c r="F887" s="12">
        <v>43647</v>
      </c>
      <c r="G887" s="12">
        <v>43830</v>
      </c>
      <c r="H887" s="147"/>
      <c r="I887" s="13">
        <v>2144.13</v>
      </c>
      <c r="J887" s="14" t="s">
        <v>23</v>
      </c>
      <c r="K887" s="14" t="s">
        <v>23</v>
      </c>
      <c r="L887" s="5" t="s">
        <v>23</v>
      </c>
      <c r="M887" s="5" t="s">
        <v>23</v>
      </c>
      <c r="N887" s="5" t="s">
        <v>23</v>
      </c>
      <c r="O887" s="15" t="s">
        <v>23</v>
      </c>
      <c r="P887" s="152"/>
      <c r="S887" s="18"/>
    </row>
    <row r="888" spans="1:19" s="17" customFormat="1" ht="18.95" customHeight="1" outlineLevel="1" x14ac:dyDescent="0.25">
      <c r="A888" s="148"/>
      <c r="B888" s="148"/>
      <c r="C888" s="148"/>
      <c r="D888" s="137">
        <v>43454</v>
      </c>
      <c r="E888" s="137" t="s">
        <v>742</v>
      </c>
      <c r="F888" s="12">
        <v>43466</v>
      </c>
      <c r="G888" s="12">
        <v>43646</v>
      </c>
      <c r="H888" s="149"/>
      <c r="I888" s="15" t="s">
        <v>23</v>
      </c>
      <c r="J888" s="14" t="s">
        <v>23</v>
      </c>
      <c r="K888" s="14" t="s">
        <v>23</v>
      </c>
      <c r="L888" s="5" t="s">
        <v>23</v>
      </c>
      <c r="M888" s="5" t="s">
        <v>23</v>
      </c>
      <c r="N888" s="5" t="s">
        <v>23</v>
      </c>
      <c r="O888" s="13">
        <v>2352.87</v>
      </c>
      <c r="P888" s="144" t="s">
        <v>444</v>
      </c>
      <c r="S888" s="18"/>
    </row>
    <row r="889" spans="1:19" s="17" customFormat="1" ht="18.95" customHeight="1" outlineLevel="1" x14ac:dyDescent="0.25">
      <c r="A889" s="148"/>
      <c r="B889" s="148"/>
      <c r="C889" s="148"/>
      <c r="D889" s="138"/>
      <c r="E889" s="138"/>
      <c r="F889" s="12">
        <v>43647</v>
      </c>
      <c r="G889" s="12">
        <v>43830</v>
      </c>
      <c r="H889" s="150"/>
      <c r="I889" s="15" t="s">
        <v>23</v>
      </c>
      <c r="J889" s="14" t="s">
        <v>23</v>
      </c>
      <c r="K889" s="14" t="s">
        <v>23</v>
      </c>
      <c r="L889" s="5" t="s">
        <v>23</v>
      </c>
      <c r="M889" s="5" t="s">
        <v>23</v>
      </c>
      <c r="N889" s="5" t="s">
        <v>23</v>
      </c>
      <c r="O889" s="13">
        <v>2399.9299999999998</v>
      </c>
      <c r="P889" s="145"/>
      <c r="S889" s="18"/>
    </row>
    <row r="890" spans="1:19" s="17" customFormat="1" ht="18.95" customHeight="1" outlineLevel="1" x14ac:dyDescent="0.25">
      <c r="A890" s="148"/>
      <c r="B890" s="148"/>
      <c r="C890" s="148"/>
      <c r="D890" s="138"/>
      <c r="E890" s="138"/>
      <c r="F890" s="12">
        <v>43466</v>
      </c>
      <c r="G890" s="12">
        <v>43646</v>
      </c>
      <c r="H890" s="150"/>
      <c r="I890" s="15" t="s">
        <v>23</v>
      </c>
      <c r="J890" s="14" t="s">
        <v>23</v>
      </c>
      <c r="K890" s="14" t="s">
        <v>23</v>
      </c>
      <c r="L890" s="5" t="s">
        <v>23</v>
      </c>
      <c r="M890" s="5" t="s">
        <v>23</v>
      </c>
      <c r="N890" s="5" t="s">
        <v>23</v>
      </c>
      <c r="O890" s="13">
        <v>1552.02</v>
      </c>
      <c r="P890" s="144" t="s">
        <v>446</v>
      </c>
      <c r="S890" s="18"/>
    </row>
    <row r="891" spans="1:19" s="17" customFormat="1" ht="18.95" customHeight="1" outlineLevel="1" x14ac:dyDescent="0.25">
      <c r="A891" s="147"/>
      <c r="B891" s="147"/>
      <c r="C891" s="147"/>
      <c r="D891" s="141"/>
      <c r="E891" s="141"/>
      <c r="F891" s="12">
        <v>43647</v>
      </c>
      <c r="G891" s="12">
        <v>43830</v>
      </c>
      <c r="H891" s="151"/>
      <c r="I891" s="15" t="s">
        <v>23</v>
      </c>
      <c r="J891" s="14" t="s">
        <v>23</v>
      </c>
      <c r="K891" s="14" t="s">
        <v>23</v>
      </c>
      <c r="L891" s="5" t="s">
        <v>23</v>
      </c>
      <c r="M891" s="5" t="s">
        <v>23</v>
      </c>
      <c r="N891" s="5" t="s">
        <v>23</v>
      </c>
      <c r="O891" s="13">
        <v>1583.06</v>
      </c>
      <c r="P891" s="145"/>
      <c r="S891" s="18"/>
    </row>
    <row r="892" spans="1:19" s="17" customFormat="1" ht="18.95" customHeight="1" outlineLevel="1" x14ac:dyDescent="0.25">
      <c r="A892" s="146" t="s">
        <v>51</v>
      </c>
      <c r="B892" s="146" t="s">
        <v>495</v>
      </c>
      <c r="C892" s="146" t="s">
        <v>494</v>
      </c>
      <c r="D892" s="137">
        <v>43453</v>
      </c>
      <c r="E892" s="137" t="s">
        <v>754</v>
      </c>
      <c r="F892" s="12">
        <v>43466</v>
      </c>
      <c r="G892" s="12">
        <v>43646</v>
      </c>
      <c r="H892" s="146"/>
      <c r="I892" s="13">
        <v>2324.58</v>
      </c>
      <c r="J892" s="14" t="s">
        <v>23</v>
      </c>
      <c r="K892" s="14" t="s">
        <v>23</v>
      </c>
      <c r="L892" s="5" t="s">
        <v>23</v>
      </c>
      <c r="M892" s="5" t="s">
        <v>23</v>
      </c>
      <c r="N892" s="5" t="s">
        <v>23</v>
      </c>
      <c r="O892" s="15" t="s">
        <v>23</v>
      </c>
      <c r="P892" s="153"/>
      <c r="S892" s="18"/>
    </row>
    <row r="893" spans="1:19" s="17" customFormat="1" ht="18.95" customHeight="1" outlineLevel="1" x14ac:dyDescent="0.25">
      <c r="A893" s="148"/>
      <c r="B893" s="148"/>
      <c r="C893" s="148"/>
      <c r="D893" s="141"/>
      <c r="E893" s="141"/>
      <c r="F893" s="12">
        <v>43647</v>
      </c>
      <c r="G893" s="12">
        <v>43830</v>
      </c>
      <c r="H893" s="148"/>
      <c r="I893" s="13">
        <v>2337.25</v>
      </c>
      <c r="J893" s="14" t="s">
        <v>23</v>
      </c>
      <c r="K893" s="14" t="s">
        <v>23</v>
      </c>
      <c r="L893" s="5" t="s">
        <v>23</v>
      </c>
      <c r="M893" s="5" t="s">
        <v>23</v>
      </c>
      <c r="N893" s="5" t="s">
        <v>23</v>
      </c>
      <c r="O893" s="15" t="s">
        <v>23</v>
      </c>
      <c r="P893" s="152"/>
      <c r="S893" s="18"/>
    </row>
    <row r="894" spans="1:19" s="17" customFormat="1" ht="18.95" customHeight="1" outlineLevel="1" x14ac:dyDescent="0.25">
      <c r="A894" s="148"/>
      <c r="B894" s="148"/>
      <c r="C894" s="148"/>
      <c r="D894" s="137">
        <v>43454</v>
      </c>
      <c r="E894" s="137" t="s">
        <v>742</v>
      </c>
      <c r="F894" s="12">
        <v>43466</v>
      </c>
      <c r="G894" s="12">
        <v>43646</v>
      </c>
      <c r="H894" s="148"/>
      <c r="I894" s="15" t="s">
        <v>23</v>
      </c>
      <c r="J894" s="14" t="s">
        <v>23</v>
      </c>
      <c r="K894" s="14" t="s">
        <v>23</v>
      </c>
      <c r="L894" s="5" t="s">
        <v>23</v>
      </c>
      <c r="M894" s="5" t="s">
        <v>23</v>
      </c>
      <c r="N894" s="5" t="s">
        <v>23</v>
      </c>
      <c r="O894" s="13">
        <v>2775.72</v>
      </c>
      <c r="P894" s="153"/>
      <c r="S894" s="18"/>
    </row>
    <row r="895" spans="1:19" s="17" customFormat="1" ht="18.95" customHeight="1" outlineLevel="1" x14ac:dyDescent="0.25">
      <c r="A895" s="147"/>
      <c r="B895" s="147"/>
      <c r="C895" s="147"/>
      <c r="D895" s="141"/>
      <c r="E895" s="141"/>
      <c r="F895" s="12">
        <v>43647</v>
      </c>
      <c r="G895" s="12">
        <v>43830</v>
      </c>
      <c r="H895" s="147"/>
      <c r="I895" s="15" t="s">
        <v>23</v>
      </c>
      <c r="J895" s="14" t="s">
        <v>23</v>
      </c>
      <c r="K895" s="14" t="s">
        <v>23</v>
      </c>
      <c r="L895" s="5" t="s">
        <v>23</v>
      </c>
      <c r="M895" s="5" t="s">
        <v>23</v>
      </c>
      <c r="N895" s="5" t="s">
        <v>23</v>
      </c>
      <c r="O895" s="13">
        <v>2775.72</v>
      </c>
      <c r="P895" s="152"/>
      <c r="S895" s="18"/>
    </row>
    <row r="896" spans="1:19" s="17" customFormat="1" ht="18.95" customHeight="1" outlineLevel="1" x14ac:dyDescent="0.25">
      <c r="A896" s="146" t="s">
        <v>51</v>
      </c>
      <c r="B896" s="146" t="s">
        <v>457</v>
      </c>
      <c r="C896" s="146" t="s">
        <v>94</v>
      </c>
      <c r="D896" s="137">
        <v>43451</v>
      </c>
      <c r="E896" s="137" t="s">
        <v>753</v>
      </c>
      <c r="F896" s="12">
        <v>43466</v>
      </c>
      <c r="G896" s="12">
        <v>43646</v>
      </c>
      <c r="H896" s="146"/>
      <c r="I896" s="13">
        <v>2375.14</v>
      </c>
      <c r="J896" s="14" t="s">
        <v>23</v>
      </c>
      <c r="K896" s="14" t="s">
        <v>23</v>
      </c>
      <c r="L896" s="5" t="s">
        <v>23</v>
      </c>
      <c r="M896" s="5" t="s">
        <v>23</v>
      </c>
      <c r="N896" s="5" t="s">
        <v>23</v>
      </c>
      <c r="O896" s="15" t="s">
        <v>23</v>
      </c>
      <c r="P896" s="153" t="s">
        <v>378</v>
      </c>
      <c r="S896" s="18"/>
    </row>
    <row r="897" spans="1:19" s="17" customFormat="1" ht="18.95" customHeight="1" outlineLevel="1" x14ac:dyDescent="0.25">
      <c r="A897" s="148"/>
      <c r="B897" s="148"/>
      <c r="C897" s="148"/>
      <c r="D897" s="141"/>
      <c r="E897" s="141"/>
      <c r="F897" s="12">
        <v>43647</v>
      </c>
      <c r="G897" s="12">
        <v>43830</v>
      </c>
      <c r="H897" s="147"/>
      <c r="I897" s="13">
        <v>2396.46</v>
      </c>
      <c r="J897" s="14" t="s">
        <v>23</v>
      </c>
      <c r="K897" s="14" t="s">
        <v>23</v>
      </c>
      <c r="L897" s="5" t="s">
        <v>23</v>
      </c>
      <c r="M897" s="5" t="s">
        <v>23</v>
      </c>
      <c r="N897" s="5" t="s">
        <v>23</v>
      </c>
      <c r="O897" s="15" t="s">
        <v>23</v>
      </c>
      <c r="P897" s="169"/>
      <c r="S897" s="18"/>
    </row>
    <row r="898" spans="1:19" s="17" customFormat="1" ht="18.95" customHeight="1" outlineLevel="1" x14ac:dyDescent="0.25">
      <c r="A898" s="148"/>
      <c r="B898" s="148"/>
      <c r="C898" s="148"/>
      <c r="D898" s="137">
        <v>43454</v>
      </c>
      <c r="E898" s="137" t="s">
        <v>742</v>
      </c>
      <c r="F898" s="12">
        <v>43466</v>
      </c>
      <c r="G898" s="12">
        <v>43646</v>
      </c>
      <c r="H898" s="149"/>
      <c r="I898" s="15" t="s">
        <v>23</v>
      </c>
      <c r="J898" s="14" t="s">
        <v>23</v>
      </c>
      <c r="K898" s="14" t="s">
        <v>23</v>
      </c>
      <c r="L898" s="5" t="s">
        <v>23</v>
      </c>
      <c r="M898" s="5" t="s">
        <v>23</v>
      </c>
      <c r="N898" s="5" t="s">
        <v>23</v>
      </c>
      <c r="O898" s="13">
        <v>2464.27</v>
      </c>
      <c r="P898" s="169"/>
      <c r="Q898" s="17">
        <f>O898/1.2</f>
        <v>2053.5583333333334</v>
      </c>
      <c r="R898" s="67">
        <f>I896-Q898</f>
        <v>321.58166666666648</v>
      </c>
      <c r="S898" s="18">
        <f>R898*3803.438</f>
        <v>1223115.9311033327</v>
      </c>
    </row>
    <row r="899" spans="1:19" s="17" customFormat="1" ht="18.95" customHeight="1" outlineLevel="1" x14ac:dyDescent="0.25">
      <c r="A899" s="148"/>
      <c r="B899" s="148"/>
      <c r="C899" s="148"/>
      <c r="D899" s="141"/>
      <c r="E899" s="141"/>
      <c r="F899" s="12">
        <v>43647</v>
      </c>
      <c r="G899" s="12">
        <v>43830</v>
      </c>
      <c r="H899" s="151"/>
      <c r="I899" s="15" t="s">
        <v>23</v>
      </c>
      <c r="J899" s="14" t="s">
        <v>23</v>
      </c>
      <c r="K899" s="14" t="s">
        <v>23</v>
      </c>
      <c r="L899" s="5" t="s">
        <v>23</v>
      </c>
      <c r="M899" s="5" t="s">
        <v>23</v>
      </c>
      <c r="N899" s="5" t="s">
        <v>23</v>
      </c>
      <c r="O899" s="13">
        <v>2513.56</v>
      </c>
      <c r="P899" s="152"/>
      <c r="S899" s="18"/>
    </row>
    <row r="900" spans="1:19" s="17" customFormat="1" ht="18.95" customHeight="1" outlineLevel="1" x14ac:dyDescent="0.25">
      <c r="A900" s="148"/>
      <c r="B900" s="148"/>
      <c r="C900" s="148"/>
      <c r="D900" s="137">
        <v>43454</v>
      </c>
      <c r="E900" s="137" t="s">
        <v>742</v>
      </c>
      <c r="F900" s="12">
        <v>43466</v>
      </c>
      <c r="G900" s="12">
        <v>43646</v>
      </c>
      <c r="H900" s="149"/>
      <c r="I900" s="104" t="s">
        <v>23</v>
      </c>
      <c r="J900" s="103" t="s">
        <v>23</v>
      </c>
      <c r="K900" s="103" t="s">
        <v>23</v>
      </c>
      <c r="L900" s="105" t="s">
        <v>23</v>
      </c>
      <c r="M900" s="105" t="s">
        <v>23</v>
      </c>
      <c r="N900" s="105" t="s">
        <v>23</v>
      </c>
      <c r="O900" s="13">
        <v>1652.96</v>
      </c>
      <c r="P900" s="153" t="s">
        <v>746</v>
      </c>
      <c r="S900" s="18"/>
    </row>
    <row r="901" spans="1:19" s="17" customFormat="1" ht="45" customHeight="1" outlineLevel="1" x14ac:dyDescent="0.25">
      <c r="A901" s="148"/>
      <c r="B901" s="148"/>
      <c r="C901" s="148"/>
      <c r="D901" s="141"/>
      <c r="E901" s="141"/>
      <c r="F901" s="12">
        <v>43647</v>
      </c>
      <c r="G901" s="12">
        <v>43830</v>
      </c>
      <c r="H901" s="151"/>
      <c r="I901" s="104" t="s">
        <v>23</v>
      </c>
      <c r="J901" s="103" t="s">
        <v>23</v>
      </c>
      <c r="K901" s="103" t="s">
        <v>23</v>
      </c>
      <c r="L901" s="105" t="s">
        <v>23</v>
      </c>
      <c r="M901" s="105" t="s">
        <v>23</v>
      </c>
      <c r="N901" s="105" t="s">
        <v>23</v>
      </c>
      <c r="O901" s="13">
        <v>1686.0192</v>
      </c>
      <c r="P901" s="152"/>
      <c r="S901" s="18"/>
    </row>
    <row r="902" spans="1:19" s="17" customFormat="1" ht="18.95" customHeight="1" outlineLevel="1" x14ac:dyDescent="0.25">
      <c r="A902" s="148"/>
      <c r="B902" s="148"/>
      <c r="C902" s="148"/>
      <c r="D902" s="137">
        <v>43454</v>
      </c>
      <c r="E902" s="137" t="s">
        <v>742</v>
      </c>
      <c r="F902" s="12">
        <v>43466</v>
      </c>
      <c r="G902" s="12">
        <v>43646</v>
      </c>
      <c r="H902" s="149"/>
      <c r="I902" s="104" t="s">
        <v>23</v>
      </c>
      <c r="J902" s="103" t="s">
        <v>23</v>
      </c>
      <c r="K902" s="103" t="s">
        <v>23</v>
      </c>
      <c r="L902" s="105" t="s">
        <v>23</v>
      </c>
      <c r="M902" s="105" t="s">
        <v>23</v>
      </c>
      <c r="N902" s="105" t="s">
        <v>23</v>
      </c>
      <c r="O902" s="13">
        <v>1788.45</v>
      </c>
      <c r="P902" s="153" t="s">
        <v>747</v>
      </c>
      <c r="S902" s="18"/>
    </row>
    <row r="903" spans="1:19" s="17" customFormat="1" ht="42.75" customHeight="1" outlineLevel="1" x14ac:dyDescent="0.25">
      <c r="A903" s="148"/>
      <c r="B903" s="148"/>
      <c r="C903" s="148"/>
      <c r="D903" s="141"/>
      <c r="E903" s="141"/>
      <c r="F903" s="12">
        <v>43647</v>
      </c>
      <c r="G903" s="12">
        <v>43830</v>
      </c>
      <c r="H903" s="151"/>
      <c r="I903" s="104" t="s">
        <v>23</v>
      </c>
      <c r="J903" s="103" t="s">
        <v>23</v>
      </c>
      <c r="K903" s="103" t="s">
        <v>23</v>
      </c>
      <c r="L903" s="105" t="s">
        <v>23</v>
      </c>
      <c r="M903" s="105" t="s">
        <v>23</v>
      </c>
      <c r="N903" s="105" t="s">
        <v>23</v>
      </c>
      <c r="O903" s="13">
        <v>1824.2190000000001</v>
      </c>
      <c r="P903" s="152"/>
      <c r="S903" s="18"/>
    </row>
    <row r="904" spans="1:19" s="17" customFormat="1" ht="18.95" customHeight="1" outlineLevel="1" x14ac:dyDescent="0.25">
      <c r="A904" s="148"/>
      <c r="B904" s="148"/>
      <c r="C904" s="148"/>
      <c r="D904" s="137">
        <v>43454</v>
      </c>
      <c r="E904" s="137" t="s">
        <v>742</v>
      </c>
      <c r="F904" s="12">
        <v>43466</v>
      </c>
      <c r="G904" s="12">
        <v>43646</v>
      </c>
      <c r="H904" s="149"/>
      <c r="I904" s="104" t="s">
        <v>23</v>
      </c>
      <c r="J904" s="103" t="s">
        <v>23</v>
      </c>
      <c r="K904" s="103" t="s">
        <v>23</v>
      </c>
      <c r="L904" s="105" t="s">
        <v>23</v>
      </c>
      <c r="M904" s="105" t="s">
        <v>23</v>
      </c>
      <c r="N904" s="105" t="s">
        <v>23</v>
      </c>
      <c r="O904" s="13">
        <v>1515.21</v>
      </c>
      <c r="P904" s="153" t="s">
        <v>748</v>
      </c>
      <c r="S904" s="18"/>
    </row>
    <row r="905" spans="1:19" s="17" customFormat="1" ht="42" customHeight="1" outlineLevel="1" x14ac:dyDescent="0.25">
      <c r="A905" s="147"/>
      <c r="B905" s="147"/>
      <c r="C905" s="147"/>
      <c r="D905" s="141"/>
      <c r="E905" s="141"/>
      <c r="F905" s="12">
        <v>43647</v>
      </c>
      <c r="G905" s="12">
        <v>43830</v>
      </c>
      <c r="H905" s="151"/>
      <c r="I905" s="104" t="s">
        <v>23</v>
      </c>
      <c r="J905" s="103" t="s">
        <v>23</v>
      </c>
      <c r="K905" s="103" t="s">
        <v>23</v>
      </c>
      <c r="L905" s="105" t="s">
        <v>23</v>
      </c>
      <c r="M905" s="105" t="s">
        <v>23</v>
      </c>
      <c r="N905" s="105" t="s">
        <v>23</v>
      </c>
      <c r="O905" s="13">
        <v>1545.5142000000001</v>
      </c>
      <c r="P905" s="152"/>
      <c r="S905" s="18"/>
    </row>
    <row r="906" spans="1:19" s="17" customFormat="1" ht="18.95" customHeight="1" outlineLevel="1" x14ac:dyDescent="0.25">
      <c r="A906" s="146" t="s">
        <v>51</v>
      </c>
      <c r="B906" s="146" t="s">
        <v>457</v>
      </c>
      <c r="C906" s="146" t="s">
        <v>368</v>
      </c>
      <c r="D906" s="137">
        <v>43083</v>
      </c>
      <c r="E906" s="137" t="s">
        <v>769</v>
      </c>
      <c r="F906" s="12">
        <v>43466</v>
      </c>
      <c r="G906" s="12">
        <v>43646</v>
      </c>
      <c r="H906" s="146" t="s">
        <v>768</v>
      </c>
      <c r="I906" s="13">
        <v>1850.14</v>
      </c>
      <c r="J906" s="14" t="s">
        <v>23</v>
      </c>
      <c r="K906" s="14" t="s">
        <v>23</v>
      </c>
      <c r="L906" s="5" t="s">
        <v>23</v>
      </c>
      <c r="M906" s="5" t="s">
        <v>23</v>
      </c>
      <c r="N906" s="5" t="s">
        <v>23</v>
      </c>
      <c r="O906" s="15" t="s">
        <v>23</v>
      </c>
      <c r="P906" s="153"/>
      <c r="S906" s="18"/>
    </row>
    <row r="907" spans="1:19" s="17" customFormat="1" ht="18.95" customHeight="1" outlineLevel="1" x14ac:dyDescent="0.25">
      <c r="A907" s="148"/>
      <c r="B907" s="148"/>
      <c r="C907" s="148"/>
      <c r="D907" s="141"/>
      <c r="E907" s="141"/>
      <c r="F907" s="12">
        <v>43647</v>
      </c>
      <c r="G907" s="12">
        <v>43830</v>
      </c>
      <c r="H907" s="147"/>
      <c r="I907" s="13">
        <v>1858.14</v>
      </c>
      <c r="J907" s="14" t="s">
        <v>23</v>
      </c>
      <c r="K907" s="14" t="s">
        <v>23</v>
      </c>
      <c r="L907" s="5" t="s">
        <v>23</v>
      </c>
      <c r="M907" s="5" t="s">
        <v>23</v>
      </c>
      <c r="N907" s="5" t="s">
        <v>23</v>
      </c>
      <c r="O907" s="15" t="s">
        <v>23</v>
      </c>
      <c r="P907" s="152"/>
      <c r="S907" s="18"/>
    </row>
    <row r="908" spans="1:19" s="17" customFormat="1" ht="18.95" customHeight="1" outlineLevel="1" x14ac:dyDescent="0.25">
      <c r="A908" s="148"/>
      <c r="B908" s="148"/>
      <c r="C908" s="148"/>
      <c r="D908" s="137">
        <v>43454</v>
      </c>
      <c r="E908" s="137" t="s">
        <v>742</v>
      </c>
      <c r="F908" s="12">
        <v>43466</v>
      </c>
      <c r="G908" s="12">
        <v>43646</v>
      </c>
      <c r="H908" s="149"/>
      <c r="I908" s="15" t="s">
        <v>23</v>
      </c>
      <c r="J908" s="14" t="s">
        <v>23</v>
      </c>
      <c r="K908" s="14" t="s">
        <v>23</v>
      </c>
      <c r="L908" s="5" t="s">
        <v>23</v>
      </c>
      <c r="M908" s="5" t="s">
        <v>23</v>
      </c>
      <c r="N908" s="5" t="s">
        <v>23</v>
      </c>
      <c r="O908" s="13">
        <v>2220.17</v>
      </c>
      <c r="P908" s="153"/>
      <c r="Q908" s="17">
        <f>O908/1.2</f>
        <v>1850.1416666666669</v>
      </c>
      <c r="S908" s="18"/>
    </row>
    <row r="909" spans="1:19" s="17" customFormat="1" ht="18.95" customHeight="1" outlineLevel="1" x14ac:dyDescent="0.25">
      <c r="A909" s="147"/>
      <c r="B909" s="147"/>
      <c r="C909" s="147"/>
      <c r="D909" s="141"/>
      <c r="E909" s="141"/>
      <c r="F909" s="12">
        <v>43647</v>
      </c>
      <c r="G909" s="12">
        <v>43830</v>
      </c>
      <c r="H909" s="151"/>
      <c r="I909" s="15" t="s">
        <v>23</v>
      </c>
      <c r="J909" s="14" t="s">
        <v>23</v>
      </c>
      <c r="K909" s="14" t="s">
        <v>23</v>
      </c>
      <c r="L909" s="5" t="s">
        <v>23</v>
      </c>
      <c r="M909" s="5" t="s">
        <v>23</v>
      </c>
      <c r="N909" s="5" t="s">
        <v>23</v>
      </c>
      <c r="O909" s="13">
        <v>2230.09</v>
      </c>
      <c r="P909" s="152"/>
      <c r="S909" s="18"/>
    </row>
    <row r="910" spans="1:19" s="17" customFormat="1" ht="18.95" customHeight="1" outlineLevel="1" x14ac:dyDescent="0.25">
      <c r="A910" s="146" t="s">
        <v>51</v>
      </c>
      <c r="B910" s="146" t="s">
        <v>496</v>
      </c>
      <c r="C910" s="146" t="s">
        <v>778</v>
      </c>
      <c r="D910" s="137">
        <v>42723</v>
      </c>
      <c r="E910" s="137" t="s">
        <v>771</v>
      </c>
      <c r="F910" s="12">
        <v>43466</v>
      </c>
      <c r="G910" s="12">
        <v>43646</v>
      </c>
      <c r="H910" s="146" t="s">
        <v>770</v>
      </c>
      <c r="I910" s="13">
        <v>2900.52</v>
      </c>
      <c r="J910" s="14" t="s">
        <v>23</v>
      </c>
      <c r="K910" s="14" t="s">
        <v>23</v>
      </c>
      <c r="L910" s="5" t="s">
        <v>23</v>
      </c>
      <c r="M910" s="5" t="s">
        <v>23</v>
      </c>
      <c r="N910" s="5" t="s">
        <v>23</v>
      </c>
      <c r="O910" s="15" t="s">
        <v>23</v>
      </c>
      <c r="P910" s="153"/>
      <c r="S910" s="18"/>
    </row>
    <row r="911" spans="1:19" s="17" customFormat="1" ht="18.95" customHeight="1" outlineLevel="1" x14ac:dyDescent="0.25">
      <c r="A911" s="148"/>
      <c r="B911" s="148"/>
      <c r="C911" s="148"/>
      <c r="D911" s="141"/>
      <c r="E911" s="141"/>
      <c r="F911" s="12">
        <v>43647</v>
      </c>
      <c r="G911" s="12">
        <v>43830</v>
      </c>
      <c r="H911" s="147"/>
      <c r="I911" s="13">
        <v>3103.51</v>
      </c>
      <c r="J911" s="14" t="s">
        <v>23</v>
      </c>
      <c r="K911" s="14" t="s">
        <v>23</v>
      </c>
      <c r="L911" s="5" t="s">
        <v>23</v>
      </c>
      <c r="M911" s="5" t="s">
        <v>23</v>
      </c>
      <c r="N911" s="5" t="s">
        <v>23</v>
      </c>
      <c r="O911" s="15" t="s">
        <v>23</v>
      </c>
      <c r="P911" s="152"/>
      <c r="S911" s="18"/>
    </row>
    <row r="912" spans="1:19" s="17" customFormat="1" ht="18.95" customHeight="1" outlineLevel="1" x14ac:dyDescent="0.25">
      <c r="A912" s="148"/>
      <c r="B912" s="148"/>
      <c r="C912" s="148"/>
      <c r="D912" s="137">
        <v>43454</v>
      </c>
      <c r="E912" s="137" t="s">
        <v>742</v>
      </c>
      <c r="F912" s="12">
        <v>43466</v>
      </c>
      <c r="G912" s="12">
        <v>43646</v>
      </c>
      <c r="H912" s="149"/>
      <c r="I912" s="15" t="s">
        <v>23</v>
      </c>
      <c r="J912" s="14" t="s">
        <v>23</v>
      </c>
      <c r="K912" s="14" t="s">
        <v>23</v>
      </c>
      <c r="L912" s="5" t="s">
        <v>23</v>
      </c>
      <c r="M912" s="5" t="s">
        <v>23</v>
      </c>
      <c r="N912" s="5" t="s">
        <v>23</v>
      </c>
      <c r="O912" s="13">
        <v>2404.29</v>
      </c>
      <c r="P912" s="153"/>
      <c r="Q912" s="17">
        <f>O912/1.2</f>
        <v>2003.575</v>
      </c>
      <c r="S912" s="18"/>
    </row>
    <row r="913" spans="1:19" s="17" customFormat="1" ht="18.95" customHeight="1" outlineLevel="1" x14ac:dyDescent="0.25">
      <c r="A913" s="147"/>
      <c r="B913" s="147"/>
      <c r="C913" s="148"/>
      <c r="D913" s="141"/>
      <c r="E913" s="141"/>
      <c r="F913" s="12">
        <v>43647</v>
      </c>
      <c r="G913" s="12">
        <v>43830</v>
      </c>
      <c r="H913" s="151"/>
      <c r="I913" s="15" t="s">
        <v>23</v>
      </c>
      <c r="J913" s="14" t="s">
        <v>23</v>
      </c>
      <c r="K913" s="14" t="s">
        <v>23</v>
      </c>
      <c r="L913" s="5" t="s">
        <v>23</v>
      </c>
      <c r="M913" s="5" t="s">
        <v>23</v>
      </c>
      <c r="N913" s="5" t="s">
        <v>23</v>
      </c>
      <c r="O913" s="13">
        <v>2452.38</v>
      </c>
      <c r="P913" s="152"/>
      <c r="Q913" s="17">
        <f t="shared" ref="Q913:Q957" si="11">O913/1.2</f>
        <v>2043.65</v>
      </c>
      <c r="S913" s="18"/>
    </row>
    <row r="914" spans="1:19" s="17" customFormat="1" ht="18.95" customHeight="1" outlineLevel="1" x14ac:dyDescent="0.25">
      <c r="A914" s="146" t="s">
        <v>51</v>
      </c>
      <c r="B914" s="146" t="s">
        <v>526</v>
      </c>
      <c r="C914" s="148"/>
      <c r="D914" s="137">
        <v>42723</v>
      </c>
      <c r="E914" s="137" t="s">
        <v>771</v>
      </c>
      <c r="F914" s="12">
        <v>43466</v>
      </c>
      <c r="G914" s="12">
        <v>43646</v>
      </c>
      <c r="H914" s="146" t="s">
        <v>770</v>
      </c>
      <c r="I914" s="13">
        <v>2900.52</v>
      </c>
      <c r="J914" s="14" t="s">
        <v>23</v>
      </c>
      <c r="K914" s="14" t="s">
        <v>23</v>
      </c>
      <c r="L914" s="5" t="s">
        <v>23</v>
      </c>
      <c r="M914" s="5" t="s">
        <v>23</v>
      </c>
      <c r="N914" s="5" t="s">
        <v>23</v>
      </c>
      <c r="O914" s="15" t="s">
        <v>23</v>
      </c>
      <c r="P914" s="153"/>
      <c r="Q914" s="17" t="e">
        <f t="shared" si="11"/>
        <v>#VALUE!</v>
      </c>
      <c r="S914" s="18"/>
    </row>
    <row r="915" spans="1:19" s="17" customFormat="1" ht="18.95" customHeight="1" outlineLevel="1" x14ac:dyDescent="0.25">
      <c r="A915" s="148"/>
      <c r="B915" s="148"/>
      <c r="C915" s="148"/>
      <c r="D915" s="141"/>
      <c r="E915" s="141"/>
      <c r="F915" s="12">
        <v>43647</v>
      </c>
      <c r="G915" s="12">
        <v>43830</v>
      </c>
      <c r="H915" s="147"/>
      <c r="I915" s="13">
        <v>3103.51</v>
      </c>
      <c r="J915" s="14" t="s">
        <v>23</v>
      </c>
      <c r="K915" s="14" t="s">
        <v>23</v>
      </c>
      <c r="L915" s="5" t="s">
        <v>23</v>
      </c>
      <c r="M915" s="5" t="s">
        <v>23</v>
      </c>
      <c r="N915" s="5" t="s">
        <v>23</v>
      </c>
      <c r="O915" s="15" t="s">
        <v>23</v>
      </c>
      <c r="P915" s="152"/>
      <c r="Q915" s="17" t="e">
        <f t="shared" si="11"/>
        <v>#VALUE!</v>
      </c>
      <c r="S915" s="18"/>
    </row>
    <row r="916" spans="1:19" s="17" customFormat="1" ht="18.95" customHeight="1" outlineLevel="1" x14ac:dyDescent="0.25">
      <c r="A916" s="148"/>
      <c r="B916" s="148"/>
      <c r="C916" s="148"/>
      <c r="D916" s="137">
        <v>43454</v>
      </c>
      <c r="E916" s="137" t="s">
        <v>742</v>
      </c>
      <c r="F916" s="12">
        <v>43466</v>
      </c>
      <c r="G916" s="12">
        <v>43646</v>
      </c>
      <c r="H916" s="149"/>
      <c r="I916" s="15" t="s">
        <v>23</v>
      </c>
      <c r="J916" s="14" t="s">
        <v>23</v>
      </c>
      <c r="K916" s="14" t="s">
        <v>23</v>
      </c>
      <c r="L916" s="5" t="s">
        <v>23</v>
      </c>
      <c r="M916" s="5" t="s">
        <v>23</v>
      </c>
      <c r="N916" s="5" t="s">
        <v>23</v>
      </c>
      <c r="O916" s="13">
        <v>2404.29</v>
      </c>
      <c r="P916" s="153"/>
      <c r="Q916" s="17">
        <f t="shared" si="11"/>
        <v>2003.575</v>
      </c>
      <c r="S916" s="18"/>
    </row>
    <row r="917" spans="1:19" s="17" customFormat="1" ht="18.95" customHeight="1" outlineLevel="1" x14ac:dyDescent="0.25">
      <c r="A917" s="147"/>
      <c r="B917" s="147"/>
      <c r="C917" s="148"/>
      <c r="D917" s="141"/>
      <c r="E917" s="141"/>
      <c r="F917" s="12">
        <v>43647</v>
      </c>
      <c r="G917" s="12">
        <v>43830</v>
      </c>
      <c r="H917" s="151"/>
      <c r="I917" s="15" t="s">
        <v>23</v>
      </c>
      <c r="J917" s="14" t="s">
        <v>23</v>
      </c>
      <c r="K917" s="14" t="s">
        <v>23</v>
      </c>
      <c r="L917" s="5" t="s">
        <v>23</v>
      </c>
      <c r="M917" s="5" t="s">
        <v>23</v>
      </c>
      <c r="N917" s="5" t="s">
        <v>23</v>
      </c>
      <c r="O917" s="13">
        <v>2452.38</v>
      </c>
      <c r="P917" s="152"/>
      <c r="Q917" s="17">
        <f t="shared" si="11"/>
        <v>2043.65</v>
      </c>
      <c r="S917" s="18"/>
    </row>
    <row r="918" spans="1:19" s="17" customFormat="1" ht="18.95" customHeight="1" outlineLevel="1" x14ac:dyDescent="0.25">
      <c r="A918" s="146" t="s">
        <v>51</v>
      </c>
      <c r="B918" s="146" t="s">
        <v>527</v>
      </c>
      <c r="C918" s="148"/>
      <c r="D918" s="137">
        <v>42723</v>
      </c>
      <c r="E918" s="137" t="s">
        <v>771</v>
      </c>
      <c r="F918" s="12">
        <v>43466</v>
      </c>
      <c r="G918" s="12">
        <v>43646</v>
      </c>
      <c r="H918" s="146" t="s">
        <v>770</v>
      </c>
      <c r="I918" s="13">
        <v>2900.52</v>
      </c>
      <c r="J918" s="14" t="s">
        <v>23</v>
      </c>
      <c r="K918" s="14" t="s">
        <v>23</v>
      </c>
      <c r="L918" s="5" t="s">
        <v>23</v>
      </c>
      <c r="M918" s="5" t="s">
        <v>23</v>
      </c>
      <c r="N918" s="5" t="s">
        <v>23</v>
      </c>
      <c r="O918" s="15" t="s">
        <v>23</v>
      </c>
      <c r="P918" s="153"/>
      <c r="Q918" s="17" t="e">
        <f t="shared" si="11"/>
        <v>#VALUE!</v>
      </c>
      <c r="S918" s="18"/>
    </row>
    <row r="919" spans="1:19" s="17" customFormat="1" ht="18.95" customHeight="1" outlineLevel="1" x14ac:dyDescent="0.25">
      <c r="A919" s="148"/>
      <c r="B919" s="148"/>
      <c r="C919" s="148"/>
      <c r="D919" s="141"/>
      <c r="E919" s="141"/>
      <c r="F919" s="12">
        <v>43647</v>
      </c>
      <c r="G919" s="12">
        <v>43830</v>
      </c>
      <c r="H919" s="147"/>
      <c r="I919" s="13">
        <v>3103.51</v>
      </c>
      <c r="J919" s="14" t="s">
        <v>23</v>
      </c>
      <c r="K919" s="14" t="s">
        <v>23</v>
      </c>
      <c r="L919" s="5" t="s">
        <v>23</v>
      </c>
      <c r="M919" s="5" t="s">
        <v>23</v>
      </c>
      <c r="N919" s="5" t="s">
        <v>23</v>
      </c>
      <c r="O919" s="15" t="s">
        <v>23</v>
      </c>
      <c r="P919" s="152"/>
      <c r="Q919" s="17" t="e">
        <f t="shared" si="11"/>
        <v>#VALUE!</v>
      </c>
      <c r="S919" s="18"/>
    </row>
    <row r="920" spans="1:19" s="17" customFormat="1" ht="18.95" customHeight="1" outlineLevel="1" x14ac:dyDescent="0.25">
      <c r="A920" s="148"/>
      <c r="B920" s="148"/>
      <c r="C920" s="148"/>
      <c r="D920" s="137">
        <v>43454</v>
      </c>
      <c r="E920" s="137" t="s">
        <v>742</v>
      </c>
      <c r="F920" s="12">
        <v>43466</v>
      </c>
      <c r="G920" s="12">
        <v>43646</v>
      </c>
      <c r="H920" s="149"/>
      <c r="I920" s="15" t="s">
        <v>23</v>
      </c>
      <c r="J920" s="14" t="s">
        <v>23</v>
      </c>
      <c r="K920" s="14" t="s">
        <v>23</v>
      </c>
      <c r="L920" s="5" t="s">
        <v>23</v>
      </c>
      <c r="M920" s="5" t="s">
        <v>23</v>
      </c>
      <c r="N920" s="5" t="s">
        <v>23</v>
      </c>
      <c r="O920" s="13">
        <v>2404.29</v>
      </c>
      <c r="P920" s="153"/>
      <c r="Q920" s="17">
        <f t="shared" si="11"/>
        <v>2003.575</v>
      </c>
      <c r="S920" s="18"/>
    </row>
    <row r="921" spans="1:19" s="17" customFormat="1" ht="18.95" customHeight="1" outlineLevel="1" x14ac:dyDescent="0.25">
      <c r="A921" s="147"/>
      <c r="B921" s="147"/>
      <c r="C921" s="148"/>
      <c r="D921" s="141"/>
      <c r="E921" s="141"/>
      <c r="F921" s="12">
        <v>43647</v>
      </c>
      <c r="G921" s="12">
        <v>43830</v>
      </c>
      <c r="H921" s="151"/>
      <c r="I921" s="15" t="s">
        <v>23</v>
      </c>
      <c r="J921" s="14" t="s">
        <v>23</v>
      </c>
      <c r="K921" s="14" t="s">
        <v>23</v>
      </c>
      <c r="L921" s="5" t="s">
        <v>23</v>
      </c>
      <c r="M921" s="5" t="s">
        <v>23</v>
      </c>
      <c r="N921" s="5" t="s">
        <v>23</v>
      </c>
      <c r="O921" s="13">
        <v>2452.38</v>
      </c>
      <c r="P921" s="152"/>
      <c r="Q921" s="17">
        <f t="shared" si="11"/>
        <v>2043.65</v>
      </c>
      <c r="S921" s="18"/>
    </row>
    <row r="922" spans="1:19" s="17" customFormat="1" ht="18.95" customHeight="1" outlineLevel="1" x14ac:dyDescent="0.25">
      <c r="A922" s="146" t="s">
        <v>51</v>
      </c>
      <c r="B922" s="146" t="s">
        <v>745</v>
      </c>
      <c r="C922" s="148"/>
      <c r="D922" s="137">
        <v>42723</v>
      </c>
      <c r="E922" s="137" t="s">
        <v>771</v>
      </c>
      <c r="F922" s="12">
        <v>43466</v>
      </c>
      <c r="G922" s="12">
        <v>43646</v>
      </c>
      <c r="H922" s="146" t="s">
        <v>770</v>
      </c>
      <c r="I922" s="13">
        <v>2900.52</v>
      </c>
      <c r="J922" s="103" t="s">
        <v>23</v>
      </c>
      <c r="K922" s="103" t="s">
        <v>23</v>
      </c>
      <c r="L922" s="105" t="s">
        <v>23</v>
      </c>
      <c r="M922" s="105" t="s">
        <v>23</v>
      </c>
      <c r="N922" s="105" t="s">
        <v>23</v>
      </c>
      <c r="O922" s="104" t="s">
        <v>23</v>
      </c>
      <c r="P922" s="153"/>
      <c r="Q922" s="17" t="e">
        <f t="shared" si="11"/>
        <v>#VALUE!</v>
      </c>
      <c r="S922" s="18"/>
    </row>
    <row r="923" spans="1:19" s="17" customFormat="1" ht="18.95" customHeight="1" outlineLevel="1" x14ac:dyDescent="0.25">
      <c r="A923" s="148"/>
      <c r="B923" s="148"/>
      <c r="C923" s="148"/>
      <c r="D923" s="141"/>
      <c r="E923" s="141"/>
      <c r="F923" s="12">
        <v>43647</v>
      </c>
      <c r="G923" s="12">
        <v>43830</v>
      </c>
      <c r="H923" s="147"/>
      <c r="I923" s="13">
        <v>3103.51</v>
      </c>
      <c r="J923" s="103" t="s">
        <v>23</v>
      </c>
      <c r="K923" s="103" t="s">
        <v>23</v>
      </c>
      <c r="L923" s="105" t="s">
        <v>23</v>
      </c>
      <c r="M923" s="105" t="s">
        <v>23</v>
      </c>
      <c r="N923" s="105" t="s">
        <v>23</v>
      </c>
      <c r="O923" s="104" t="s">
        <v>23</v>
      </c>
      <c r="P923" s="152"/>
      <c r="Q923" s="17" t="e">
        <f t="shared" si="11"/>
        <v>#VALUE!</v>
      </c>
      <c r="S923" s="18"/>
    </row>
    <row r="924" spans="1:19" s="17" customFormat="1" ht="18.95" customHeight="1" outlineLevel="1" x14ac:dyDescent="0.25">
      <c r="A924" s="148"/>
      <c r="B924" s="148"/>
      <c r="C924" s="148"/>
      <c r="D924" s="137">
        <v>43454</v>
      </c>
      <c r="E924" s="137" t="s">
        <v>742</v>
      </c>
      <c r="F924" s="12">
        <v>43466</v>
      </c>
      <c r="G924" s="12">
        <v>43646</v>
      </c>
      <c r="H924" s="149"/>
      <c r="I924" s="104" t="s">
        <v>23</v>
      </c>
      <c r="J924" s="103" t="s">
        <v>23</v>
      </c>
      <c r="K924" s="103" t="s">
        <v>23</v>
      </c>
      <c r="L924" s="105" t="s">
        <v>23</v>
      </c>
      <c r="M924" s="105" t="s">
        <v>23</v>
      </c>
      <c r="N924" s="105" t="s">
        <v>23</v>
      </c>
      <c r="O924" s="13">
        <v>2404.29</v>
      </c>
      <c r="P924" s="153"/>
      <c r="Q924" s="17">
        <f t="shared" si="11"/>
        <v>2003.575</v>
      </c>
      <c r="S924" s="18"/>
    </row>
    <row r="925" spans="1:19" s="17" customFormat="1" ht="18.95" customHeight="1" outlineLevel="1" x14ac:dyDescent="0.25">
      <c r="A925" s="147"/>
      <c r="B925" s="147"/>
      <c r="C925" s="148"/>
      <c r="D925" s="141"/>
      <c r="E925" s="141"/>
      <c r="F925" s="12">
        <v>43647</v>
      </c>
      <c r="G925" s="12">
        <v>43830</v>
      </c>
      <c r="H925" s="151"/>
      <c r="I925" s="104" t="s">
        <v>23</v>
      </c>
      <c r="J925" s="103" t="s">
        <v>23</v>
      </c>
      <c r="K925" s="103" t="s">
        <v>23</v>
      </c>
      <c r="L925" s="105" t="s">
        <v>23</v>
      </c>
      <c r="M925" s="105" t="s">
        <v>23</v>
      </c>
      <c r="N925" s="105" t="s">
        <v>23</v>
      </c>
      <c r="O925" s="13">
        <v>2452.38</v>
      </c>
      <c r="P925" s="152"/>
      <c r="Q925" s="17">
        <f t="shared" si="11"/>
        <v>2043.65</v>
      </c>
      <c r="S925" s="18"/>
    </row>
    <row r="926" spans="1:19" s="17" customFormat="1" ht="18.95" customHeight="1" outlineLevel="1" x14ac:dyDescent="0.25">
      <c r="A926" s="146" t="s">
        <v>51</v>
      </c>
      <c r="B926" s="146" t="s">
        <v>528</v>
      </c>
      <c r="C926" s="148"/>
      <c r="D926" s="137">
        <v>42723</v>
      </c>
      <c r="E926" s="137" t="s">
        <v>771</v>
      </c>
      <c r="F926" s="12">
        <v>43466</v>
      </c>
      <c r="G926" s="12">
        <v>43646</v>
      </c>
      <c r="H926" s="146" t="s">
        <v>770</v>
      </c>
      <c r="I926" s="13">
        <v>2900.52</v>
      </c>
      <c r="J926" s="14" t="s">
        <v>23</v>
      </c>
      <c r="K926" s="14" t="s">
        <v>23</v>
      </c>
      <c r="L926" s="5" t="s">
        <v>23</v>
      </c>
      <c r="M926" s="5" t="s">
        <v>23</v>
      </c>
      <c r="N926" s="5" t="s">
        <v>23</v>
      </c>
      <c r="O926" s="15" t="s">
        <v>23</v>
      </c>
      <c r="P926" s="153"/>
      <c r="Q926" s="17" t="e">
        <f t="shared" si="11"/>
        <v>#VALUE!</v>
      </c>
      <c r="S926" s="18"/>
    </row>
    <row r="927" spans="1:19" s="17" customFormat="1" ht="18.95" customHeight="1" outlineLevel="1" x14ac:dyDescent="0.25">
      <c r="A927" s="148"/>
      <c r="B927" s="148"/>
      <c r="C927" s="148"/>
      <c r="D927" s="141"/>
      <c r="E927" s="141"/>
      <c r="F927" s="12">
        <v>43647</v>
      </c>
      <c r="G927" s="12">
        <v>43830</v>
      </c>
      <c r="H927" s="147"/>
      <c r="I927" s="13">
        <v>3103.51</v>
      </c>
      <c r="J927" s="14" t="s">
        <v>23</v>
      </c>
      <c r="K927" s="14" t="s">
        <v>23</v>
      </c>
      <c r="L927" s="5" t="s">
        <v>23</v>
      </c>
      <c r="M927" s="5" t="s">
        <v>23</v>
      </c>
      <c r="N927" s="5" t="s">
        <v>23</v>
      </c>
      <c r="O927" s="15" t="s">
        <v>23</v>
      </c>
      <c r="P927" s="152"/>
      <c r="Q927" s="17" t="e">
        <f t="shared" si="11"/>
        <v>#VALUE!</v>
      </c>
      <c r="S927" s="18"/>
    </row>
    <row r="928" spans="1:19" s="17" customFormat="1" ht="18.95" customHeight="1" outlineLevel="1" x14ac:dyDescent="0.25">
      <c r="A928" s="148"/>
      <c r="B928" s="148"/>
      <c r="C928" s="148"/>
      <c r="D928" s="137">
        <v>43454</v>
      </c>
      <c r="E928" s="137" t="s">
        <v>742</v>
      </c>
      <c r="F928" s="12">
        <v>43466</v>
      </c>
      <c r="G928" s="12">
        <v>43646</v>
      </c>
      <c r="H928" s="149"/>
      <c r="I928" s="15" t="s">
        <v>23</v>
      </c>
      <c r="J928" s="14" t="s">
        <v>23</v>
      </c>
      <c r="K928" s="14" t="s">
        <v>23</v>
      </c>
      <c r="L928" s="5" t="s">
        <v>23</v>
      </c>
      <c r="M928" s="5" t="s">
        <v>23</v>
      </c>
      <c r="N928" s="5" t="s">
        <v>23</v>
      </c>
      <c r="O928" s="13">
        <v>2404.29</v>
      </c>
      <c r="P928" s="153"/>
      <c r="Q928" s="17">
        <f t="shared" si="11"/>
        <v>2003.575</v>
      </c>
      <c r="S928" s="18"/>
    </row>
    <row r="929" spans="1:19" s="17" customFormat="1" ht="18.95" customHeight="1" outlineLevel="1" x14ac:dyDescent="0.25">
      <c r="A929" s="147"/>
      <c r="B929" s="147"/>
      <c r="C929" s="148"/>
      <c r="D929" s="141"/>
      <c r="E929" s="141"/>
      <c r="F929" s="12">
        <v>43647</v>
      </c>
      <c r="G929" s="12">
        <v>43830</v>
      </c>
      <c r="H929" s="151"/>
      <c r="I929" s="15" t="s">
        <v>23</v>
      </c>
      <c r="J929" s="14" t="s">
        <v>23</v>
      </c>
      <c r="K929" s="14" t="s">
        <v>23</v>
      </c>
      <c r="L929" s="5" t="s">
        <v>23</v>
      </c>
      <c r="M929" s="5" t="s">
        <v>23</v>
      </c>
      <c r="N929" s="5" t="s">
        <v>23</v>
      </c>
      <c r="O929" s="13">
        <v>2452.38</v>
      </c>
      <c r="P929" s="152"/>
      <c r="Q929" s="17">
        <f t="shared" si="11"/>
        <v>2043.65</v>
      </c>
      <c r="S929" s="18"/>
    </row>
    <row r="930" spans="1:19" s="17" customFormat="1" ht="18.95" customHeight="1" outlineLevel="1" x14ac:dyDescent="0.25">
      <c r="A930" s="146" t="s">
        <v>51</v>
      </c>
      <c r="B930" s="146" t="s">
        <v>529</v>
      </c>
      <c r="C930" s="148"/>
      <c r="D930" s="137">
        <v>42723</v>
      </c>
      <c r="E930" s="137" t="s">
        <v>771</v>
      </c>
      <c r="F930" s="12">
        <v>43466</v>
      </c>
      <c r="G930" s="12">
        <v>43646</v>
      </c>
      <c r="H930" s="146" t="s">
        <v>770</v>
      </c>
      <c r="I930" s="13">
        <v>2900.52</v>
      </c>
      <c r="J930" s="14" t="s">
        <v>23</v>
      </c>
      <c r="K930" s="14" t="s">
        <v>23</v>
      </c>
      <c r="L930" s="5" t="s">
        <v>23</v>
      </c>
      <c r="M930" s="5" t="s">
        <v>23</v>
      </c>
      <c r="N930" s="5" t="s">
        <v>23</v>
      </c>
      <c r="O930" s="15" t="s">
        <v>23</v>
      </c>
      <c r="P930" s="153"/>
      <c r="Q930" s="17" t="e">
        <f t="shared" si="11"/>
        <v>#VALUE!</v>
      </c>
      <c r="S930" s="18"/>
    </row>
    <row r="931" spans="1:19" s="17" customFormat="1" ht="18.95" customHeight="1" outlineLevel="1" x14ac:dyDescent="0.25">
      <c r="A931" s="148"/>
      <c r="B931" s="148"/>
      <c r="C931" s="148"/>
      <c r="D931" s="141"/>
      <c r="E931" s="141"/>
      <c r="F931" s="12">
        <v>43647</v>
      </c>
      <c r="G931" s="12">
        <v>43830</v>
      </c>
      <c r="H931" s="147"/>
      <c r="I931" s="13">
        <v>3103.51</v>
      </c>
      <c r="J931" s="14" t="s">
        <v>23</v>
      </c>
      <c r="K931" s="14" t="s">
        <v>23</v>
      </c>
      <c r="L931" s="5" t="s">
        <v>23</v>
      </c>
      <c r="M931" s="5" t="s">
        <v>23</v>
      </c>
      <c r="N931" s="5" t="s">
        <v>23</v>
      </c>
      <c r="O931" s="15" t="s">
        <v>23</v>
      </c>
      <c r="P931" s="152"/>
      <c r="Q931" s="17" t="e">
        <f t="shared" si="11"/>
        <v>#VALUE!</v>
      </c>
      <c r="S931" s="18"/>
    </row>
    <row r="932" spans="1:19" s="17" customFormat="1" ht="18.95" customHeight="1" outlineLevel="1" x14ac:dyDescent="0.25">
      <c r="A932" s="148"/>
      <c r="B932" s="148"/>
      <c r="C932" s="148"/>
      <c r="D932" s="137">
        <v>43454</v>
      </c>
      <c r="E932" s="137" t="s">
        <v>742</v>
      </c>
      <c r="F932" s="12">
        <v>43466</v>
      </c>
      <c r="G932" s="12">
        <v>43646</v>
      </c>
      <c r="H932" s="149"/>
      <c r="I932" s="15" t="s">
        <v>23</v>
      </c>
      <c r="J932" s="14" t="s">
        <v>23</v>
      </c>
      <c r="K932" s="14" t="s">
        <v>23</v>
      </c>
      <c r="L932" s="5" t="s">
        <v>23</v>
      </c>
      <c r="M932" s="5" t="s">
        <v>23</v>
      </c>
      <c r="N932" s="5" t="s">
        <v>23</v>
      </c>
      <c r="O932" s="13">
        <v>2404.29</v>
      </c>
      <c r="P932" s="153"/>
      <c r="Q932" s="17">
        <f t="shared" si="11"/>
        <v>2003.575</v>
      </c>
      <c r="S932" s="18"/>
    </row>
    <row r="933" spans="1:19" s="17" customFormat="1" ht="18.95" customHeight="1" outlineLevel="1" x14ac:dyDescent="0.25">
      <c r="A933" s="147"/>
      <c r="B933" s="147"/>
      <c r="C933" s="148"/>
      <c r="D933" s="141"/>
      <c r="E933" s="141"/>
      <c r="F933" s="12">
        <v>43647</v>
      </c>
      <c r="G933" s="12">
        <v>43830</v>
      </c>
      <c r="H933" s="151"/>
      <c r="I933" s="15" t="s">
        <v>23</v>
      </c>
      <c r="J933" s="14" t="s">
        <v>23</v>
      </c>
      <c r="K933" s="14" t="s">
        <v>23</v>
      </c>
      <c r="L933" s="5" t="s">
        <v>23</v>
      </c>
      <c r="M933" s="5" t="s">
        <v>23</v>
      </c>
      <c r="N933" s="5" t="s">
        <v>23</v>
      </c>
      <c r="O933" s="13">
        <v>2452.38</v>
      </c>
      <c r="P933" s="152"/>
      <c r="Q933" s="17">
        <f t="shared" si="11"/>
        <v>2043.65</v>
      </c>
      <c r="S933" s="18"/>
    </row>
    <row r="934" spans="1:19" s="17" customFormat="1" ht="18.95" customHeight="1" outlineLevel="1" x14ac:dyDescent="0.25">
      <c r="A934" s="146" t="s">
        <v>51</v>
      </c>
      <c r="B934" s="146" t="s">
        <v>530</v>
      </c>
      <c r="C934" s="148"/>
      <c r="D934" s="137">
        <v>42723</v>
      </c>
      <c r="E934" s="137" t="s">
        <v>771</v>
      </c>
      <c r="F934" s="12">
        <v>43466</v>
      </c>
      <c r="G934" s="12">
        <v>43646</v>
      </c>
      <c r="H934" s="146" t="s">
        <v>770</v>
      </c>
      <c r="I934" s="13">
        <v>2900.52</v>
      </c>
      <c r="J934" s="14" t="s">
        <v>23</v>
      </c>
      <c r="K934" s="14" t="s">
        <v>23</v>
      </c>
      <c r="L934" s="5" t="s">
        <v>23</v>
      </c>
      <c r="M934" s="5" t="s">
        <v>23</v>
      </c>
      <c r="N934" s="5" t="s">
        <v>23</v>
      </c>
      <c r="O934" s="15" t="s">
        <v>23</v>
      </c>
      <c r="P934" s="153"/>
      <c r="Q934" s="17" t="e">
        <f t="shared" si="11"/>
        <v>#VALUE!</v>
      </c>
      <c r="S934" s="18"/>
    </row>
    <row r="935" spans="1:19" s="17" customFormat="1" ht="18.95" customHeight="1" outlineLevel="1" x14ac:dyDescent="0.25">
      <c r="A935" s="148"/>
      <c r="B935" s="148"/>
      <c r="C935" s="148"/>
      <c r="D935" s="141"/>
      <c r="E935" s="141"/>
      <c r="F935" s="12">
        <v>43647</v>
      </c>
      <c r="G935" s="12">
        <v>43830</v>
      </c>
      <c r="H935" s="147"/>
      <c r="I935" s="13">
        <v>3103.51</v>
      </c>
      <c r="J935" s="14" t="s">
        <v>23</v>
      </c>
      <c r="K935" s="14" t="s">
        <v>23</v>
      </c>
      <c r="L935" s="5" t="s">
        <v>23</v>
      </c>
      <c r="M935" s="5" t="s">
        <v>23</v>
      </c>
      <c r="N935" s="5" t="s">
        <v>23</v>
      </c>
      <c r="O935" s="15" t="s">
        <v>23</v>
      </c>
      <c r="P935" s="152"/>
      <c r="Q935" s="17" t="e">
        <f t="shared" si="11"/>
        <v>#VALUE!</v>
      </c>
      <c r="S935" s="18"/>
    </row>
    <row r="936" spans="1:19" s="17" customFormat="1" ht="18.95" customHeight="1" outlineLevel="1" x14ac:dyDescent="0.25">
      <c r="A936" s="148"/>
      <c r="B936" s="148"/>
      <c r="C936" s="148"/>
      <c r="D936" s="137">
        <v>43454</v>
      </c>
      <c r="E936" s="137" t="s">
        <v>742</v>
      </c>
      <c r="F936" s="12">
        <v>43466</v>
      </c>
      <c r="G936" s="12">
        <v>43646</v>
      </c>
      <c r="H936" s="149"/>
      <c r="I936" s="15" t="s">
        <v>23</v>
      </c>
      <c r="J936" s="14" t="s">
        <v>23</v>
      </c>
      <c r="K936" s="14" t="s">
        <v>23</v>
      </c>
      <c r="L936" s="5" t="s">
        <v>23</v>
      </c>
      <c r="M936" s="5" t="s">
        <v>23</v>
      </c>
      <c r="N936" s="5" t="s">
        <v>23</v>
      </c>
      <c r="O936" s="13">
        <v>2404.29</v>
      </c>
      <c r="P936" s="153"/>
      <c r="Q936" s="17">
        <f t="shared" si="11"/>
        <v>2003.575</v>
      </c>
      <c r="S936" s="18"/>
    </row>
    <row r="937" spans="1:19" s="17" customFormat="1" ht="18.95" customHeight="1" outlineLevel="1" x14ac:dyDescent="0.25">
      <c r="A937" s="147"/>
      <c r="B937" s="147"/>
      <c r="C937" s="148"/>
      <c r="D937" s="141"/>
      <c r="E937" s="141"/>
      <c r="F937" s="12">
        <v>43647</v>
      </c>
      <c r="G937" s="12">
        <v>43830</v>
      </c>
      <c r="H937" s="151"/>
      <c r="I937" s="15" t="s">
        <v>23</v>
      </c>
      <c r="J937" s="14" t="s">
        <v>23</v>
      </c>
      <c r="K937" s="14" t="s">
        <v>23</v>
      </c>
      <c r="L937" s="5" t="s">
        <v>23</v>
      </c>
      <c r="M937" s="5" t="s">
        <v>23</v>
      </c>
      <c r="N937" s="5" t="s">
        <v>23</v>
      </c>
      <c r="O937" s="13">
        <v>2452.38</v>
      </c>
      <c r="P937" s="152"/>
      <c r="Q937" s="17">
        <f t="shared" si="11"/>
        <v>2043.65</v>
      </c>
      <c r="S937" s="18"/>
    </row>
    <row r="938" spans="1:19" s="17" customFormat="1" ht="18.95" customHeight="1" outlineLevel="1" x14ac:dyDescent="0.25">
      <c r="A938" s="146" t="s">
        <v>51</v>
      </c>
      <c r="B938" s="146" t="s">
        <v>495</v>
      </c>
      <c r="C938" s="148"/>
      <c r="D938" s="137">
        <v>42723</v>
      </c>
      <c r="E938" s="137" t="s">
        <v>771</v>
      </c>
      <c r="F938" s="12">
        <v>43466</v>
      </c>
      <c r="G938" s="12">
        <v>43646</v>
      </c>
      <c r="H938" s="146" t="s">
        <v>770</v>
      </c>
      <c r="I938" s="13">
        <v>2900.52</v>
      </c>
      <c r="J938" s="14" t="s">
        <v>23</v>
      </c>
      <c r="K938" s="14" t="s">
        <v>23</v>
      </c>
      <c r="L938" s="5" t="s">
        <v>23</v>
      </c>
      <c r="M938" s="5" t="s">
        <v>23</v>
      </c>
      <c r="N938" s="5" t="s">
        <v>23</v>
      </c>
      <c r="O938" s="15" t="s">
        <v>23</v>
      </c>
      <c r="P938" s="153"/>
      <c r="Q938" s="17" t="e">
        <f t="shared" si="11"/>
        <v>#VALUE!</v>
      </c>
      <c r="S938" s="18"/>
    </row>
    <row r="939" spans="1:19" s="10" customFormat="1" ht="18.95" customHeight="1" x14ac:dyDescent="0.25">
      <c r="A939" s="148"/>
      <c r="B939" s="148"/>
      <c r="C939" s="148"/>
      <c r="D939" s="141"/>
      <c r="E939" s="141"/>
      <c r="F939" s="12">
        <v>43647</v>
      </c>
      <c r="G939" s="12">
        <v>43830</v>
      </c>
      <c r="H939" s="147"/>
      <c r="I939" s="13">
        <v>3103.51</v>
      </c>
      <c r="J939" s="14" t="s">
        <v>23</v>
      </c>
      <c r="K939" s="14" t="s">
        <v>23</v>
      </c>
      <c r="L939" s="5" t="s">
        <v>23</v>
      </c>
      <c r="M939" s="5" t="s">
        <v>23</v>
      </c>
      <c r="N939" s="5" t="s">
        <v>23</v>
      </c>
      <c r="O939" s="15" t="s">
        <v>23</v>
      </c>
      <c r="P939" s="152"/>
      <c r="Q939" s="17" t="e">
        <f t="shared" si="11"/>
        <v>#VALUE!</v>
      </c>
      <c r="S939" s="11"/>
    </row>
    <row r="940" spans="1:19" ht="18.95" customHeight="1" outlineLevel="1" x14ac:dyDescent="0.25">
      <c r="A940" s="148"/>
      <c r="B940" s="148"/>
      <c r="C940" s="148"/>
      <c r="D940" s="137">
        <v>43454</v>
      </c>
      <c r="E940" s="137" t="s">
        <v>742</v>
      </c>
      <c r="F940" s="12">
        <v>43466</v>
      </c>
      <c r="G940" s="12">
        <v>43646</v>
      </c>
      <c r="H940" s="149"/>
      <c r="I940" s="15" t="s">
        <v>23</v>
      </c>
      <c r="J940" s="14" t="s">
        <v>23</v>
      </c>
      <c r="K940" s="14" t="s">
        <v>23</v>
      </c>
      <c r="L940" s="5" t="s">
        <v>23</v>
      </c>
      <c r="M940" s="5" t="s">
        <v>23</v>
      </c>
      <c r="N940" s="5" t="s">
        <v>23</v>
      </c>
      <c r="O940" s="13">
        <v>2404.29</v>
      </c>
      <c r="P940" s="153"/>
      <c r="Q940" s="17">
        <f t="shared" si="11"/>
        <v>2003.575</v>
      </c>
    </row>
    <row r="941" spans="1:19" ht="18.95" customHeight="1" outlineLevel="1" x14ac:dyDescent="0.25">
      <c r="A941" s="147"/>
      <c r="B941" s="147"/>
      <c r="C941" s="148"/>
      <c r="D941" s="141"/>
      <c r="E941" s="141"/>
      <c r="F941" s="12">
        <v>43647</v>
      </c>
      <c r="G941" s="12">
        <v>43830</v>
      </c>
      <c r="H941" s="151"/>
      <c r="I941" s="15" t="s">
        <v>23</v>
      </c>
      <c r="J941" s="14" t="s">
        <v>23</v>
      </c>
      <c r="K941" s="14" t="s">
        <v>23</v>
      </c>
      <c r="L941" s="5" t="s">
        <v>23</v>
      </c>
      <c r="M941" s="5" t="s">
        <v>23</v>
      </c>
      <c r="N941" s="5" t="s">
        <v>23</v>
      </c>
      <c r="O941" s="13">
        <v>2452.38</v>
      </c>
      <c r="P941" s="152"/>
      <c r="Q941" s="17">
        <f t="shared" si="11"/>
        <v>2043.65</v>
      </c>
    </row>
    <row r="942" spans="1:19" ht="18.95" customHeight="1" outlineLevel="1" x14ac:dyDescent="0.25">
      <c r="A942" s="146" t="s">
        <v>51</v>
      </c>
      <c r="B942" s="146" t="s">
        <v>531</v>
      </c>
      <c r="C942" s="148"/>
      <c r="D942" s="137">
        <v>42723</v>
      </c>
      <c r="E942" s="137" t="s">
        <v>771</v>
      </c>
      <c r="F942" s="12">
        <v>43466</v>
      </c>
      <c r="G942" s="12">
        <v>43646</v>
      </c>
      <c r="H942" s="146" t="s">
        <v>770</v>
      </c>
      <c r="I942" s="13">
        <v>2900.52</v>
      </c>
      <c r="J942" s="14" t="s">
        <v>23</v>
      </c>
      <c r="K942" s="14" t="s">
        <v>23</v>
      </c>
      <c r="L942" s="5" t="s">
        <v>23</v>
      </c>
      <c r="M942" s="5" t="s">
        <v>23</v>
      </c>
      <c r="N942" s="5" t="s">
        <v>23</v>
      </c>
      <c r="O942" s="15" t="s">
        <v>23</v>
      </c>
      <c r="P942" s="153"/>
      <c r="Q942" s="17" t="e">
        <f t="shared" si="11"/>
        <v>#VALUE!</v>
      </c>
    </row>
    <row r="943" spans="1:19" ht="18.95" customHeight="1" outlineLevel="1" x14ac:dyDescent="0.25">
      <c r="A943" s="148"/>
      <c r="B943" s="148"/>
      <c r="C943" s="148"/>
      <c r="D943" s="141"/>
      <c r="E943" s="141"/>
      <c r="F943" s="12">
        <v>43647</v>
      </c>
      <c r="G943" s="12">
        <v>43830</v>
      </c>
      <c r="H943" s="147"/>
      <c r="I943" s="13">
        <v>3103.51</v>
      </c>
      <c r="J943" s="14" t="s">
        <v>23</v>
      </c>
      <c r="K943" s="14" t="s">
        <v>23</v>
      </c>
      <c r="L943" s="5" t="s">
        <v>23</v>
      </c>
      <c r="M943" s="5" t="s">
        <v>23</v>
      </c>
      <c r="N943" s="5" t="s">
        <v>23</v>
      </c>
      <c r="O943" s="15" t="s">
        <v>23</v>
      </c>
      <c r="P943" s="152"/>
      <c r="Q943" s="17" t="e">
        <f t="shared" si="11"/>
        <v>#VALUE!</v>
      </c>
    </row>
    <row r="944" spans="1:19" ht="18.95" customHeight="1" outlineLevel="1" x14ac:dyDescent="0.25">
      <c r="A944" s="148"/>
      <c r="B944" s="148"/>
      <c r="C944" s="148"/>
      <c r="D944" s="137">
        <v>43454</v>
      </c>
      <c r="E944" s="137" t="s">
        <v>742</v>
      </c>
      <c r="F944" s="12">
        <v>43466</v>
      </c>
      <c r="G944" s="12">
        <v>43646</v>
      </c>
      <c r="H944" s="149"/>
      <c r="I944" s="15" t="s">
        <v>23</v>
      </c>
      <c r="J944" s="14" t="s">
        <v>23</v>
      </c>
      <c r="K944" s="14" t="s">
        <v>23</v>
      </c>
      <c r="L944" s="5" t="s">
        <v>23</v>
      </c>
      <c r="M944" s="5" t="s">
        <v>23</v>
      </c>
      <c r="N944" s="5" t="s">
        <v>23</v>
      </c>
      <c r="O944" s="13">
        <v>2404.29</v>
      </c>
      <c r="P944" s="153"/>
      <c r="Q944" s="17">
        <f t="shared" si="11"/>
        <v>2003.575</v>
      </c>
    </row>
    <row r="945" spans="1:19" ht="18.95" customHeight="1" outlineLevel="1" x14ac:dyDescent="0.25">
      <c r="A945" s="147"/>
      <c r="B945" s="147"/>
      <c r="C945" s="148"/>
      <c r="D945" s="141"/>
      <c r="E945" s="141"/>
      <c r="F945" s="12">
        <v>43647</v>
      </c>
      <c r="G945" s="12">
        <v>43830</v>
      </c>
      <c r="H945" s="151"/>
      <c r="I945" s="15" t="s">
        <v>23</v>
      </c>
      <c r="J945" s="14" t="s">
        <v>23</v>
      </c>
      <c r="K945" s="14" t="s">
        <v>23</v>
      </c>
      <c r="L945" s="5" t="s">
        <v>23</v>
      </c>
      <c r="M945" s="5" t="s">
        <v>23</v>
      </c>
      <c r="N945" s="5" t="s">
        <v>23</v>
      </c>
      <c r="O945" s="13">
        <v>2452.38</v>
      </c>
      <c r="P945" s="152"/>
      <c r="Q945" s="17">
        <f t="shared" si="11"/>
        <v>2043.65</v>
      </c>
    </row>
    <row r="946" spans="1:19" ht="18.95" customHeight="1" outlineLevel="1" x14ac:dyDescent="0.25">
      <c r="A946" s="146" t="s">
        <v>51</v>
      </c>
      <c r="B946" s="193" t="s">
        <v>497</v>
      </c>
      <c r="C946" s="148"/>
      <c r="D946" s="137">
        <v>42723</v>
      </c>
      <c r="E946" s="137" t="s">
        <v>771</v>
      </c>
      <c r="F946" s="12">
        <v>43466</v>
      </c>
      <c r="G946" s="12">
        <v>43646</v>
      </c>
      <c r="H946" s="146" t="s">
        <v>770</v>
      </c>
      <c r="I946" s="13">
        <v>2900.52</v>
      </c>
      <c r="J946" s="14" t="s">
        <v>23</v>
      </c>
      <c r="K946" s="14" t="s">
        <v>23</v>
      </c>
      <c r="L946" s="5" t="s">
        <v>23</v>
      </c>
      <c r="M946" s="5" t="s">
        <v>23</v>
      </c>
      <c r="N946" s="5" t="s">
        <v>23</v>
      </c>
      <c r="O946" s="15" t="s">
        <v>23</v>
      </c>
      <c r="P946" s="153"/>
      <c r="Q946" s="17" t="e">
        <f t="shared" si="11"/>
        <v>#VALUE!</v>
      </c>
    </row>
    <row r="947" spans="1:19" ht="18.95" customHeight="1" outlineLevel="1" x14ac:dyDescent="0.25">
      <c r="A947" s="148"/>
      <c r="B947" s="194"/>
      <c r="C947" s="148"/>
      <c r="D947" s="141"/>
      <c r="E947" s="141"/>
      <c r="F947" s="12">
        <v>43647</v>
      </c>
      <c r="G947" s="12">
        <v>43830</v>
      </c>
      <c r="H947" s="147"/>
      <c r="I947" s="13">
        <v>3103.51</v>
      </c>
      <c r="J947" s="14" t="s">
        <v>23</v>
      </c>
      <c r="K947" s="14" t="s">
        <v>23</v>
      </c>
      <c r="L947" s="5" t="s">
        <v>23</v>
      </c>
      <c r="M947" s="5" t="s">
        <v>23</v>
      </c>
      <c r="N947" s="5" t="s">
        <v>23</v>
      </c>
      <c r="O947" s="15" t="s">
        <v>23</v>
      </c>
      <c r="P947" s="152"/>
      <c r="Q947" s="17" t="e">
        <f t="shared" si="11"/>
        <v>#VALUE!</v>
      </c>
    </row>
    <row r="948" spans="1:19" ht="18.95" customHeight="1" outlineLevel="1" x14ac:dyDescent="0.25">
      <c r="A948" s="148"/>
      <c r="B948" s="194"/>
      <c r="C948" s="148"/>
      <c r="D948" s="137">
        <v>43454</v>
      </c>
      <c r="E948" s="137" t="s">
        <v>742</v>
      </c>
      <c r="F948" s="12">
        <v>43466</v>
      </c>
      <c r="G948" s="12">
        <v>43646</v>
      </c>
      <c r="H948" s="149"/>
      <c r="I948" s="15" t="s">
        <v>23</v>
      </c>
      <c r="J948" s="14" t="s">
        <v>23</v>
      </c>
      <c r="K948" s="14" t="s">
        <v>23</v>
      </c>
      <c r="L948" s="5" t="s">
        <v>23</v>
      </c>
      <c r="M948" s="5" t="s">
        <v>23</v>
      </c>
      <c r="N948" s="5" t="s">
        <v>23</v>
      </c>
      <c r="O948" s="13">
        <v>2404.29</v>
      </c>
      <c r="P948" s="153"/>
      <c r="Q948" s="17">
        <f t="shared" si="11"/>
        <v>2003.575</v>
      </c>
    </row>
    <row r="949" spans="1:19" ht="18.95" customHeight="1" outlineLevel="1" x14ac:dyDescent="0.25">
      <c r="A949" s="147"/>
      <c r="B949" s="195"/>
      <c r="C949" s="148"/>
      <c r="D949" s="141"/>
      <c r="E949" s="141"/>
      <c r="F949" s="12">
        <v>43647</v>
      </c>
      <c r="G949" s="12">
        <v>43830</v>
      </c>
      <c r="H949" s="151"/>
      <c r="I949" s="15" t="s">
        <v>23</v>
      </c>
      <c r="J949" s="14" t="s">
        <v>23</v>
      </c>
      <c r="K949" s="14" t="s">
        <v>23</v>
      </c>
      <c r="L949" s="5" t="s">
        <v>23</v>
      </c>
      <c r="M949" s="5" t="s">
        <v>23</v>
      </c>
      <c r="N949" s="5" t="s">
        <v>23</v>
      </c>
      <c r="O949" s="13">
        <v>2452.38</v>
      </c>
      <c r="P949" s="152"/>
      <c r="Q949" s="17">
        <f t="shared" si="11"/>
        <v>2043.65</v>
      </c>
    </row>
    <row r="950" spans="1:19" ht="18.95" customHeight="1" outlineLevel="1" x14ac:dyDescent="0.25">
      <c r="A950" s="146" t="s">
        <v>51</v>
      </c>
      <c r="B950" s="146" t="s">
        <v>498</v>
      </c>
      <c r="C950" s="148"/>
      <c r="D950" s="137">
        <v>42723</v>
      </c>
      <c r="E950" s="137" t="s">
        <v>771</v>
      </c>
      <c r="F950" s="12">
        <v>43466</v>
      </c>
      <c r="G950" s="12">
        <v>43646</v>
      </c>
      <c r="H950" s="146" t="s">
        <v>770</v>
      </c>
      <c r="I950" s="13">
        <v>2900.52</v>
      </c>
      <c r="J950" s="14" t="s">
        <v>23</v>
      </c>
      <c r="K950" s="14" t="s">
        <v>23</v>
      </c>
      <c r="L950" s="5" t="s">
        <v>23</v>
      </c>
      <c r="M950" s="5" t="s">
        <v>23</v>
      </c>
      <c r="N950" s="5" t="s">
        <v>23</v>
      </c>
      <c r="O950" s="15" t="s">
        <v>23</v>
      </c>
      <c r="P950" s="153"/>
      <c r="Q950" s="17" t="e">
        <f t="shared" si="11"/>
        <v>#VALUE!</v>
      </c>
    </row>
    <row r="951" spans="1:19" ht="18.95" customHeight="1" outlineLevel="1" x14ac:dyDescent="0.25">
      <c r="A951" s="148"/>
      <c r="B951" s="148"/>
      <c r="C951" s="148"/>
      <c r="D951" s="141"/>
      <c r="E951" s="141"/>
      <c r="F951" s="12">
        <v>43647</v>
      </c>
      <c r="G951" s="12">
        <v>43830</v>
      </c>
      <c r="H951" s="147"/>
      <c r="I951" s="13">
        <v>3103.51</v>
      </c>
      <c r="J951" s="14" t="s">
        <v>23</v>
      </c>
      <c r="K951" s="14" t="s">
        <v>23</v>
      </c>
      <c r="L951" s="5" t="s">
        <v>23</v>
      </c>
      <c r="M951" s="5" t="s">
        <v>23</v>
      </c>
      <c r="N951" s="5" t="s">
        <v>23</v>
      </c>
      <c r="O951" s="15" t="s">
        <v>23</v>
      </c>
      <c r="P951" s="152"/>
      <c r="Q951" s="17" t="e">
        <f t="shared" si="11"/>
        <v>#VALUE!</v>
      </c>
    </row>
    <row r="952" spans="1:19" ht="18.95" customHeight="1" outlineLevel="1" x14ac:dyDescent="0.25">
      <c r="A952" s="148"/>
      <c r="B952" s="148"/>
      <c r="C952" s="148"/>
      <c r="D952" s="137">
        <v>43454</v>
      </c>
      <c r="E952" s="137" t="s">
        <v>742</v>
      </c>
      <c r="F952" s="12">
        <v>43466</v>
      </c>
      <c r="G952" s="12">
        <v>43646</v>
      </c>
      <c r="H952" s="149"/>
      <c r="I952" s="15" t="s">
        <v>23</v>
      </c>
      <c r="J952" s="14" t="s">
        <v>23</v>
      </c>
      <c r="K952" s="14" t="s">
        <v>23</v>
      </c>
      <c r="L952" s="5" t="s">
        <v>23</v>
      </c>
      <c r="M952" s="5" t="s">
        <v>23</v>
      </c>
      <c r="N952" s="5" t="s">
        <v>23</v>
      </c>
      <c r="O952" s="13">
        <v>2404.29</v>
      </c>
      <c r="P952" s="153"/>
      <c r="Q952" s="17">
        <f t="shared" si="11"/>
        <v>2003.575</v>
      </c>
    </row>
    <row r="953" spans="1:19" ht="18.95" customHeight="1" outlineLevel="1" x14ac:dyDescent="0.25">
      <c r="A953" s="147"/>
      <c r="B953" s="147"/>
      <c r="C953" s="148"/>
      <c r="D953" s="141"/>
      <c r="E953" s="141"/>
      <c r="F953" s="12">
        <v>43647</v>
      </c>
      <c r="G953" s="12">
        <v>43830</v>
      </c>
      <c r="H953" s="151"/>
      <c r="I953" s="15" t="s">
        <v>23</v>
      </c>
      <c r="J953" s="14" t="s">
        <v>23</v>
      </c>
      <c r="K953" s="14" t="s">
        <v>23</v>
      </c>
      <c r="L953" s="5" t="s">
        <v>23</v>
      </c>
      <c r="M953" s="5" t="s">
        <v>23</v>
      </c>
      <c r="N953" s="5" t="s">
        <v>23</v>
      </c>
      <c r="O953" s="13">
        <v>2452.38</v>
      </c>
      <c r="P953" s="152"/>
      <c r="Q953" s="17">
        <f t="shared" si="11"/>
        <v>2043.65</v>
      </c>
    </row>
    <row r="954" spans="1:19" ht="18.95" customHeight="1" outlineLevel="1" x14ac:dyDescent="0.25">
      <c r="A954" s="146" t="s">
        <v>51</v>
      </c>
      <c r="B954" s="146" t="s">
        <v>499</v>
      </c>
      <c r="C954" s="148"/>
      <c r="D954" s="137">
        <v>42723</v>
      </c>
      <c r="E954" s="137" t="s">
        <v>771</v>
      </c>
      <c r="F954" s="12">
        <v>43466</v>
      </c>
      <c r="G954" s="12">
        <v>43646</v>
      </c>
      <c r="H954" s="146" t="s">
        <v>770</v>
      </c>
      <c r="I954" s="13">
        <v>2900.52</v>
      </c>
      <c r="J954" s="14" t="s">
        <v>23</v>
      </c>
      <c r="K954" s="14" t="s">
        <v>23</v>
      </c>
      <c r="L954" s="5" t="s">
        <v>23</v>
      </c>
      <c r="M954" s="5" t="s">
        <v>23</v>
      </c>
      <c r="N954" s="5" t="s">
        <v>23</v>
      </c>
      <c r="O954" s="15" t="s">
        <v>23</v>
      </c>
      <c r="P954" s="153"/>
      <c r="Q954" s="17" t="e">
        <f t="shared" si="11"/>
        <v>#VALUE!</v>
      </c>
    </row>
    <row r="955" spans="1:19" ht="18.95" customHeight="1" outlineLevel="1" x14ac:dyDescent="0.25">
      <c r="A955" s="148"/>
      <c r="B955" s="148"/>
      <c r="C955" s="148"/>
      <c r="D955" s="141"/>
      <c r="E955" s="141"/>
      <c r="F955" s="12">
        <v>43647</v>
      </c>
      <c r="G955" s="12">
        <v>43830</v>
      </c>
      <c r="H955" s="147"/>
      <c r="I955" s="13">
        <v>3103.51</v>
      </c>
      <c r="J955" s="14" t="s">
        <v>23</v>
      </c>
      <c r="K955" s="14" t="s">
        <v>23</v>
      </c>
      <c r="L955" s="5" t="s">
        <v>23</v>
      </c>
      <c r="M955" s="5" t="s">
        <v>23</v>
      </c>
      <c r="N955" s="5" t="s">
        <v>23</v>
      </c>
      <c r="O955" s="15" t="s">
        <v>23</v>
      </c>
      <c r="P955" s="152"/>
      <c r="Q955" s="17" t="e">
        <f t="shared" si="11"/>
        <v>#VALUE!</v>
      </c>
    </row>
    <row r="956" spans="1:19" ht="18.95" customHeight="1" outlineLevel="1" x14ac:dyDescent="0.25">
      <c r="A956" s="148"/>
      <c r="B956" s="148"/>
      <c r="C956" s="148"/>
      <c r="D956" s="137">
        <v>43454</v>
      </c>
      <c r="E956" s="137" t="s">
        <v>742</v>
      </c>
      <c r="F956" s="12">
        <v>43466</v>
      </c>
      <c r="G956" s="12">
        <v>43646</v>
      </c>
      <c r="H956" s="149"/>
      <c r="I956" s="15" t="s">
        <v>23</v>
      </c>
      <c r="J956" s="14" t="s">
        <v>23</v>
      </c>
      <c r="K956" s="14" t="s">
        <v>23</v>
      </c>
      <c r="L956" s="5" t="s">
        <v>23</v>
      </c>
      <c r="M956" s="5" t="s">
        <v>23</v>
      </c>
      <c r="N956" s="5" t="s">
        <v>23</v>
      </c>
      <c r="O956" s="13">
        <v>2404.29</v>
      </c>
      <c r="P956" s="153"/>
      <c r="Q956" s="17">
        <f t="shared" si="11"/>
        <v>2003.575</v>
      </c>
      <c r="R956" s="47">
        <f>I954-Q956</f>
        <v>896.94499999999994</v>
      </c>
      <c r="S956" s="2">
        <f>R956*8918.226</f>
        <v>7999158.2195699997</v>
      </c>
    </row>
    <row r="957" spans="1:19" ht="18.95" customHeight="1" outlineLevel="1" x14ac:dyDescent="0.25">
      <c r="A957" s="147"/>
      <c r="B957" s="147"/>
      <c r="C957" s="147"/>
      <c r="D957" s="141"/>
      <c r="E957" s="141"/>
      <c r="F957" s="12">
        <v>43647</v>
      </c>
      <c r="G957" s="12">
        <v>43830</v>
      </c>
      <c r="H957" s="151"/>
      <c r="I957" s="15" t="s">
        <v>23</v>
      </c>
      <c r="J957" s="14" t="s">
        <v>23</v>
      </c>
      <c r="K957" s="14" t="s">
        <v>23</v>
      </c>
      <c r="L957" s="5" t="s">
        <v>23</v>
      </c>
      <c r="M957" s="5" t="s">
        <v>23</v>
      </c>
      <c r="N957" s="5" t="s">
        <v>23</v>
      </c>
      <c r="O957" s="13">
        <v>2452.38</v>
      </c>
      <c r="P957" s="152"/>
      <c r="Q957" s="17">
        <f t="shared" si="11"/>
        <v>2043.65</v>
      </c>
    </row>
    <row r="958" spans="1:19" ht="18.95" customHeight="1" outlineLevel="1" x14ac:dyDescent="0.25">
      <c r="A958" s="146" t="s">
        <v>51</v>
      </c>
      <c r="B958" s="146" t="s">
        <v>52</v>
      </c>
      <c r="C958" s="146" t="s">
        <v>448</v>
      </c>
      <c r="D958" s="137">
        <v>43083</v>
      </c>
      <c r="E958" s="137" t="s">
        <v>608</v>
      </c>
      <c r="F958" s="12">
        <v>43466</v>
      </c>
      <c r="G958" s="12">
        <v>43646</v>
      </c>
      <c r="H958" s="142" t="s">
        <v>807</v>
      </c>
      <c r="I958" s="13">
        <v>2872.24</v>
      </c>
      <c r="J958" s="14" t="s">
        <v>23</v>
      </c>
      <c r="K958" s="14" t="s">
        <v>23</v>
      </c>
      <c r="L958" s="5" t="s">
        <v>23</v>
      </c>
      <c r="M958" s="5" t="s">
        <v>23</v>
      </c>
      <c r="N958" s="5" t="s">
        <v>23</v>
      </c>
      <c r="O958" s="4" t="s">
        <v>23</v>
      </c>
      <c r="P958" s="180" t="s">
        <v>331</v>
      </c>
    </row>
    <row r="959" spans="1:19" ht="18.95" customHeight="1" outlineLevel="1" x14ac:dyDescent="0.25">
      <c r="A959" s="148"/>
      <c r="B959" s="148"/>
      <c r="C959" s="148"/>
      <c r="D959" s="141"/>
      <c r="E959" s="141"/>
      <c r="F959" s="12">
        <v>43647</v>
      </c>
      <c r="G959" s="12">
        <v>43830</v>
      </c>
      <c r="H959" s="143"/>
      <c r="I959" s="13">
        <v>3270.55</v>
      </c>
      <c r="J959" s="14" t="s">
        <v>23</v>
      </c>
      <c r="K959" s="14" t="s">
        <v>23</v>
      </c>
      <c r="L959" s="5" t="s">
        <v>23</v>
      </c>
      <c r="M959" s="5" t="s">
        <v>23</v>
      </c>
      <c r="N959" s="5" t="s">
        <v>23</v>
      </c>
      <c r="O959" s="4" t="s">
        <v>23</v>
      </c>
      <c r="P959" s="181"/>
    </row>
    <row r="960" spans="1:19" ht="18.95" customHeight="1" outlineLevel="1" x14ac:dyDescent="0.25">
      <c r="A960" s="148"/>
      <c r="B960" s="148"/>
      <c r="C960" s="148"/>
      <c r="D960" s="137">
        <v>43454</v>
      </c>
      <c r="E960" s="137" t="s">
        <v>808</v>
      </c>
      <c r="F960" s="12">
        <v>43466</v>
      </c>
      <c r="G960" s="12">
        <v>43646</v>
      </c>
      <c r="H960" s="149"/>
      <c r="I960" s="15" t="s">
        <v>23</v>
      </c>
      <c r="J960" s="14" t="s">
        <v>23</v>
      </c>
      <c r="K960" s="14" t="s">
        <v>23</v>
      </c>
      <c r="L960" s="5" t="s">
        <v>23</v>
      </c>
      <c r="M960" s="5" t="s">
        <v>23</v>
      </c>
      <c r="N960" s="5" t="s">
        <v>23</v>
      </c>
      <c r="O960" s="13">
        <v>2794.23</v>
      </c>
      <c r="P960" s="181"/>
    </row>
    <row r="961" spans="1:19" ht="18.95" customHeight="1" outlineLevel="1" x14ac:dyDescent="0.25">
      <c r="A961" s="148"/>
      <c r="B961" s="148"/>
      <c r="C961" s="147"/>
      <c r="D961" s="141"/>
      <c r="E961" s="141"/>
      <c r="F961" s="12">
        <v>43647</v>
      </c>
      <c r="G961" s="12">
        <v>43830</v>
      </c>
      <c r="H961" s="151"/>
      <c r="I961" s="15" t="s">
        <v>23</v>
      </c>
      <c r="J961" s="14" t="s">
        <v>23</v>
      </c>
      <c r="K961" s="14" t="s">
        <v>23</v>
      </c>
      <c r="L961" s="5" t="s">
        <v>23</v>
      </c>
      <c r="M961" s="5" t="s">
        <v>23</v>
      </c>
      <c r="N961" s="5" t="s">
        <v>23</v>
      </c>
      <c r="O961" s="13">
        <v>2794.23</v>
      </c>
      <c r="P961" s="182"/>
    </row>
    <row r="962" spans="1:19" ht="18.95" customHeight="1" outlineLevel="1" x14ac:dyDescent="0.25">
      <c r="A962" s="146" t="s">
        <v>51</v>
      </c>
      <c r="B962" s="146" t="s">
        <v>183</v>
      </c>
      <c r="C962" s="146" t="s">
        <v>291</v>
      </c>
      <c r="D962" s="137">
        <v>43076</v>
      </c>
      <c r="E962" s="137" t="s">
        <v>749</v>
      </c>
      <c r="F962" s="12">
        <v>43466</v>
      </c>
      <c r="G962" s="12">
        <v>43646</v>
      </c>
      <c r="H962" s="146"/>
      <c r="I962" s="13">
        <v>1883</v>
      </c>
      <c r="J962" s="14" t="s">
        <v>23</v>
      </c>
      <c r="K962" s="14" t="s">
        <v>23</v>
      </c>
      <c r="L962" s="5" t="s">
        <v>23</v>
      </c>
      <c r="M962" s="5" t="s">
        <v>23</v>
      </c>
      <c r="N962" s="5" t="s">
        <v>23</v>
      </c>
      <c r="O962" s="15" t="s">
        <v>23</v>
      </c>
      <c r="P962" s="153"/>
    </row>
    <row r="963" spans="1:19" ht="18.95" customHeight="1" outlineLevel="1" x14ac:dyDescent="0.25">
      <c r="A963" s="148"/>
      <c r="B963" s="148"/>
      <c r="C963" s="148"/>
      <c r="D963" s="141"/>
      <c r="E963" s="141"/>
      <c r="F963" s="12">
        <v>43647</v>
      </c>
      <c r="G963" s="12">
        <v>43830</v>
      </c>
      <c r="H963" s="147"/>
      <c r="I963" s="13">
        <v>1919.22</v>
      </c>
      <c r="J963" s="14" t="s">
        <v>23</v>
      </c>
      <c r="K963" s="14" t="s">
        <v>23</v>
      </c>
      <c r="L963" s="5" t="s">
        <v>23</v>
      </c>
      <c r="M963" s="5" t="s">
        <v>23</v>
      </c>
      <c r="N963" s="5" t="s">
        <v>23</v>
      </c>
      <c r="O963" s="15" t="s">
        <v>23</v>
      </c>
      <c r="P963" s="152"/>
    </row>
    <row r="964" spans="1:19" ht="18.95" customHeight="1" outlineLevel="1" x14ac:dyDescent="0.25">
      <c r="A964" s="148"/>
      <c r="B964" s="148"/>
      <c r="C964" s="148"/>
      <c r="D964" s="137">
        <v>43454</v>
      </c>
      <c r="E964" s="137" t="s">
        <v>742</v>
      </c>
      <c r="F964" s="12">
        <v>43466</v>
      </c>
      <c r="G964" s="12">
        <v>43646</v>
      </c>
      <c r="H964" s="149"/>
      <c r="I964" s="15" t="s">
        <v>23</v>
      </c>
      <c r="J964" s="14" t="s">
        <v>23</v>
      </c>
      <c r="K964" s="14" t="s">
        <v>23</v>
      </c>
      <c r="L964" s="5" t="s">
        <v>23</v>
      </c>
      <c r="M964" s="5" t="s">
        <v>23</v>
      </c>
      <c r="N964" s="5" t="s">
        <v>23</v>
      </c>
      <c r="O964" s="13">
        <v>2259.6</v>
      </c>
      <c r="P964" s="153"/>
    </row>
    <row r="965" spans="1:19" ht="18.95" customHeight="1" outlineLevel="1" x14ac:dyDescent="0.25">
      <c r="A965" s="147"/>
      <c r="B965" s="147"/>
      <c r="C965" s="147"/>
      <c r="D965" s="141"/>
      <c r="E965" s="141"/>
      <c r="F965" s="12">
        <v>43647</v>
      </c>
      <c r="G965" s="12">
        <v>43830</v>
      </c>
      <c r="H965" s="151"/>
      <c r="I965" s="15" t="s">
        <v>23</v>
      </c>
      <c r="J965" s="14" t="s">
        <v>23</v>
      </c>
      <c r="K965" s="14" t="s">
        <v>23</v>
      </c>
      <c r="L965" s="5" t="s">
        <v>23</v>
      </c>
      <c r="M965" s="5" t="s">
        <v>23</v>
      </c>
      <c r="N965" s="5" t="s">
        <v>23</v>
      </c>
      <c r="O965" s="13">
        <v>2303.06</v>
      </c>
      <c r="P965" s="152"/>
    </row>
    <row r="966" spans="1:19" s="17" customFormat="1" ht="18.95" customHeight="1" outlineLevel="1" x14ac:dyDescent="0.25">
      <c r="A966" s="146" t="s">
        <v>51</v>
      </c>
      <c r="B966" s="146" t="s">
        <v>458</v>
      </c>
      <c r="C966" s="146" t="s">
        <v>291</v>
      </c>
      <c r="D966" s="137">
        <v>43076</v>
      </c>
      <c r="E966" s="137" t="s">
        <v>750</v>
      </c>
      <c r="F966" s="12">
        <v>43466</v>
      </c>
      <c r="G966" s="12">
        <v>43646</v>
      </c>
      <c r="H966" s="146"/>
      <c r="I966" s="13">
        <v>2133.9899999999998</v>
      </c>
      <c r="J966" s="14" t="s">
        <v>23</v>
      </c>
      <c r="K966" s="14" t="s">
        <v>23</v>
      </c>
      <c r="L966" s="5" t="s">
        <v>23</v>
      </c>
      <c r="M966" s="5" t="s">
        <v>23</v>
      </c>
      <c r="N966" s="5" t="s">
        <v>23</v>
      </c>
      <c r="O966" s="15" t="s">
        <v>23</v>
      </c>
      <c r="P966" s="153"/>
      <c r="S966" s="18"/>
    </row>
    <row r="967" spans="1:19" s="17" customFormat="1" ht="18.95" customHeight="1" outlineLevel="1" x14ac:dyDescent="0.25">
      <c r="A967" s="148"/>
      <c r="B967" s="148"/>
      <c r="C967" s="148"/>
      <c r="D967" s="141"/>
      <c r="E967" s="141"/>
      <c r="F967" s="12">
        <v>43647</v>
      </c>
      <c r="G967" s="12">
        <v>43830</v>
      </c>
      <c r="H967" s="147"/>
      <c r="I967" s="13">
        <v>2170.83</v>
      </c>
      <c r="J967" s="14" t="s">
        <v>23</v>
      </c>
      <c r="K967" s="14" t="s">
        <v>23</v>
      </c>
      <c r="L967" s="5" t="s">
        <v>23</v>
      </c>
      <c r="M967" s="5" t="s">
        <v>23</v>
      </c>
      <c r="N967" s="5" t="s">
        <v>23</v>
      </c>
      <c r="O967" s="15" t="s">
        <v>23</v>
      </c>
      <c r="P967" s="152"/>
      <c r="S967" s="18"/>
    </row>
    <row r="968" spans="1:19" s="10" customFormat="1" ht="18.95" customHeight="1" x14ac:dyDescent="0.25">
      <c r="A968" s="148"/>
      <c r="B968" s="148"/>
      <c r="C968" s="148"/>
      <c r="D968" s="137">
        <v>43454</v>
      </c>
      <c r="E968" s="137" t="s">
        <v>742</v>
      </c>
      <c r="F968" s="12">
        <v>43466</v>
      </c>
      <c r="G968" s="12">
        <v>43646</v>
      </c>
      <c r="H968" s="149"/>
      <c r="I968" s="15" t="s">
        <v>23</v>
      </c>
      <c r="J968" s="14" t="s">
        <v>23</v>
      </c>
      <c r="K968" s="14" t="s">
        <v>23</v>
      </c>
      <c r="L968" s="5" t="s">
        <v>23</v>
      </c>
      <c r="M968" s="5" t="s">
        <v>23</v>
      </c>
      <c r="N968" s="5" t="s">
        <v>23</v>
      </c>
      <c r="O968" s="13">
        <v>2404.29</v>
      </c>
      <c r="P968" s="153"/>
      <c r="S968" s="11"/>
    </row>
    <row r="969" spans="1:19" s="17" customFormat="1" ht="18.95" customHeight="1" outlineLevel="1" x14ac:dyDescent="0.25">
      <c r="A969" s="147"/>
      <c r="B969" s="147"/>
      <c r="C969" s="147"/>
      <c r="D969" s="141"/>
      <c r="E969" s="141"/>
      <c r="F969" s="12">
        <v>43647</v>
      </c>
      <c r="G969" s="12">
        <v>43830</v>
      </c>
      <c r="H969" s="151"/>
      <c r="I969" s="15" t="s">
        <v>23</v>
      </c>
      <c r="J969" s="14" t="s">
        <v>23</v>
      </c>
      <c r="K969" s="14" t="s">
        <v>23</v>
      </c>
      <c r="L969" s="5" t="s">
        <v>23</v>
      </c>
      <c r="M969" s="5" t="s">
        <v>23</v>
      </c>
      <c r="N969" s="5" t="s">
        <v>23</v>
      </c>
      <c r="O969" s="13">
        <v>2452.38</v>
      </c>
      <c r="P969" s="152"/>
      <c r="S969" s="18"/>
    </row>
    <row r="970" spans="1:19" s="17" customFormat="1" ht="18.95" customHeight="1" outlineLevel="1" x14ac:dyDescent="0.25">
      <c r="A970" s="146" t="s">
        <v>51</v>
      </c>
      <c r="B970" s="146" t="s">
        <v>744</v>
      </c>
      <c r="C970" s="146" t="s">
        <v>125</v>
      </c>
      <c r="D970" s="137">
        <v>43453</v>
      </c>
      <c r="E970" s="137" t="s">
        <v>752</v>
      </c>
      <c r="F970" s="12">
        <v>43466</v>
      </c>
      <c r="G970" s="12">
        <v>43646</v>
      </c>
      <c r="H970" s="146"/>
      <c r="I970" s="13">
        <v>1888.87</v>
      </c>
      <c r="J970" s="14" t="s">
        <v>23</v>
      </c>
      <c r="K970" s="14" t="s">
        <v>23</v>
      </c>
      <c r="L970" s="5" t="s">
        <v>23</v>
      </c>
      <c r="M970" s="5" t="s">
        <v>23</v>
      </c>
      <c r="N970" s="5" t="s">
        <v>23</v>
      </c>
      <c r="O970" s="15" t="s">
        <v>23</v>
      </c>
      <c r="P970" s="153" t="s">
        <v>380</v>
      </c>
      <c r="S970" s="18"/>
    </row>
    <row r="971" spans="1:19" s="17" customFormat="1" ht="18.95" customHeight="1" outlineLevel="1" x14ac:dyDescent="0.25">
      <c r="A971" s="148"/>
      <c r="B971" s="148"/>
      <c r="C971" s="148"/>
      <c r="D971" s="138"/>
      <c r="E971" s="138"/>
      <c r="F971" s="12">
        <v>43647</v>
      </c>
      <c r="G971" s="12">
        <v>43830</v>
      </c>
      <c r="H971" s="148"/>
      <c r="I971" s="13">
        <v>1925.9659999999999</v>
      </c>
      <c r="J971" s="14" t="s">
        <v>23</v>
      </c>
      <c r="K971" s="14" t="s">
        <v>23</v>
      </c>
      <c r="L971" s="5" t="s">
        <v>23</v>
      </c>
      <c r="M971" s="5" t="s">
        <v>23</v>
      </c>
      <c r="N971" s="5" t="s">
        <v>23</v>
      </c>
      <c r="O971" s="15" t="s">
        <v>23</v>
      </c>
      <c r="P971" s="152"/>
      <c r="S971" s="18"/>
    </row>
    <row r="972" spans="1:19" s="17" customFormat="1" ht="18.95" customHeight="1" outlineLevel="1" x14ac:dyDescent="0.25">
      <c r="A972" s="148"/>
      <c r="B972" s="148"/>
      <c r="C972" s="148"/>
      <c r="D972" s="138"/>
      <c r="E972" s="138"/>
      <c r="F972" s="12">
        <v>43466</v>
      </c>
      <c r="G972" s="12">
        <v>43646</v>
      </c>
      <c r="H972" s="148"/>
      <c r="I972" s="13">
        <v>1215</v>
      </c>
      <c r="J972" s="14" t="s">
        <v>23</v>
      </c>
      <c r="K972" s="14" t="s">
        <v>23</v>
      </c>
      <c r="L972" s="5" t="s">
        <v>23</v>
      </c>
      <c r="M972" s="5" t="s">
        <v>23</v>
      </c>
      <c r="N972" s="5" t="s">
        <v>23</v>
      </c>
      <c r="O972" s="15" t="s">
        <v>23</v>
      </c>
      <c r="P972" s="153" t="s">
        <v>751</v>
      </c>
      <c r="S972" s="18"/>
    </row>
    <row r="973" spans="1:19" s="17" customFormat="1" ht="18.95" customHeight="1" outlineLevel="1" x14ac:dyDescent="0.25">
      <c r="A973" s="148"/>
      <c r="B973" s="148"/>
      <c r="C973" s="148"/>
      <c r="D973" s="141"/>
      <c r="E973" s="141"/>
      <c r="F973" s="12">
        <v>43647</v>
      </c>
      <c r="G973" s="12">
        <v>43830</v>
      </c>
      <c r="H973" s="147"/>
      <c r="I973" s="13">
        <v>1250.3800000000001</v>
      </c>
      <c r="J973" s="14" t="s">
        <v>23</v>
      </c>
      <c r="K973" s="14" t="s">
        <v>23</v>
      </c>
      <c r="L973" s="5" t="s">
        <v>23</v>
      </c>
      <c r="M973" s="5" t="s">
        <v>23</v>
      </c>
      <c r="N973" s="5" t="s">
        <v>23</v>
      </c>
      <c r="O973" s="15" t="s">
        <v>23</v>
      </c>
      <c r="P973" s="152"/>
      <c r="S973" s="18"/>
    </row>
    <row r="974" spans="1:19" s="17" customFormat="1" ht="18.95" customHeight="1" outlineLevel="1" x14ac:dyDescent="0.25">
      <c r="A974" s="148"/>
      <c r="B974" s="148"/>
      <c r="C974" s="148"/>
      <c r="D974" s="137">
        <v>43454</v>
      </c>
      <c r="E974" s="137" t="s">
        <v>742</v>
      </c>
      <c r="F974" s="12">
        <v>43466</v>
      </c>
      <c r="G974" s="12">
        <v>43646</v>
      </c>
      <c r="H974" s="146"/>
      <c r="I974" s="15" t="s">
        <v>23</v>
      </c>
      <c r="J974" s="14" t="s">
        <v>23</v>
      </c>
      <c r="K974" s="14" t="s">
        <v>23</v>
      </c>
      <c r="L974" s="5" t="s">
        <v>23</v>
      </c>
      <c r="M974" s="5" t="s">
        <v>23</v>
      </c>
      <c r="N974" s="5" t="s">
        <v>23</v>
      </c>
      <c r="O974" s="13">
        <v>2266.64</v>
      </c>
      <c r="P974" s="153"/>
      <c r="S974" s="18"/>
    </row>
    <row r="975" spans="1:19" s="17" customFormat="1" ht="18.95" customHeight="1" outlineLevel="1" x14ac:dyDescent="0.25">
      <c r="A975" s="147"/>
      <c r="B975" s="147"/>
      <c r="C975" s="147"/>
      <c r="D975" s="141"/>
      <c r="E975" s="141"/>
      <c r="F975" s="12">
        <v>43647</v>
      </c>
      <c r="G975" s="12">
        <v>43830</v>
      </c>
      <c r="H975" s="147"/>
      <c r="I975" s="15" t="s">
        <v>23</v>
      </c>
      <c r="J975" s="14" t="s">
        <v>23</v>
      </c>
      <c r="K975" s="14" t="s">
        <v>23</v>
      </c>
      <c r="L975" s="5" t="s">
        <v>23</v>
      </c>
      <c r="M975" s="5" t="s">
        <v>23</v>
      </c>
      <c r="N975" s="5" t="s">
        <v>23</v>
      </c>
      <c r="O975" s="13">
        <v>2311.15</v>
      </c>
      <c r="P975" s="152"/>
      <c r="S975" s="18"/>
    </row>
    <row r="976" spans="1:19" s="17" customFormat="1" ht="18.95" customHeight="1" outlineLevel="1" x14ac:dyDescent="0.25">
      <c r="A976" s="6" t="s">
        <v>154</v>
      </c>
      <c r="B976" s="6" t="s">
        <v>155</v>
      </c>
      <c r="C976" s="7"/>
      <c r="D976" s="7"/>
      <c r="E976" s="7"/>
      <c r="F976" s="7"/>
      <c r="G976" s="7"/>
      <c r="H976" s="7"/>
      <c r="I976" s="8"/>
      <c r="J976" s="31"/>
      <c r="K976" s="31"/>
      <c r="L976" s="32"/>
      <c r="M976" s="32"/>
      <c r="N976" s="32"/>
      <c r="O976" s="8"/>
      <c r="P976" s="9"/>
      <c r="S976" s="18"/>
    </row>
    <row r="977" spans="1:19" s="17" customFormat="1" ht="18.95" customHeight="1" outlineLevel="1" x14ac:dyDescent="0.25">
      <c r="A977" s="146" t="s">
        <v>39</v>
      </c>
      <c r="B977" s="157" t="s">
        <v>297</v>
      </c>
      <c r="C977" s="146" t="s">
        <v>779</v>
      </c>
      <c r="D977" s="137">
        <v>43087</v>
      </c>
      <c r="E977" s="137" t="s">
        <v>809</v>
      </c>
      <c r="F977" s="12">
        <v>43466</v>
      </c>
      <c r="G977" s="12">
        <v>43646</v>
      </c>
      <c r="H977" s="146" t="s">
        <v>810</v>
      </c>
      <c r="I977" s="13">
        <v>2151.83</v>
      </c>
      <c r="J977" s="14" t="s">
        <v>23</v>
      </c>
      <c r="K977" s="14" t="s">
        <v>23</v>
      </c>
      <c r="L977" s="5" t="s">
        <v>23</v>
      </c>
      <c r="M977" s="5" t="s">
        <v>23</v>
      </c>
      <c r="N977" s="5" t="s">
        <v>23</v>
      </c>
      <c r="O977" s="15" t="s">
        <v>23</v>
      </c>
      <c r="P977" s="144"/>
      <c r="S977" s="18"/>
    </row>
    <row r="978" spans="1:19" s="17" customFormat="1" ht="18.95" customHeight="1" outlineLevel="1" x14ac:dyDescent="0.25">
      <c r="A978" s="148"/>
      <c r="B978" s="157"/>
      <c r="C978" s="148"/>
      <c r="D978" s="141"/>
      <c r="E978" s="141"/>
      <c r="F978" s="12">
        <v>43647</v>
      </c>
      <c r="G978" s="12">
        <v>43830</v>
      </c>
      <c r="H978" s="147"/>
      <c r="I978" s="13">
        <v>2194.81</v>
      </c>
      <c r="J978" s="14" t="s">
        <v>23</v>
      </c>
      <c r="K978" s="14" t="s">
        <v>23</v>
      </c>
      <c r="L978" s="5" t="s">
        <v>23</v>
      </c>
      <c r="M978" s="5" t="s">
        <v>23</v>
      </c>
      <c r="N978" s="5" t="s">
        <v>23</v>
      </c>
      <c r="O978" s="15" t="s">
        <v>23</v>
      </c>
      <c r="P978" s="145"/>
      <c r="S978" s="18"/>
    </row>
    <row r="979" spans="1:19" s="17" customFormat="1" ht="18.95" customHeight="1" outlineLevel="1" x14ac:dyDescent="0.25">
      <c r="A979" s="148"/>
      <c r="B979" s="157"/>
      <c r="C979" s="148"/>
      <c r="D979" s="137">
        <v>43454</v>
      </c>
      <c r="E979" s="137" t="s">
        <v>811</v>
      </c>
      <c r="F979" s="12">
        <v>43466</v>
      </c>
      <c r="G979" s="12">
        <v>43646</v>
      </c>
      <c r="H979" s="149"/>
      <c r="I979" s="15" t="s">
        <v>23</v>
      </c>
      <c r="J979" s="14" t="s">
        <v>23</v>
      </c>
      <c r="K979" s="14" t="s">
        <v>23</v>
      </c>
      <c r="L979" s="5" t="s">
        <v>23</v>
      </c>
      <c r="M979" s="5" t="s">
        <v>23</v>
      </c>
      <c r="N979" s="5" t="s">
        <v>23</v>
      </c>
      <c r="O979" s="13">
        <v>2582.1999999999998</v>
      </c>
      <c r="P979" s="144" t="s">
        <v>444</v>
      </c>
      <c r="S979" s="18"/>
    </row>
    <row r="980" spans="1:19" s="17" customFormat="1" ht="18.95" customHeight="1" outlineLevel="1" x14ac:dyDescent="0.25">
      <c r="A980" s="148"/>
      <c r="B980" s="157"/>
      <c r="C980" s="148"/>
      <c r="D980" s="138"/>
      <c r="E980" s="138"/>
      <c r="F980" s="12">
        <v>43647</v>
      </c>
      <c r="G980" s="12">
        <v>43830</v>
      </c>
      <c r="H980" s="150"/>
      <c r="I980" s="15" t="s">
        <v>23</v>
      </c>
      <c r="J980" s="14" t="s">
        <v>23</v>
      </c>
      <c r="K980" s="14" t="s">
        <v>23</v>
      </c>
      <c r="L980" s="5" t="s">
        <v>23</v>
      </c>
      <c r="M980" s="5" t="s">
        <v>23</v>
      </c>
      <c r="N980" s="5" t="s">
        <v>23</v>
      </c>
      <c r="O980" s="13">
        <v>2582.1999999999998</v>
      </c>
      <c r="P980" s="145"/>
      <c r="S980" s="18"/>
    </row>
    <row r="981" spans="1:19" s="17" customFormat="1" ht="18.95" customHeight="1" outlineLevel="1" x14ac:dyDescent="0.25">
      <c r="A981" s="148"/>
      <c r="B981" s="157"/>
      <c r="C981" s="148"/>
      <c r="D981" s="138"/>
      <c r="E981" s="138"/>
      <c r="F981" s="12">
        <v>43466</v>
      </c>
      <c r="G981" s="12">
        <v>43646</v>
      </c>
      <c r="H981" s="150"/>
      <c r="I981" s="15" t="s">
        <v>23</v>
      </c>
      <c r="J981" s="14" t="s">
        <v>23</v>
      </c>
      <c r="K981" s="14" t="s">
        <v>23</v>
      </c>
      <c r="L981" s="5" t="s">
        <v>23</v>
      </c>
      <c r="M981" s="5" t="s">
        <v>23</v>
      </c>
      <c r="N981" s="5" t="s">
        <v>23</v>
      </c>
      <c r="O981" s="13">
        <v>1612.15</v>
      </c>
      <c r="P981" s="144" t="s">
        <v>446</v>
      </c>
      <c r="S981" s="18"/>
    </row>
    <row r="982" spans="1:19" s="17" customFormat="1" ht="18.95" customHeight="1" outlineLevel="1" x14ac:dyDescent="0.25">
      <c r="A982" s="147"/>
      <c r="B982" s="157"/>
      <c r="C982" s="148"/>
      <c r="D982" s="141"/>
      <c r="E982" s="141"/>
      <c r="F982" s="12">
        <v>43647</v>
      </c>
      <c r="G982" s="12">
        <v>43830</v>
      </c>
      <c r="H982" s="151"/>
      <c r="I982" s="15" t="s">
        <v>23</v>
      </c>
      <c r="J982" s="14" t="s">
        <v>23</v>
      </c>
      <c r="K982" s="14" t="s">
        <v>23</v>
      </c>
      <c r="L982" s="5" t="s">
        <v>23</v>
      </c>
      <c r="M982" s="5" t="s">
        <v>23</v>
      </c>
      <c r="N982" s="5" t="s">
        <v>23</v>
      </c>
      <c r="O982" s="13">
        <v>1644.39</v>
      </c>
      <c r="P982" s="145"/>
      <c r="S982" s="18"/>
    </row>
    <row r="983" spans="1:19" s="17" customFormat="1" ht="18.95" customHeight="1" outlineLevel="1" x14ac:dyDescent="0.25">
      <c r="A983" s="146" t="s">
        <v>39</v>
      </c>
      <c r="B983" s="148" t="s">
        <v>144</v>
      </c>
      <c r="C983" s="148"/>
      <c r="D983" s="137">
        <v>43087</v>
      </c>
      <c r="E983" s="137" t="s">
        <v>809</v>
      </c>
      <c r="F983" s="12">
        <v>43466</v>
      </c>
      <c r="G983" s="12">
        <v>43646</v>
      </c>
      <c r="H983" s="146" t="s">
        <v>810</v>
      </c>
      <c r="I983" s="13">
        <v>2151.83</v>
      </c>
      <c r="J983" s="14" t="s">
        <v>23</v>
      </c>
      <c r="K983" s="14" t="s">
        <v>23</v>
      </c>
      <c r="L983" s="5" t="s">
        <v>23</v>
      </c>
      <c r="M983" s="5" t="s">
        <v>23</v>
      </c>
      <c r="N983" s="5" t="s">
        <v>23</v>
      </c>
      <c r="O983" s="15" t="s">
        <v>23</v>
      </c>
      <c r="P983" s="144"/>
      <c r="S983" s="18"/>
    </row>
    <row r="984" spans="1:19" s="17" customFormat="1" ht="18.95" customHeight="1" outlineLevel="1" x14ac:dyDescent="0.25">
      <c r="A984" s="148"/>
      <c r="B984" s="148"/>
      <c r="C984" s="148"/>
      <c r="D984" s="141"/>
      <c r="E984" s="141"/>
      <c r="F984" s="12">
        <v>43647</v>
      </c>
      <c r="G984" s="12">
        <v>43830</v>
      </c>
      <c r="H984" s="147"/>
      <c r="I984" s="13">
        <v>2194.81</v>
      </c>
      <c r="J984" s="14" t="s">
        <v>23</v>
      </c>
      <c r="K984" s="14" t="s">
        <v>23</v>
      </c>
      <c r="L984" s="5" t="s">
        <v>23</v>
      </c>
      <c r="M984" s="5" t="s">
        <v>23</v>
      </c>
      <c r="N984" s="5" t="s">
        <v>23</v>
      </c>
      <c r="O984" s="15" t="s">
        <v>23</v>
      </c>
      <c r="P984" s="145"/>
      <c r="S984" s="18"/>
    </row>
    <row r="985" spans="1:19" s="17" customFormat="1" ht="18.95" customHeight="1" outlineLevel="1" x14ac:dyDescent="0.25">
      <c r="A985" s="148"/>
      <c r="B985" s="148"/>
      <c r="C985" s="148"/>
      <c r="D985" s="137">
        <v>43454</v>
      </c>
      <c r="E985" s="137" t="s">
        <v>811</v>
      </c>
      <c r="F985" s="12">
        <v>43466</v>
      </c>
      <c r="G985" s="12">
        <v>43646</v>
      </c>
      <c r="H985" s="149"/>
      <c r="I985" s="15" t="s">
        <v>23</v>
      </c>
      <c r="J985" s="14" t="s">
        <v>23</v>
      </c>
      <c r="K985" s="14" t="s">
        <v>23</v>
      </c>
      <c r="L985" s="5" t="s">
        <v>23</v>
      </c>
      <c r="M985" s="5" t="s">
        <v>23</v>
      </c>
      <c r="N985" s="5" t="s">
        <v>23</v>
      </c>
      <c r="O985" s="13">
        <v>2582.1999999999998</v>
      </c>
      <c r="P985" s="144"/>
      <c r="S985" s="18"/>
    </row>
    <row r="986" spans="1:19" s="17" customFormat="1" ht="18.95" customHeight="1" outlineLevel="1" x14ac:dyDescent="0.25">
      <c r="A986" s="147"/>
      <c r="B986" s="147"/>
      <c r="C986" s="148"/>
      <c r="D986" s="141"/>
      <c r="E986" s="141"/>
      <c r="F986" s="12">
        <v>43647</v>
      </c>
      <c r="G986" s="12">
        <v>43830</v>
      </c>
      <c r="H986" s="151"/>
      <c r="I986" s="15" t="s">
        <v>23</v>
      </c>
      <c r="J986" s="14" t="s">
        <v>23</v>
      </c>
      <c r="K986" s="14" t="s">
        <v>23</v>
      </c>
      <c r="L986" s="5" t="s">
        <v>23</v>
      </c>
      <c r="M986" s="5" t="s">
        <v>23</v>
      </c>
      <c r="N986" s="5" t="s">
        <v>23</v>
      </c>
      <c r="O986" s="13">
        <v>2582.1999999999998</v>
      </c>
      <c r="P986" s="145"/>
      <c r="S986" s="18"/>
    </row>
    <row r="987" spans="1:19" s="17" customFormat="1" ht="18.95" customHeight="1" outlineLevel="1" x14ac:dyDescent="0.25">
      <c r="A987" s="146" t="s">
        <v>39</v>
      </c>
      <c r="B987" s="148" t="s">
        <v>602</v>
      </c>
      <c r="C987" s="148"/>
      <c r="D987" s="137">
        <v>43087</v>
      </c>
      <c r="E987" s="137" t="s">
        <v>809</v>
      </c>
      <c r="F987" s="12">
        <v>43466</v>
      </c>
      <c r="G987" s="12">
        <v>43646</v>
      </c>
      <c r="H987" s="146" t="s">
        <v>810</v>
      </c>
      <c r="I987" s="13">
        <v>2151.83</v>
      </c>
      <c r="J987" s="14" t="s">
        <v>23</v>
      </c>
      <c r="K987" s="14" t="s">
        <v>23</v>
      </c>
      <c r="L987" s="5" t="s">
        <v>23</v>
      </c>
      <c r="M987" s="5" t="s">
        <v>23</v>
      </c>
      <c r="N987" s="5" t="s">
        <v>23</v>
      </c>
      <c r="O987" s="15" t="s">
        <v>23</v>
      </c>
      <c r="P987" s="144"/>
      <c r="S987" s="18"/>
    </row>
    <row r="988" spans="1:19" s="17" customFormat="1" ht="18.95" customHeight="1" outlineLevel="1" x14ac:dyDescent="0.25">
      <c r="A988" s="148"/>
      <c r="B988" s="148"/>
      <c r="C988" s="148"/>
      <c r="D988" s="141"/>
      <c r="E988" s="141"/>
      <c r="F988" s="12">
        <v>43647</v>
      </c>
      <c r="G988" s="12">
        <v>43830</v>
      </c>
      <c r="H988" s="147"/>
      <c r="I988" s="13">
        <v>2194.81</v>
      </c>
      <c r="J988" s="14" t="s">
        <v>23</v>
      </c>
      <c r="K988" s="14" t="s">
        <v>23</v>
      </c>
      <c r="L988" s="5" t="s">
        <v>23</v>
      </c>
      <c r="M988" s="5" t="s">
        <v>23</v>
      </c>
      <c r="N988" s="5" t="s">
        <v>23</v>
      </c>
      <c r="O988" s="15" t="s">
        <v>23</v>
      </c>
      <c r="P988" s="145"/>
      <c r="S988" s="18"/>
    </row>
    <row r="989" spans="1:19" s="17" customFormat="1" ht="18.95" customHeight="1" outlineLevel="1" x14ac:dyDescent="0.25">
      <c r="A989" s="148"/>
      <c r="B989" s="148"/>
      <c r="C989" s="148"/>
      <c r="D989" s="137">
        <v>43454</v>
      </c>
      <c r="E989" s="137" t="s">
        <v>811</v>
      </c>
      <c r="F989" s="12">
        <v>43466</v>
      </c>
      <c r="G989" s="12">
        <v>43646</v>
      </c>
      <c r="H989" s="149"/>
      <c r="I989" s="15" t="s">
        <v>23</v>
      </c>
      <c r="J989" s="14" t="s">
        <v>23</v>
      </c>
      <c r="K989" s="14" t="s">
        <v>23</v>
      </c>
      <c r="L989" s="5" t="s">
        <v>23</v>
      </c>
      <c r="M989" s="5" t="s">
        <v>23</v>
      </c>
      <c r="N989" s="5" t="s">
        <v>23</v>
      </c>
      <c r="O989" s="13">
        <v>2582.1999999999998</v>
      </c>
      <c r="P989" s="144"/>
      <c r="S989" s="18"/>
    </row>
    <row r="990" spans="1:19" s="17" customFormat="1" ht="18.95" customHeight="1" outlineLevel="1" x14ac:dyDescent="0.25">
      <c r="A990" s="147"/>
      <c r="B990" s="147"/>
      <c r="C990" s="148"/>
      <c r="D990" s="141"/>
      <c r="E990" s="141"/>
      <c r="F990" s="12">
        <v>43647</v>
      </c>
      <c r="G990" s="12">
        <v>43830</v>
      </c>
      <c r="H990" s="151"/>
      <c r="I990" s="15" t="s">
        <v>23</v>
      </c>
      <c r="J990" s="14" t="s">
        <v>23</v>
      </c>
      <c r="K990" s="14" t="s">
        <v>23</v>
      </c>
      <c r="L990" s="5" t="s">
        <v>23</v>
      </c>
      <c r="M990" s="5" t="s">
        <v>23</v>
      </c>
      <c r="N990" s="5" t="s">
        <v>23</v>
      </c>
      <c r="O990" s="13">
        <v>2582.1999999999998</v>
      </c>
      <c r="P990" s="145"/>
      <c r="S990" s="18"/>
    </row>
    <row r="991" spans="1:19" s="17" customFormat="1" ht="18.95" customHeight="1" outlineLevel="1" x14ac:dyDescent="0.25">
      <c r="A991" s="146" t="s">
        <v>39</v>
      </c>
      <c r="B991" s="148" t="s">
        <v>377</v>
      </c>
      <c r="C991" s="148"/>
      <c r="D991" s="137">
        <v>43087</v>
      </c>
      <c r="E991" s="137" t="s">
        <v>809</v>
      </c>
      <c r="F991" s="12">
        <v>43466</v>
      </c>
      <c r="G991" s="12">
        <v>43646</v>
      </c>
      <c r="H991" s="146" t="s">
        <v>810</v>
      </c>
      <c r="I991" s="13">
        <v>2151.83</v>
      </c>
      <c r="J991" s="14" t="s">
        <v>23</v>
      </c>
      <c r="K991" s="14" t="s">
        <v>23</v>
      </c>
      <c r="L991" s="5" t="s">
        <v>23</v>
      </c>
      <c r="M991" s="5" t="s">
        <v>23</v>
      </c>
      <c r="N991" s="5" t="s">
        <v>23</v>
      </c>
      <c r="O991" s="15" t="s">
        <v>23</v>
      </c>
      <c r="P991" s="144"/>
      <c r="S991" s="18"/>
    </row>
    <row r="992" spans="1:19" s="17" customFormat="1" ht="18.95" customHeight="1" outlineLevel="1" x14ac:dyDescent="0.25">
      <c r="A992" s="148"/>
      <c r="B992" s="148"/>
      <c r="C992" s="148"/>
      <c r="D992" s="141"/>
      <c r="E992" s="141"/>
      <c r="F992" s="12">
        <v>43647</v>
      </c>
      <c r="G992" s="12">
        <v>43830</v>
      </c>
      <c r="H992" s="147"/>
      <c r="I992" s="13">
        <v>2194.81</v>
      </c>
      <c r="J992" s="14" t="s">
        <v>23</v>
      </c>
      <c r="K992" s="14" t="s">
        <v>23</v>
      </c>
      <c r="L992" s="5" t="s">
        <v>23</v>
      </c>
      <c r="M992" s="5" t="s">
        <v>23</v>
      </c>
      <c r="N992" s="5" t="s">
        <v>23</v>
      </c>
      <c r="O992" s="15" t="s">
        <v>23</v>
      </c>
      <c r="P992" s="145"/>
      <c r="S992" s="18"/>
    </row>
    <row r="993" spans="1:19" s="17" customFormat="1" ht="18.95" customHeight="1" outlineLevel="1" x14ac:dyDescent="0.25">
      <c r="A993" s="148"/>
      <c r="B993" s="148"/>
      <c r="C993" s="148"/>
      <c r="D993" s="137">
        <v>43454</v>
      </c>
      <c r="E993" s="137" t="s">
        <v>811</v>
      </c>
      <c r="F993" s="12">
        <v>43466</v>
      </c>
      <c r="G993" s="12">
        <v>43646</v>
      </c>
      <c r="H993" s="149"/>
      <c r="I993" s="15" t="s">
        <v>23</v>
      </c>
      <c r="J993" s="14" t="s">
        <v>23</v>
      </c>
      <c r="K993" s="14" t="s">
        <v>23</v>
      </c>
      <c r="L993" s="5" t="s">
        <v>23</v>
      </c>
      <c r="M993" s="5" t="s">
        <v>23</v>
      </c>
      <c r="N993" s="5" t="s">
        <v>23</v>
      </c>
      <c r="O993" s="13">
        <v>2582.1999999999998</v>
      </c>
      <c r="P993" s="144"/>
      <c r="S993" s="18"/>
    </row>
    <row r="994" spans="1:19" s="17" customFormat="1" ht="18.95" customHeight="1" outlineLevel="1" x14ac:dyDescent="0.25">
      <c r="A994" s="147"/>
      <c r="B994" s="147"/>
      <c r="C994" s="148"/>
      <c r="D994" s="141"/>
      <c r="E994" s="141"/>
      <c r="F994" s="12">
        <v>43647</v>
      </c>
      <c r="G994" s="12">
        <v>43830</v>
      </c>
      <c r="H994" s="151"/>
      <c r="I994" s="15" t="s">
        <v>23</v>
      </c>
      <c r="J994" s="14" t="s">
        <v>23</v>
      </c>
      <c r="K994" s="14" t="s">
        <v>23</v>
      </c>
      <c r="L994" s="5" t="s">
        <v>23</v>
      </c>
      <c r="M994" s="5" t="s">
        <v>23</v>
      </c>
      <c r="N994" s="5" t="s">
        <v>23</v>
      </c>
      <c r="O994" s="13">
        <v>2582.1999999999998</v>
      </c>
      <c r="P994" s="145"/>
      <c r="S994" s="18"/>
    </row>
    <row r="995" spans="1:19" s="17" customFormat="1" ht="18.95" customHeight="1" outlineLevel="1" x14ac:dyDescent="0.25">
      <c r="A995" s="146" t="s">
        <v>39</v>
      </c>
      <c r="B995" s="148" t="s">
        <v>376</v>
      </c>
      <c r="C995" s="148"/>
      <c r="D995" s="137">
        <v>43087</v>
      </c>
      <c r="E995" s="137" t="s">
        <v>809</v>
      </c>
      <c r="F995" s="12">
        <v>43466</v>
      </c>
      <c r="G995" s="12">
        <v>43646</v>
      </c>
      <c r="H995" s="146" t="s">
        <v>810</v>
      </c>
      <c r="I995" s="13">
        <v>2151.83</v>
      </c>
      <c r="J995" s="14" t="s">
        <v>23</v>
      </c>
      <c r="K995" s="14" t="s">
        <v>23</v>
      </c>
      <c r="L995" s="5" t="s">
        <v>23</v>
      </c>
      <c r="M995" s="5" t="s">
        <v>23</v>
      </c>
      <c r="N995" s="5" t="s">
        <v>23</v>
      </c>
      <c r="O995" s="15" t="s">
        <v>23</v>
      </c>
      <c r="P995" s="144"/>
      <c r="S995" s="18"/>
    </row>
    <row r="996" spans="1:19" s="17" customFormat="1" ht="18.95" customHeight="1" outlineLevel="1" x14ac:dyDescent="0.25">
      <c r="A996" s="148"/>
      <c r="B996" s="148"/>
      <c r="C996" s="148"/>
      <c r="D996" s="141"/>
      <c r="E996" s="141"/>
      <c r="F996" s="12">
        <v>43647</v>
      </c>
      <c r="G996" s="12">
        <v>43830</v>
      </c>
      <c r="H996" s="147"/>
      <c r="I996" s="13">
        <v>2194.81</v>
      </c>
      <c r="J996" s="14" t="s">
        <v>23</v>
      </c>
      <c r="K996" s="14" t="s">
        <v>23</v>
      </c>
      <c r="L996" s="5" t="s">
        <v>23</v>
      </c>
      <c r="M996" s="5" t="s">
        <v>23</v>
      </c>
      <c r="N996" s="5" t="s">
        <v>23</v>
      </c>
      <c r="O996" s="15" t="s">
        <v>23</v>
      </c>
      <c r="P996" s="145"/>
      <c r="S996" s="18"/>
    </row>
    <row r="997" spans="1:19" s="17" customFormat="1" ht="18.95" customHeight="1" outlineLevel="1" x14ac:dyDescent="0.25">
      <c r="A997" s="148"/>
      <c r="B997" s="148"/>
      <c r="C997" s="148"/>
      <c r="D997" s="137">
        <v>43454</v>
      </c>
      <c r="E997" s="137" t="s">
        <v>811</v>
      </c>
      <c r="F997" s="12">
        <v>43466</v>
      </c>
      <c r="G997" s="12">
        <v>43646</v>
      </c>
      <c r="H997" s="149"/>
      <c r="I997" s="15" t="s">
        <v>23</v>
      </c>
      <c r="J997" s="14" t="s">
        <v>23</v>
      </c>
      <c r="K997" s="14" t="s">
        <v>23</v>
      </c>
      <c r="L997" s="5" t="s">
        <v>23</v>
      </c>
      <c r="M997" s="5" t="s">
        <v>23</v>
      </c>
      <c r="N997" s="5" t="s">
        <v>23</v>
      </c>
      <c r="O997" s="13">
        <v>2582.1999999999998</v>
      </c>
      <c r="P997" s="144"/>
      <c r="S997" s="18"/>
    </row>
    <row r="998" spans="1:19" s="17" customFormat="1" ht="18.95" customHeight="1" outlineLevel="1" x14ac:dyDescent="0.25">
      <c r="A998" s="147"/>
      <c r="B998" s="147"/>
      <c r="C998" s="148"/>
      <c r="D998" s="141"/>
      <c r="E998" s="141"/>
      <c r="F998" s="12">
        <v>43647</v>
      </c>
      <c r="G998" s="12">
        <v>43830</v>
      </c>
      <c r="H998" s="151"/>
      <c r="I998" s="15" t="s">
        <v>23</v>
      </c>
      <c r="J998" s="14" t="s">
        <v>23</v>
      </c>
      <c r="K998" s="14" t="s">
        <v>23</v>
      </c>
      <c r="L998" s="5" t="s">
        <v>23</v>
      </c>
      <c r="M998" s="5" t="s">
        <v>23</v>
      </c>
      <c r="N998" s="5" t="s">
        <v>23</v>
      </c>
      <c r="O998" s="13">
        <v>2582.1999999999998</v>
      </c>
      <c r="P998" s="145"/>
      <c r="S998" s="18"/>
    </row>
    <row r="999" spans="1:19" s="17" customFormat="1" ht="18.95" customHeight="1" outlineLevel="1" x14ac:dyDescent="0.25">
      <c r="A999" s="146" t="s">
        <v>39</v>
      </c>
      <c r="B999" s="146" t="s">
        <v>297</v>
      </c>
      <c r="C999" s="148"/>
      <c r="D999" s="137">
        <v>43087</v>
      </c>
      <c r="E999" s="137" t="s">
        <v>809</v>
      </c>
      <c r="F999" s="12">
        <v>43466</v>
      </c>
      <c r="G999" s="12">
        <v>43646</v>
      </c>
      <c r="H999" s="146" t="s">
        <v>810</v>
      </c>
      <c r="I999" s="13">
        <v>2151.83</v>
      </c>
      <c r="J999" s="14" t="s">
        <v>23</v>
      </c>
      <c r="K999" s="14" t="s">
        <v>23</v>
      </c>
      <c r="L999" s="5" t="s">
        <v>23</v>
      </c>
      <c r="M999" s="5" t="s">
        <v>23</v>
      </c>
      <c r="N999" s="5" t="s">
        <v>23</v>
      </c>
      <c r="O999" s="15" t="s">
        <v>23</v>
      </c>
      <c r="P999" s="144"/>
      <c r="S999" s="18"/>
    </row>
    <row r="1000" spans="1:19" s="17" customFormat="1" ht="18.95" customHeight="1" outlineLevel="1" x14ac:dyDescent="0.25">
      <c r="A1000" s="148"/>
      <c r="B1000" s="148"/>
      <c r="C1000" s="148"/>
      <c r="D1000" s="141"/>
      <c r="E1000" s="141"/>
      <c r="F1000" s="12">
        <v>43647</v>
      </c>
      <c r="G1000" s="12">
        <v>43830</v>
      </c>
      <c r="H1000" s="147"/>
      <c r="I1000" s="13">
        <v>2194.81</v>
      </c>
      <c r="J1000" s="14" t="s">
        <v>23</v>
      </c>
      <c r="K1000" s="14" t="s">
        <v>23</v>
      </c>
      <c r="L1000" s="5" t="s">
        <v>23</v>
      </c>
      <c r="M1000" s="5" t="s">
        <v>23</v>
      </c>
      <c r="N1000" s="5" t="s">
        <v>23</v>
      </c>
      <c r="O1000" s="15" t="s">
        <v>23</v>
      </c>
      <c r="P1000" s="145"/>
      <c r="S1000" s="18"/>
    </row>
    <row r="1001" spans="1:19" s="17" customFormat="1" ht="18.95" customHeight="1" outlineLevel="1" x14ac:dyDescent="0.25">
      <c r="A1001" s="148"/>
      <c r="B1001" s="148"/>
      <c r="C1001" s="148"/>
      <c r="D1001" s="137">
        <v>43454</v>
      </c>
      <c r="E1001" s="137" t="s">
        <v>811</v>
      </c>
      <c r="F1001" s="12">
        <v>43466</v>
      </c>
      <c r="G1001" s="12">
        <v>43646</v>
      </c>
      <c r="H1001" s="149"/>
      <c r="I1001" s="15" t="s">
        <v>23</v>
      </c>
      <c r="J1001" s="14" t="s">
        <v>23</v>
      </c>
      <c r="K1001" s="14" t="s">
        <v>23</v>
      </c>
      <c r="L1001" s="5" t="s">
        <v>23</v>
      </c>
      <c r="M1001" s="5" t="s">
        <v>23</v>
      </c>
      <c r="N1001" s="5" t="s">
        <v>23</v>
      </c>
      <c r="O1001" s="13">
        <v>2011.61</v>
      </c>
      <c r="P1001" s="144" t="s">
        <v>451</v>
      </c>
      <c r="S1001" s="18"/>
    </row>
    <row r="1002" spans="1:19" s="17" customFormat="1" ht="18.95" customHeight="1" outlineLevel="1" x14ac:dyDescent="0.25">
      <c r="A1002" s="147"/>
      <c r="B1002" s="147"/>
      <c r="C1002" s="147"/>
      <c r="D1002" s="141"/>
      <c r="E1002" s="141"/>
      <c r="F1002" s="12">
        <v>43647</v>
      </c>
      <c r="G1002" s="12">
        <v>43830</v>
      </c>
      <c r="H1002" s="151"/>
      <c r="I1002" s="15" t="s">
        <v>23</v>
      </c>
      <c r="J1002" s="14" t="s">
        <v>23</v>
      </c>
      <c r="K1002" s="14" t="s">
        <v>23</v>
      </c>
      <c r="L1002" s="5" t="s">
        <v>23</v>
      </c>
      <c r="M1002" s="5" t="s">
        <v>23</v>
      </c>
      <c r="N1002" s="5" t="s">
        <v>23</v>
      </c>
      <c r="O1002" s="13">
        <v>2051.84</v>
      </c>
      <c r="P1002" s="145"/>
      <c r="S1002" s="18"/>
    </row>
    <row r="1003" spans="1:19" s="17" customFormat="1" ht="18.95" customHeight="1" outlineLevel="1" x14ac:dyDescent="0.25">
      <c r="A1003" s="146" t="s">
        <v>307</v>
      </c>
      <c r="B1003" s="146" t="s">
        <v>144</v>
      </c>
      <c r="C1003" s="146" t="s">
        <v>197</v>
      </c>
      <c r="D1003" s="137">
        <v>43454</v>
      </c>
      <c r="E1003" s="137" t="s">
        <v>633</v>
      </c>
      <c r="F1003" s="12">
        <v>43466</v>
      </c>
      <c r="G1003" s="12">
        <v>43646</v>
      </c>
      <c r="H1003" s="146"/>
      <c r="I1003" s="13">
        <v>1197.04</v>
      </c>
      <c r="J1003" s="14" t="s">
        <v>23</v>
      </c>
      <c r="K1003" s="14" t="s">
        <v>23</v>
      </c>
      <c r="L1003" s="5" t="s">
        <v>23</v>
      </c>
      <c r="M1003" s="5" t="s">
        <v>23</v>
      </c>
      <c r="N1003" s="5" t="s">
        <v>23</v>
      </c>
      <c r="O1003" s="15" t="s">
        <v>85</v>
      </c>
      <c r="P1003" s="144"/>
      <c r="S1003" s="18"/>
    </row>
    <row r="1004" spans="1:19" s="17" customFormat="1" ht="18.95" customHeight="1" outlineLevel="1" x14ac:dyDescent="0.25">
      <c r="A1004" s="148"/>
      <c r="B1004" s="148"/>
      <c r="C1004" s="148"/>
      <c r="D1004" s="141"/>
      <c r="E1004" s="141"/>
      <c r="F1004" s="12">
        <v>43647</v>
      </c>
      <c r="G1004" s="12">
        <v>43830</v>
      </c>
      <c r="H1004" s="147"/>
      <c r="I1004" s="13">
        <v>1243.5</v>
      </c>
      <c r="J1004" s="14" t="s">
        <v>23</v>
      </c>
      <c r="K1004" s="14" t="s">
        <v>23</v>
      </c>
      <c r="L1004" s="5" t="s">
        <v>23</v>
      </c>
      <c r="M1004" s="5" t="s">
        <v>23</v>
      </c>
      <c r="N1004" s="5" t="s">
        <v>23</v>
      </c>
      <c r="O1004" s="15" t="s">
        <v>85</v>
      </c>
      <c r="P1004" s="145"/>
      <c r="S1004" s="18"/>
    </row>
    <row r="1005" spans="1:19" s="10" customFormat="1" ht="18.95" customHeight="1" x14ac:dyDescent="0.25">
      <c r="A1005" s="6">
        <v>12</v>
      </c>
      <c r="B1005" s="6" t="s">
        <v>156</v>
      </c>
      <c r="C1005" s="7"/>
      <c r="D1005" s="7"/>
      <c r="E1005" s="7"/>
      <c r="F1005" s="7"/>
      <c r="G1005" s="7"/>
      <c r="H1005" s="7"/>
      <c r="I1005" s="8"/>
      <c r="J1005" s="31"/>
      <c r="K1005" s="31"/>
      <c r="L1005" s="32"/>
      <c r="M1005" s="32"/>
      <c r="N1005" s="32"/>
      <c r="O1005" s="8"/>
      <c r="P1005" s="9"/>
      <c r="S1005" s="11"/>
    </row>
    <row r="1006" spans="1:19" s="17" customFormat="1" ht="18.95" customHeight="1" outlineLevel="1" x14ac:dyDescent="0.25">
      <c r="A1006" s="146" t="s">
        <v>46</v>
      </c>
      <c r="B1006" s="146" t="s">
        <v>47</v>
      </c>
      <c r="C1006" s="146" t="s">
        <v>722</v>
      </c>
      <c r="D1006" s="137">
        <v>43448</v>
      </c>
      <c r="E1006" s="137" t="s">
        <v>626</v>
      </c>
      <c r="F1006" s="12">
        <v>43466</v>
      </c>
      <c r="G1006" s="12">
        <v>43646</v>
      </c>
      <c r="H1006" s="146"/>
      <c r="I1006" s="13">
        <v>2275.0100000000002</v>
      </c>
      <c r="J1006" s="95" t="s">
        <v>23</v>
      </c>
      <c r="K1006" s="95" t="s">
        <v>23</v>
      </c>
      <c r="L1006" s="97" t="s">
        <v>23</v>
      </c>
      <c r="M1006" s="97" t="s">
        <v>23</v>
      </c>
      <c r="N1006" s="97" t="s">
        <v>23</v>
      </c>
      <c r="O1006" s="4" t="s">
        <v>23</v>
      </c>
      <c r="P1006" s="144"/>
      <c r="S1006" s="18"/>
    </row>
    <row r="1007" spans="1:19" s="17" customFormat="1" ht="18.95" customHeight="1" outlineLevel="1" x14ac:dyDescent="0.25">
      <c r="A1007" s="148"/>
      <c r="B1007" s="148"/>
      <c r="C1007" s="148"/>
      <c r="D1007" s="141"/>
      <c r="E1007" s="141"/>
      <c r="F1007" s="12">
        <v>43647</v>
      </c>
      <c r="G1007" s="12">
        <v>43830</v>
      </c>
      <c r="H1007" s="147"/>
      <c r="I1007" s="13">
        <v>3048.48</v>
      </c>
      <c r="J1007" s="95" t="s">
        <v>23</v>
      </c>
      <c r="K1007" s="95" t="s">
        <v>23</v>
      </c>
      <c r="L1007" s="97" t="s">
        <v>23</v>
      </c>
      <c r="M1007" s="97" t="s">
        <v>23</v>
      </c>
      <c r="N1007" s="97" t="s">
        <v>23</v>
      </c>
      <c r="O1007" s="4" t="s">
        <v>23</v>
      </c>
      <c r="P1007" s="145"/>
      <c r="S1007" s="18"/>
    </row>
    <row r="1008" spans="1:19" s="17" customFormat="1" ht="18.95" customHeight="1" outlineLevel="1" x14ac:dyDescent="0.25">
      <c r="A1008" s="148"/>
      <c r="B1008" s="148"/>
      <c r="C1008" s="148"/>
      <c r="D1008" s="137">
        <v>43454</v>
      </c>
      <c r="E1008" s="137" t="s">
        <v>723</v>
      </c>
      <c r="F1008" s="12">
        <v>43466</v>
      </c>
      <c r="G1008" s="12">
        <v>43646</v>
      </c>
      <c r="H1008" s="149"/>
      <c r="I1008" s="96" t="s">
        <v>23</v>
      </c>
      <c r="J1008" s="95" t="s">
        <v>23</v>
      </c>
      <c r="K1008" s="95" t="s">
        <v>23</v>
      </c>
      <c r="L1008" s="97" t="s">
        <v>23</v>
      </c>
      <c r="M1008" s="97" t="s">
        <v>23</v>
      </c>
      <c r="N1008" s="97" t="s">
        <v>23</v>
      </c>
      <c r="O1008" s="13">
        <v>2290.1898305084746</v>
      </c>
      <c r="P1008" s="144"/>
      <c r="S1008" s="18"/>
    </row>
    <row r="1009" spans="1:19" s="17" customFormat="1" ht="18.95" customHeight="1" outlineLevel="1" x14ac:dyDescent="0.25">
      <c r="A1009" s="147"/>
      <c r="B1009" s="147"/>
      <c r="C1009" s="148"/>
      <c r="D1009" s="141"/>
      <c r="E1009" s="141"/>
      <c r="F1009" s="12">
        <v>43647</v>
      </c>
      <c r="G1009" s="12">
        <v>43830</v>
      </c>
      <c r="H1009" s="151"/>
      <c r="I1009" s="96" t="s">
        <v>23</v>
      </c>
      <c r="J1009" s="95" t="s">
        <v>23</v>
      </c>
      <c r="K1009" s="95" t="s">
        <v>23</v>
      </c>
      <c r="L1009" s="97" t="s">
        <v>23</v>
      </c>
      <c r="M1009" s="97" t="s">
        <v>23</v>
      </c>
      <c r="N1009" s="97" t="s">
        <v>23</v>
      </c>
      <c r="O1009" s="13">
        <v>2335.9899999999998</v>
      </c>
      <c r="P1009" s="145"/>
      <c r="S1009" s="18"/>
    </row>
    <row r="1010" spans="1:19" s="17" customFormat="1" ht="18.95" customHeight="1" outlineLevel="1" x14ac:dyDescent="0.25">
      <c r="A1010" s="146" t="s">
        <v>46</v>
      </c>
      <c r="B1010" s="146" t="s">
        <v>95</v>
      </c>
      <c r="C1010" s="148"/>
      <c r="D1010" s="137">
        <v>43448</v>
      </c>
      <c r="E1010" s="137" t="s">
        <v>626</v>
      </c>
      <c r="F1010" s="12">
        <v>43466</v>
      </c>
      <c r="G1010" s="12">
        <v>43646</v>
      </c>
      <c r="H1010" s="146"/>
      <c r="I1010" s="13">
        <v>2275.0100000000002</v>
      </c>
      <c r="J1010" s="95" t="s">
        <v>23</v>
      </c>
      <c r="K1010" s="95" t="s">
        <v>23</v>
      </c>
      <c r="L1010" s="97" t="s">
        <v>23</v>
      </c>
      <c r="M1010" s="97" t="s">
        <v>23</v>
      </c>
      <c r="N1010" s="97" t="s">
        <v>23</v>
      </c>
      <c r="O1010" s="4" t="s">
        <v>23</v>
      </c>
      <c r="P1010" s="144"/>
      <c r="S1010" s="18"/>
    </row>
    <row r="1011" spans="1:19" s="17" customFormat="1" ht="18.95" customHeight="1" outlineLevel="1" x14ac:dyDescent="0.25">
      <c r="A1011" s="148"/>
      <c r="B1011" s="148"/>
      <c r="C1011" s="148"/>
      <c r="D1011" s="141"/>
      <c r="E1011" s="141"/>
      <c r="F1011" s="12">
        <v>43647</v>
      </c>
      <c r="G1011" s="12">
        <v>43830</v>
      </c>
      <c r="H1011" s="147"/>
      <c r="I1011" s="13">
        <v>3048.48</v>
      </c>
      <c r="J1011" s="95" t="s">
        <v>23</v>
      </c>
      <c r="K1011" s="95" t="s">
        <v>23</v>
      </c>
      <c r="L1011" s="97" t="s">
        <v>23</v>
      </c>
      <c r="M1011" s="97" t="s">
        <v>23</v>
      </c>
      <c r="N1011" s="97" t="s">
        <v>23</v>
      </c>
      <c r="O1011" s="4" t="s">
        <v>23</v>
      </c>
      <c r="P1011" s="145"/>
      <c r="S1011" s="18"/>
    </row>
    <row r="1012" spans="1:19" s="17" customFormat="1" ht="18.95" customHeight="1" outlineLevel="1" x14ac:dyDescent="0.25">
      <c r="A1012" s="148"/>
      <c r="B1012" s="148"/>
      <c r="C1012" s="148"/>
      <c r="D1012" s="137">
        <v>43454</v>
      </c>
      <c r="E1012" s="137" t="s">
        <v>723</v>
      </c>
      <c r="F1012" s="12">
        <v>43466</v>
      </c>
      <c r="G1012" s="12">
        <v>43646</v>
      </c>
      <c r="H1012" s="149"/>
      <c r="I1012" s="96" t="s">
        <v>23</v>
      </c>
      <c r="J1012" s="95" t="s">
        <v>23</v>
      </c>
      <c r="K1012" s="95" t="s">
        <v>23</v>
      </c>
      <c r="L1012" s="97" t="s">
        <v>23</v>
      </c>
      <c r="M1012" s="97" t="s">
        <v>23</v>
      </c>
      <c r="N1012" s="97" t="s">
        <v>23</v>
      </c>
      <c r="O1012" s="13">
        <v>2290.1898305084746</v>
      </c>
      <c r="P1012" s="144"/>
      <c r="S1012" s="18"/>
    </row>
    <row r="1013" spans="1:19" s="17" customFormat="1" ht="18.95" customHeight="1" outlineLevel="1" x14ac:dyDescent="0.25">
      <c r="A1013" s="147"/>
      <c r="B1013" s="147"/>
      <c r="C1013" s="148"/>
      <c r="D1013" s="141"/>
      <c r="E1013" s="141"/>
      <c r="F1013" s="12">
        <v>43647</v>
      </c>
      <c r="G1013" s="12">
        <v>43830</v>
      </c>
      <c r="H1013" s="151"/>
      <c r="I1013" s="96" t="s">
        <v>23</v>
      </c>
      <c r="J1013" s="95" t="s">
        <v>23</v>
      </c>
      <c r="K1013" s="95" t="s">
        <v>23</v>
      </c>
      <c r="L1013" s="97" t="s">
        <v>23</v>
      </c>
      <c r="M1013" s="97" t="s">
        <v>23</v>
      </c>
      <c r="N1013" s="97" t="s">
        <v>23</v>
      </c>
      <c r="O1013" s="13">
        <v>2335.9899999999998</v>
      </c>
      <c r="P1013" s="145"/>
      <c r="S1013" s="18"/>
    </row>
    <row r="1014" spans="1:19" s="17" customFormat="1" ht="18.95" customHeight="1" outlineLevel="1" x14ac:dyDescent="0.25">
      <c r="A1014" s="146" t="s">
        <v>46</v>
      </c>
      <c r="B1014" s="146" t="s">
        <v>96</v>
      </c>
      <c r="C1014" s="148"/>
      <c r="D1014" s="137">
        <v>43448</v>
      </c>
      <c r="E1014" s="137" t="s">
        <v>626</v>
      </c>
      <c r="F1014" s="12">
        <v>43466</v>
      </c>
      <c r="G1014" s="12">
        <v>43646</v>
      </c>
      <c r="H1014" s="146"/>
      <c r="I1014" s="13">
        <v>2275.0100000000002</v>
      </c>
      <c r="J1014" s="95" t="s">
        <v>23</v>
      </c>
      <c r="K1014" s="95" t="s">
        <v>23</v>
      </c>
      <c r="L1014" s="97" t="s">
        <v>23</v>
      </c>
      <c r="M1014" s="97" t="s">
        <v>23</v>
      </c>
      <c r="N1014" s="97" t="s">
        <v>23</v>
      </c>
      <c r="O1014" s="4" t="s">
        <v>23</v>
      </c>
      <c r="P1014" s="144"/>
      <c r="S1014" s="18"/>
    </row>
    <row r="1015" spans="1:19" s="17" customFormat="1" ht="18.95" customHeight="1" outlineLevel="1" x14ac:dyDescent="0.25">
      <c r="A1015" s="148"/>
      <c r="B1015" s="148"/>
      <c r="C1015" s="148"/>
      <c r="D1015" s="141"/>
      <c r="E1015" s="141"/>
      <c r="F1015" s="12">
        <v>43647</v>
      </c>
      <c r="G1015" s="12">
        <v>43830</v>
      </c>
      <c r="H1015" s="147"/>
      <c r="I1015" s="13">
        <v>3048.48</v>
      </c>
      <c r="J1015" s="95" t="s">
        <v>23</v>
      </c>
      <c r="K1015" s="95" t="s">
        <v>23</v>
      </c>
      <c r="L1015" s="97" t="s">
        <v>23</v>
      </c>
      <c r="M1015" s="97" t="s">
        <v>23</v>
      </c>
      <c r="N1015" s="97" t="s">
        <v>23</v>
      </c>
      <c r="O1015" s="4" t="s">
        <v>23</v>
      </c>
      <c r="P1015" s="145"/>
      <c r="S1015" s="18"/>
    </row>
    <row r="1016" spans="1:19" s="17" customFormat="1" ht="18.95" customHeight="1" outlineLevel="1" x14ac:dyDescent="0.25">
      <c r="A1016" s="148"/>
      <c r="B1016" s="148"/>
      <c r="C1016" s="148"/>
      <c r="D1016" s="137">
        <v>43454</v>
      </c>
      <c r="E1016" s="137" t="s">
        <v>723</v>
      </c>
      <c r="F1016" s="12">
        <v>43466</v>
      </c>
      <c r="G1016" s="12">
        <v>43646</v>
      </c>
      <c r="H1016" s="149"/>
      <c r="I1016" s="96" t="s">
        <v>23</v>
      </c>
      <c r="J1016" s="95" t="s">
        <v>23</v>
      </c>
      <c r="K1016" s="95" t="s">
        <v>23</v>
      </c>
      <c r="L1016" s="97" t="s">
        <v>23</v>
      </c>
      <c r="M1016" s="97" t="s">
        <v>23</v>
      </c>
      <c r="N1016" s="97" t="s">
        <v>23</v>
      </c>
      <c r="O1016" s="13">
        <v>2253.29</v>
      </c>
      <c r="P1016" s="144"/>
      <c r="S1016" s="18"/>
    </row>
    <row r="1017" spans="1:19" s="17" customFormat="1" ht="18.95" customHeight="1" outlineLevel="1" x14ac:dyDescent="0.25">
      <c r="A1017" s="147"/>
      <c r="B1017" s="147"/>
      <c r="C1017" s="147"/>
      <c r="D1017" s="141"/>
      <c r="E1017" s="141"/>
      <c r="F1017" s="12">
        <v>43647</v>
      </c>
      <c r="G1017" s="12">
        <v>43830</v>
      </c>
      <c r="H1017" s="151"/>
      <c r="I1017" s="96" t="s">
        <v>23</v>
      </c>
      <c r="J1017" s="95" t="s">
        <v>23</v>
      </c>
      <c r="K1017" s="95" t="s">
        <v>23</v>
      </c>
      <c r="L1017" s="97" t="s">
        <v>23</v>
      </c>
      <c r="M1017" s="97" t="s">
        <v>23</v>
      </c>
      <c r="N1017" s="97" t="s">
        <v>23</v>
      </c>
      <c r="O1017" s="13">
        <v>2298.35</v>
      </c>
      <c r="P1017" s="145"/>
      <c r="S1017" s="18"/>
    </row>
    <row r="1018" spans="1:19" s="17" customFormat="1" ht="18.95" customHeight="1" outlineLevel="1" x14ac:dyDescent="0.25">
      <c r="A1018" s="146" t="s">
        <v>46</v>
      </c>
      <c r="B1018" s="146" t="s">
        <v>47</v>
      </c>
      <c r="C1018" s="146" t="s">
        <v>97</v>
      </c>
      <c r="D1018" s="137">
        <v>43453</v>
      </c>
      <c r="E1018" s="137" t="s">
        <v>724</v>
      </c>
      <c r="F1018" s="12">
        <v>43466</v>
      </c>
      <c r="G1018" s="12">
        <v>43646</v>
      </c>
      <c r="H1018" s="146"/>
      <c r="I1018" s="13">
        <v>4442.12</v>
      </c>
      <c r="J1018" s="95" t="s">
        <v>23</v>
      </c>
      <c r="K1018" s="95" t="s">
        <v>23</v>
      </c>
      <c r="L1018" s="97" t="s">
        <v>23</v>
      </c>
      <c r="M1018" s="97" t="s">
        <v>23</v>
      </c>
      <c r="N1018" s="97" t="s">
        <v>23</v>
      </c>
      <c r="O1018" s="4" t="s">
        <v>23</v>
      </c>
      <c r="P1018" s="144"/>
      <c r="S1018" s="18"/>
    </row>
    <row r="1019" spans="1:19" s="17" customFormat="1" ht="18.95" customHeight="1" outlineLevel="1" x14ac:dyDescent="0.25">
      <c r="A1019" s="148"/>
      <c r="B1019" s="148"/>
      <c r="C1019" s="148"/>
      <c r="D1019" s="141"/>
      <c r="E1019" s="141"/>
      <c r="F1019" s="12">
        <v>43647</v>
      </c>
      <c r="G1019" s="12">
        <v>43830</v>
      </c>
      <c r="H1019" s="147"/>
      <c r="I1019" s="13">
        <v>4632.68</v>
      </c>
      <c r="J1019" s="95" t="s">
        <v>23</v>
      </c>
      <c r="K1019" s="95" t="s">
        <v>23</v>
      </c>
      <c r="L1019" s="97" t="s">
        <v>23</v>
      </c>
      <c r="M1019" s="97" t="s">
        <v>23</v>
      </c>
      <c r="N1019" s="97" t="s">
        <v>23</v>
      </c>
      <c r="O1019" s="4" t="s">
        <v>23</v>
      </c>
      <c r="P1019" s="145"/>
      <c r="S1019" s="18"/>
    </row>
    <row r="1020" spans="1:19" s="17" customFormat="1" ht="18.95" customHeight="1" outlineLevel="1" x14ac:dyDescent="0.25">
      <c r="A1020" s="148"/>
      <c r="B1020" s="148"/>
      <c r="C1020" s="148"/>
      <c r="D1020" s="137">
        <v>43454</v>
      </c>
      <c r="E1020" s="137" t="s">
        <v>723</v>
      </c>
      <c r="F1020" s="12">
        <v>43466</v>
      </c>
      <c r="G1020" s="12">
        <v>43646</v>
      </c>
      <c r="H1020" s="149"/>
      <c r="I1020" s="96" t="s">
        <v>23</v>
      </c>
      <c r="J1020" s="95" t="s">
        <v>23</v>
      </c>
      <c r="K1020" s="95" t="s">
        <v>23</v>
      </c>
      <c r="L1020" s="97" t="s">
        <v>23</v>
      </c>
      <c r="M1020" s="97" t="s">
        <v>23</v>
      </c>
      <c r="N1020" s="97" t="s">
        <v>23</v>
      </c>
      <c r="O1020" s="13">
        <v>2290.1898305084746</v>
      </c>
      <c r="P1020" s="144"/>
      <c r="S1020" s="18"/>
    </row>
    <row r="1021" spans="1:19" s="17" customFormat="1" ht="18.95" customHeight="1" outlineLevel="1" x14ac:dyDescent="0.25">
      <c r="A1021" s="147"/>
      <c r="B1021" s="147"/>
      <c r="C1021" s="147"/>
      <c r="D1021" s="141"/>
      <c r="E1021" s="141"/>
      <c r="F1021" s="12">
        <v>43647</v>
      </c>
      <c r="G1021" s="12">
        <v>43830</v>
      </c>
      <c r="H1021" s="151"/>
      <c r="I1021" s="96" t="s">
        <v>23</v>
      </c>
      <c r="J1021" s="95" t="s">
        <v>23</v>
      </c>
      <c r="K1021" s="95" t="s">
        <v>23</v>
      </c>
      <c r="L1021" s="97" t="s">
        <v>23</v>
      </c>
      <c r="M1021" s="97" t="s">
        <v>23</v>
      </c>
      <c r="N1021" s="97" t="s">
        <v>23</v>
      </c>
      <c r="O1021" s="13">
        <v>2335.9899999999998</v>
      </c>
      <c r="P1021" s="145"/>
      <c r="S1021" s="18"/>
    </row>
    <row r="1022" spans="1:19" s="17" customFormat="1" ht="18.95" customHeight="1" outlineLevel="1" x14ac:dyDescent="0.25">
      <c r="A1022" s="146" t="s">
        <v>46</v>
      </c>
      <c r="B1022" s="146" t="s">
        <v>47</v>
      </c>
      <c r="C1022" s="146" t="s">
        <v>102</v>
      </c>
      <c r="D1022" s="137">
        <v>43427</v>
      </c>
      <c r="E1022" s="137" t="s">
        <v>725</v>
      </c>
      <c r="F1022" s="12">
        <v>43466</v>
      </c>
      <c r="G1022" s="12">
        <v>43646</v>
      </c>
      <c r="H1022" s="146"/>
      <c r="I1022" s="13">
        <v>5140</v>
      </c>
      <c r="J1022" s="95" t="s">
        <v>23</v>
      </c>
      <c r="K1022" s="95" t="s">
        <v>23</v>
      </c>
      <c r="L1022" s="97" t="s">
        <v>23</v>
      </c>
      <c r="M1022" s="97" t="s">
        <v>23</v>
      </c>
      <c r="N1022" s="97" t="s">
        <v>23</v>
      </c>
      <c r="O1022" s="4" t="s">
        <v>23</v>
      </c>
      <c r="P1022" s="144"/>
      <c r="S1022" s="18"/>
    </row>
    <row r="1023" spans="1:19" s="17" customFormat="1" ht="18.95" customHeight="1" outlineLevel="1" x14ac:dyDescent="0.25">
      <c r="A1023" s="148"/>
      <c r="B1023" s="148"/>
      <c r="C1023" s="148"/>
      <c r="D1023" s="141"/>
      <c r="E1023" s="141"/>
      <c r="F1023" s="12">
        <v>43647</v>
      </c>
      <c r="G1023" s="12">
        <v>43830</v>
      </c>
      <c r="H1023" s="147"/>
      <c r="I1023" s="13">
        <v>5285.69</v>
      </c>
      <c r="J1023" s="95" t="s">
        <v>23</v>
      </c>
      <c r="K1023" s="95" t="s">
        <v>23</v>
      </c>
      <c r="L1023" s="97" t="s">
        <v>23</v>
      </c>
      <c r="M1023" s="97" t="s">
        <v>23</v>
      </c>
      <c r="N1023" s="97" t="s">
        <v>23</v>
      </c>
      <c r="O1023" s="4" t="s">
        <v>23</v>
      </c>
      <c r="P1023" s="145"/>
      <c r="S1023" s="18"/>
    </row>
    <row r="1024" spans="1:19" s="17" customFormat="1" ht="18.95" customHeight="1" outlineLevel="1" x14ac:dyDescent="0.25">
      <c r="A1024" s="148"/>
      <c r="B1024" s="148"/>
      <c r="C1024" s="148"/>
      <c r="D1024" s="137">
        <v>43454</v>
      </c>
      <c r="E1024" s="137" t="s">
        <v>723</v>
      </c>
      <c r="F1024" s="12">
        <v>43466</v>
      </c>
      <c r="G1024" s="12">
        <v>43646</v>
      </c>
      <c r="H1024" s="149"/>
      <c r="I1024" s="96" t="s">
        <v>23</v>
      </c>
      <c r="J1024" s="95" t="s">
        <v>23</v>
      </c>
      <c r="K1024" s="95" t="s">
        <v>23</v>
      </c>
      <c r="L1024" s="97" t="s">
        <v>23</v>
      </c>
      <c r="M1024" s="97" t="s">
        <v>23</v>
      </c>
      <c r="N1024" s="97" t="s">
        <v>23</v>
      </c>
      <c r="O1024" s="13">
        <v>2290.1898305084746</v>
      </c>
      <c r="P1024" s="144"/>
      <c r="S1024" s="18"/>
    </row>
    <row r="1025" spans="1:19" s="17" customFormat="1" ht="18.95" customHeight="1" outlineLevel="1" x14ac:dyDescent="0.25">
      <c r="A1025" s="147"/>
      <c r="B1025" s="147"/>
      <c r="C1025" s="147"/>
      <c r="D1025" s="141"/>
      <c r="E1025" s="141"/>
      <c r="F1025" s="12">
        <v>43647</v>
      </c>
      <c r="G1025" s="12">
        <v>43830</v>
      </c>
      <c r="H1025" s="151"/>
      <c r="I1025" s="96" t="s">
        <v>23</v>
      </c>
      <c r="J1025" s="95" t="s">
        <v>23</v>
      </c>
      <c r="K1025" s="95" t="s">
        <v>23</v>
      </c>
      <c r="L1025" s="97" t="s">
        <v>23</v>
      </c>
      <c r="M1025" s="97" t="s">
        <v>23</v>
      </c>
      <c r="N1025" s="97" t="s">
        <v>23</v>
      </c>
      <c r="O1025" s="13">
        <v>2335.9899999999998</v>
      </c>
      <c r="P1025" s="145"/>
      <c r="S1025" s="18"/>
    </row>
    <row r="1026" spans="1:19" s="17" customFormat="1" ht="18.95" customHeight="1" outlineLevel="1" x14ac:dyDescent="0.25">
      <c r="A1026" s="146" t="s">
        <v>46</v>
      </c>
      <c r="B1026" s="146" t="s">
        <v>47</v>
      </c>
      <c r="C1026" s="146" t="s">
        <v>448</v>
      </c>
      <c r="D1026" s="156">
        <v>43083</v>
      </c>
      <c r="E1026" s="156" t="s">
        <v>608</v>
      </c>
      <c r="F1026" s="12">
        <v>43466</v>
      </c>
      <c r="G1026" s="12">
        <v>43646</v>
      </c>
      <c r="H1026" s="142" t="s">
        <v>807</v>
      </c>
      <c r="I1026" s="13">
        <v>4353.8599999999997</v>
      </c>
      <c r="J1026" s="95" t="s">
        <v>23</v>
      </c>
      <c r="K1026" s="95" t="s">
        <v>23</v>
      </c>
      <c r="L1026" s="97" t="s">
        <v>23</v>
      </c>
      <c r="M1026" s="97" t="s">
        <v>23</v>
      </c>
      <c r="N1026" s="97" t="s">
        <v>23</v>
      </c>
      <c r="O1026" s="4" t="s">
        <v>23</v>
      </c>
      <c r="P1026" s="144"/>
      <c r="S1026" s="18"/>
    </row>
    <row r="1027" spans="1:19" s="17" customFormat="1" ht="18.95" customHeight="1" outlineLevel="1" x14ac:dyDescent="0.25">
      <c r="A1027" s="148"/>
      <c r="B1027" s="148"/>
      <c r="C1027" s="148"/>
      <c r="D1027" s="156"/>
      <c r="E1027" s="156"/>
      <c r="F1027" s="12">
        <v>43647</v>
      </c>
      <c r="G1027" s="12">
        <v>43830</v>
      </c>
      <c r="H1027" s="143"/>
      <c r="I1027" s="13">
        <v>5260.26</v>
      </c>
      <c r="J1027" s="95" t="s">
        <v>23</v>
      </c>
      <c r="K1027" s="95" t="s">
        <v>23</v>
      </c>
      <c r="L1027" s="97" t="s">
        <v>23</v>
      </c>
      <c r="M1027" s="97" t="s">
        <v>23</v>
      </c>
      <c r="N1027" s="97" t="s">
        <v>23</v>
      </c>
      <c r="O1027" s="4" t="s">
        <v>23</v>
      </c>
      <c r="P1027" s="145"/>
      <c r="S1027" s="18"/>
    </row>
    <row r="1028" spans="1:19" s="17" customFormat="1" ht="18.95" customHeight="1" outlineLevel="1" x14ac:dyDescent="0.25">
      <c r="A1028" s="148"/>
      <c r="B1028" s="148"/>
      <c r="C1028" s="148"/>
      <c r="D1028" s="137">
        <v>43454</v>
      </c>
      <c r="E1028" s="137" t="s">
        <v>808</v>
      </c>
      <c r="F1028" s="12">
        <v>43466</v>
      </c>
      <c r="G1028" s="12">
        <v>43646</v>
      </c>
      <c r="H1028" s="149"/>
      <c r="I1028" s="96" t="s">
        <v>23</v>
      </c>
      <c r="J1028" s="95" t="s">
        <v>23</v>
      </c>
      <c r="K1028" s="95" t="s">
        <v>23</v>
      </c>
      <c r="L1028" s="97" t="s">
        <v>23</v>
      </c>
      <c r="M1028" s="97" t="s">
        <v>23</v>
      </c>
      <c r="N1028" s="97" t="s">
        <v>23</v>
      </c>
      <c r="O1028" s="13">
        <v>4368.8100000000004</v>
      </c>
      <c r="P1028" s="144"/>
      <c r="S1028" s="18"/>
    </row>
    <row r="1029" spans="1:19" s="17" customFormat="1" ht="18.95" customHeight="1" outlineLevel="1" x14ac:dyDescent="0.25">
      <c r="A1029" s="147"/>
      <c r="B1029" s="147"/>
      <c r="C1029" s="147"/>
      <c r="D1029" s="141"/>
      <c r="E1029" s="141"/>
      <c r="F1029" s="12">
        <v>43647</v>
      </c>
      <c r="G1029" s="12">
        <v>43830</v>
      </c>
      <c r="H1029" s="151"/>
      <c r="I1029" s="96" t="s">
        <v>23</v>
      </c>
      <c r="J1029" s="95" t="s">
        <v>23</v>
      </c>
      <c r="K1029" s="95" t="s">
        <v>23</v>
      </c>
      <c r="L1029" s="97" t="s">
        <v>23</v>
      </c>
      <c r="M1029" s="97" t="s">
        <v>23</v>
      </c>
      <c r="N1029" s="97" t="s">
        <v>23</v>
      </c>
      <c r="O1029" s="13">
        <v>4368.8100000000004</v>
      </c>
      <c r="P1029" s="145"/>
      <c r="S1029" s="18"/>
    </row>
    <row r="1030" spans="1:19" s="17" customFormat="1" ht="18.95" customHeight="1" outlineLevel="1" x14ac:dyDescent="0.25">
      <c r="A1030" s="146" t="s">
        <v>46</v>
      </c>
      <c r="B1030" s="146" t="s">
        <v>47</v>
      </c>
      <c r="C1030" s="146" t="s">
        <v>103</v>
      </c>
      <c r="D1030" s="137">
        <v>43427</v>
      </c>
      <c r="E1030" s="137" t="s">
        <v>706</v>
      </c>
      <c r="F1030" s="12">
        <v>43466</v>
      </c>
      <c r="G1030" s="12">
        <v>43646</v>
      </c>
      <c r="H1030" s="146"/>
      <c r="I1030" s="13">
        <v>1618</v>
      </c>
      <c r="J1030" s="95" t="s">
        <v>23</v>
      </c>
      <c r="K1030" s="95" t="s">
        <v>23</v>
      </c>
      <c r="L1030" s="97" t="s">
        <v>23</v>
      </c>
      <c r="M1030" s="97" t="s">
        <v>23</v>
      </c>
      <c r="N1030" s="97" t="s">
        <v>23</v>
      </c>
      <c r="O1030" s="96" t="s">
        <v>23</v>
      </c>
      <c r="P1030" s="144"/>
      <c r="S1030" s="18"/>
    </row>
    <row r="1031" spans="1:19" s="17" customFormat="1" ht="18.95" customHeight="1" outlineLevel="1" x14ac:dyDescent="0.25">
      <c r="A1031" s="147"/>
      <c r="B1031" s="147"/>
      <c r="C1031" s="147"/>
      <c r="D1031" s="141"/>
      <c r="E1031" s="141"/>
      <c r="F1031" s="12">
        <v>43647</v>
      </c>
      <c r="G1031" s="12">
        <v>43830</v>
      </c>
      <c r="H1031" s="147"/>
      <c r="I1031" s="13">
        <v>1650.65</v>
      </c>
      <c r="J1031" s="95" t="s">
        <v>23</v>
      </c>
      <c r="K1031" s="95" t="s">
        <v>23</v>
      </c>
      <c r="L1031" s="97" t="s">
        <v>23</v>
      </c>
      <c r="M1031" s="97" t="s">
        <v>23</v>
      </c>
      <c r="N1031" s="97" t="s">
        <v>23</v>
      </c>
      <c r="O1031" s="4" t="s">
        <v>23</v>
      </c>
      <c r="P1031" s="145"/>
      <c r="S1031" s="18"/>
    </row>
    <row r="1032" spans="1:19" s="17" customFormat="1" ht="18.95" customHeight="1" outlineLevel="1" x14ac:dyDescent="0.25">
      <c r="A1032" s="146" t="s">
        <v>46</v>
      </c>
      <c r="B1032" s="146" t="s">
        <v>47</v>
      </c>
      <c r="C1032" s="146" t="s">
        <v>726</v>
      </c>
      <c r="D1032" s="156">
        <v>43461</v>
      </c>
      <c r="E1032" s="137" t="s">
        <v>727</v>
      </c>
      <c r="F1032" s="12">
        <v>43466</v>
      </c>
      <c r="G1032" s="12">
        <v>43646</v>
      </c>
      <c r="H1032" s="146"/>
      <c r="I1032" s="13">
        <v>2360</v>
      </c>
      <c r="J1032" s="95" t="s">
        <v>23</v>
      </c>
      <c r="K1032" s="95" t="s">
        <v>23</v>
      </c>
      <c r="L1032" s="97" t="s">
        <v>23</v>
      </c>
      <c r="M1032" s="97" t="s">
        <v>23</v>
      </c>
      <c r="N1032" s="97" t="s">
        <v>23</v>
      </c>
      <c r="O1032" s="96" t="s">
        <v>23</v>
      </c>
      <c r="P1032" s="144"/>
      <c r="S1032" s="18"/>
    </row>
    <row r="1033" spans="1:19" s="17" customFormat="1" ht="18.95" customHeight="1" outlineLevel="1" x14ac:dyDescent="0.25">
      <c r="A1033" s="147"/>
      <c r="B1033" s="147"/>
      <c r="C1033" s="147"/>
      <c r="D1033" s="156"/>
      <c r="E1033" s="141"/>
      <c r="F1033" s="12">
        <v>43647</v>
      </c>
      <c r="G1033" s="12">
        <v>43830</v>
      </c>
      <c r="H1033" s="147"/>
      <c r="I1033" s="13">
        <v>2409.46</v>
      </c>
      <c r="J1033" s="95" t="s">
        <v>23</v>
      </c>
      <c r="K1033" s="95" t="s">
        <v>23</v>
      </c>
      <c r="L1033" s="97" t="s">
        <v>23</v>
      </c>
      <c r="M1033" s="97" t="s">
        <v>23</v>
      </c>
      <c r="N1033" s="97" t="s">
        <v>23</v>
      </c>
      <c r="O1033" s="4" t="s">
        <v>23</v>
      </c>
      <c r="P1033" s="145"/>
      <c r="S1033" s="18"/>
    </row>
    <row r="1034" spans="1:19" s="17" customFormat="1" ht="18.95" customHeight="1" outlineLevel="1" x14ac:dyDescent="0.25">
      <c r="A1034" s="146" t="s">
        <v>46</v>
      </c>
      <c r="B1034" s="146" t="s">
        <v>101</v>
      </c>
      <c r="C1034" s="146" t="s">
        <v>104</v>
      </c>
      <c r="D1034" s="156">
        <v>43423</v>
      </c>
      <c r="E1034" s="156" t="s">
        <v>728</v>
      </c>
      <c r="F1034" s="12">
        <v>43466</v>
      </c>
      <c r="G1034" s="12">
        <v>43646</v>
      </c>
      <c r="H1034" s="146"/>
      <c r="I1034" s="13">
        <v>4442.12</v>
      </c>
      <c r="J1034" s="95" t="s">
        <v>23</v>
      </c>
      <c r="K1034" s="95" t="s">
        <v>23</v>
      </c>
      <c r="L1034" s="97" t="s">
        <v>23</v>
      </c>
      <c r="M1034" s="97" t="s">
        <v>23</v>
      </c>
      <c r="N1034" s="97" t="s">
        <v>23</v>
      </c>
      <c r="O1034" s="4" t="s">
        <v>23</v>
      </c>
      <c r="P1034" s="144"/>
      <c r="S1034" s="18"/>
    </row>
    <row r="1035" spans="1:19" s="17" customFormat="1" ht="18.95" customHeight="1" outlineLevel="1" x14ac:dyDescent="0.25">
      <c r="A1035" s="148"/>
      <c r="B1035" s="148"/>
      <c r="C1035" s="148"/>
      <c r="D1035" s="156"/>
      <c r="E1035" s="156"/>
      <c r="F1035" s="12">
        <v>43647</v>
      </c>
      <c r="G1035" s="12">
        <v>43830</v>
      </c>
      <c r="H1035" s="147"/>
      <c r="I1035" s="13">
        <v>4632.68</v>
      </c>
      <c r="J1035" s="95" t="s">
        <v>23</v>
      </c>
      <c r="K1035" s="95" t="s">
        <v>23</v>
      </c>
      <c r="L1035" s="97" t="s">
        <v>23</v>
      </c>
      <c r="M1035" s="97" t="s">
        <v>23</v>
      </c>
      <c r="N1035" s="97" t="s">
        <v>23</v>
      </c>
      <c r="O1035" s="4" t="s">
        <v>23</v>
      </c>
      <c r="P1035" s="145"/>
      <c r="S1035" s="18"/>
    </row>
    <row r="1036" spans="1:19" s="17" customFormat="1" ht="18.95" customHeight="1" outlineLevel="1" x14ac:dyDescent="0.25">
      <c r="A1036" s="148"/>
      <c r="B1036" s="148"/>
      <c r="C1036" s="148"/>
      <c r="D1036" s="137">
        <v>43454</v>
      </c>
      <c r="E1036" s="137" t="s">
        <v>723</v>
      </c>
      <c r="F1036" s="12">
        <v>43466</v>
      </c>
      <c r="G1036" s="12">
        <v>43646</v>
      </c>
      <c r="H1036" s="149"/>
      <c r="I1036" s="96" t="s">
        <v>23</v>
      </c>
      <c r="J1036" s="95" t="s">
        <v>23</v>
      </c>
      <c r="K1036" s="95" t="s">
        <v>23</v>
      </c>
      <c r="L1036" s="97" t="s">
        <v>23</v>
      </c>
      <c r="M1036" s="97" t="s">
        <v>23</v>
      </c>
      <c r="N1036" s="97" t="s">
        <v>23</v>
      </c>
      <c r="O1036" s="13">
        <v>2327.09</v>
      </c>
      <c r="P1036" s="144"/>
      <c r="S1036" s="18"/>
    </row>
    <row r="1037" spans="1:19" s="17" customFormat="1" ht="18.95" customHeight="1" outlineLevel="1" x14ac:dyDescent="0.25">
      <c r="A1037" s="147"/>
      <c r="B1037" s="147"/>
      <c r="C1037" s="148"/>
      <c r="D1037" s="141"/>
      <c r="E1037" s="141"/>
      <c r="F1037" s="12">
        <v>43647</v>
      </c>
      <c r="G1037" s="12">
        <v>43830</v>
      </c>
      <c r="H1037" s="151"/>
      <c r="I1037" s="96" t="s">
        <v>23</v>
      </c>
      <c r="J1037" s="95" t="s">
        <v>23</v>
      </c>
      <c r="K1037" s="95" t="s">
        <v>23</v>
      </c>
      <c r="L1037" s="97" t="s">
        <v>23</v>
      </c>
      <c r="M1037" s="97" t="s">
        <v>23</v>
      </c>
      <c r="N1037" s="97" t="s">
        <v>23</v>
      </c>
      <c r="O1037" s="13">
        <v>2373.63</v>
      </c>
      <c r="P1037" s="145"/>
      <c r="S1037" s="18"/>
    </row>
    <row r="1038" spans="1:19" s="17" customFormat="1" ht="18.95" customHeight="1" outlineLevel="1" x14ac:dyDescent="0.25">
      <c r="A1038" s="146" t="s">
        <v>46</v>
      </c>
      <c r="B1038" s="146" t="s">
        <v>105</v>
      </c>
      <c r="C1038" s="148"/>
      <c r="D1038" s="156">
        <v>43423</v>
      </c>
      <c r="E1038" s="156" t="s">
        <v>728</v>
      </c>
      <c r="F1038" s="12">
        <v>43466</v>
      </c>
      <c r="G1038" s="12">
        <v>43646</v>
      </c>
      <c r="H1038" s="146"/>
      <c r="I1038" s="13">
        <v>4442.12</v>
      </c>
      <c r="J1038" s="95" t="s">
        <v>23</v>
      </c>
      <c r="K1038" s="95" t="s">
        <v>23</v>
      </c>
      <c r="L1038" s="97" t="s">
        <v>23</v>
      </c>
      <c r="M1038" s="97" t="s">
        <v>23</v>
      </c>
      <c r="N1038" s="97" t="s">
        <v>23</v>
      </c>
      <c r="O1038" s="4" t="s">
        <v>23</v>
      </c>
      <c r="P1038" s="144"/>
      <c r="S1038" s="18"/>
    </row>
    <row r="1039" spans="1:19" s="17" customFormat="1" ht="18.95" customHeight="1" outlineLevel="1" x14ac:dyDescent="0.25">
      <c r="A1039" s="148"/>
      <c r="B1039" s="148"/>
      <c r="C1039" s="148"/>
      <c r="D1039" s="156"/>
      <c r="E1039" s="156"/>
      <c r="F1039" s="12">
        <v>43647</v>
      </c>
      <c r="G1039" s="12">
        <v>43830</v>
      </c>
      <c r="H1039" s="147"/>
      <c r="I1039" s="13">
        <v>4632.68</v>
      </c>
      <c r="J1039" s="95" t="s">
        <v>23</v>
      </c>
      <c r="K1039" s="95" t="s">
        <v>23</v>
      </c>
      <c r="L1039" s="97" t="s">
        <v>23</v>
      </c>
      <c r="M1039" s="97" t="s">
        <v>23</v>
      </c>
      <c r="N1039" s="97" t="s">
        <v>23</v>
      </c>
      <c r="O1039" s="4" t="s">
        <v>23</v>
      </c>
      <c r="P1039" s="145"/>
      <c r="S1039" s="18"/>
    </row>
    <row r="1040" spans="1:19" s="17" customFormat="1" ht="18.95" customHeight="1" outlineLevel="1" x14ac:dyDescent="0.25">
      <c r="A1040" s="148"/>
      <c r="B1040" s="148"/>
      <c r="C1040" s="148"/>
      <c r="D1040" s="137">
        <v>43454</v>
      </c>
      <c r="E1040" s="137" t="s">
        <v>723</v>
      </c>
      <c r="F1040" s="12">
        <v>43466</v>
      </c>
      <c r="G1040" s="12">
        <v>43646</v>
      </c>
      <c r="H1040" s="149"/>
      <c r="I1040" s="96" t="s">
        <v>23</v>
      </c>
      <c r="J1040" s="95" t="s">
        <v>23</v>
      </c>
      <c r="K1040" s="95" t="s">
        <v>23</v>
      </c>
      <c r="L1040" s="97" t="s">
        <v>23</v>
      </c>
      <c r="M1040" s="97" t="s">
        <v>23</v>
      </c>
      <c r="N1040" s="97" t="s">
        <v>23</v>
      </c>
      <c r="O1040" s="13">
        <v>1861.2101694915254</v>
      </c>
      <c r="P1040" s="144"/>
      <c r="S1040" s="18"/>
    </row>
    <row r="1041" spans="1:19" s="17" customFormat="1" ht="18.95" customHeight="1" outlineLevel="1" x14ac:dyDescent="0.25">
      <c r="A1041" s="147"/>
      <c r="B1041" s="147"/>
      <c r="C1041" s="148"/>
      <c r="D1041" s="141"/>
      <c r="E1041" s="141"/>
      <c r="F1041" s="12">
        <v>43647</v>
      </c>
      <c r="G1041" s="12">
        <v>43830</v>
      </c>
      <c r="H1041" s="151"/>
      <c r="I1041" s="96" t="s">
        <v>23</v>
      </c>
      <c r="J1041" s="95" t="s">
        <v>23</v>
      </c>
      <c r="K1041" s="95" t="s">
        <v>23</v>
      </c>
      <c r="L1041" s="97" t="s">
        <v>23</v>
      </c>
      <c r="M1041" s="97" t="s">
        <v>23</v>
      </c>
      <c r="N1041" s="97" t="s">
        <v>23</v>
      </c>
      <c r="O1041" s="13">
        <v>1898.43</v>
      </c>
      <c r="P1041" s="145"/>
      <c r="S1041" s="18"/>
    </row>
    <row r="1042" spans="1:19" s="17" customFormat="1" ht="18.95" customHeight="1" outlineLevel="1" x14ac:dyDescent="0.25">
      <c r="A1042" s="146" t="s">
        <v>46</v>
      </c>
      <c r="B1042" s="146" t="s">
        <v>106</v>
      </c>
      <c r="C1042" s="148"/>
      <c r="D1042" s="156">
        <v>43423</v>
      </c>
      <c r="E1042" s="156" t="s">
        <v>728</v>
      </c>
      <c r="F1042" s="12">
        <v>43466</v>
      </c>
      <c r="G1042" s="12">
        <v>43646</v>
      </c>
      <c r="H1042" s="146"/>
      <c r="I1042" s="13">
        <v>4442.12</v>
      </c>
      <c r="J1042" s="95" t="s">
        <v>23</v>
      </c>
      <c r="K1042" s="95" t="s">
        <v>23</v>
      </c>
      <c r="L1042" s="97" t="s">
        <v>23</v>
      </c>
      <c r="M1042" s="97" t="s">
        <v>23</v>
      </c>
      <c r="N1042" s="97" t="s">
        <v>23</v>
      </c>
      <c r="O1042" s="4" t="s">
        <v>23</v>
      </c>
      <c r="P1042" s="144"/>
      <c r="S1042" s="18"/>
    </row>
    <row r="1043" spans="1:19" s="17" customFormat="1" ht="18.95" customHeight="1" outlineLevel="1" x14ac:dyDescent="0.25">
      <c r="A1043" s="148"/>
      <c r="B1043" s="148"/>
      <c r="C1043" s="148"/>
      <c r="D1043" s="156"/>
      <c r="E1043" s="156"/>
      <c r="F1043" s="12">
        <v>43647</v>
      </c>
      <c r="G1043" s="12">
        <v>43830</v>
      </c>
      <c r="H1043" s="147"/>
      <c r="I1043" s="13">
        <v>4632.68</v>
      </c>
      <c r="J1043" s="95" t="s">
        <v>23</v>
      </c>
      <c r="K1043" s="95" t="s">
        <v>23</v>
      </c>
      <c r="L1043" s="97" t="s">
        <v>23</v>
      </c>
      <c r="M1043" s="97" t="s">
        <v>23</v>
      </c>
      <c r="N1043" s="97" t="s">
        <v>23</v>
      </c>
      <c r="O1043" s="4" t="s">
        <v>23</v>
      </c>
      <c r="P1043" s="145"/>
      <c r="S1043" s="18"/>
    </row>
    <row r="1044" spans="1:19" s="17" customFormat="1" ht="18.95" customHeight="1" outlineLevel="1" x14ac:dyDescent="0.25">
      <c r="A1044" s="148"/>
      <c r="B1044" s="148"/>
      <c r="C1044" s="148"/>
      <c r="D1044" s="137">
        <v>43454</v>
      </c>
      <c r="E1044" s="137" t="s">
        <v>723</v>
      </c>
      <c r="F1044" s="12">
        <v>43466</v>
      </c>
      <c r="G1044" s="12">
        <v>43646</v>
      </c>
      <c r="H1044" s="149"/>
      <c r="I1044" s="96" t="s">
        <v>23</v>
      </c>
      <c r="J1044" s="95" t="s">
        <v>23</v>
      </c>
      <c r="K1044" s="95" t="s">
        <v>23</v>
      </c>
      <c r="L1044" s="97" t="s">
        <v>23</v>
      </c>
      <c r="M1044" s="97" t="s">
        <v>23</v>
      </c>
      <c r="N1044" s="97" t="s">
        <v>23</v>
      </c>
      <c r="O1044" s="13">
        <v>2611.2101694915259</v>
      </c>
      <c r="P1044" s="144"/>
      <c r="S1044" s="18"/>
    </row>
    <row r="1045" spans="1:19" s="17" customFormat="1" ht="18.95" customHeight="1" outlineLevel="1" x14ac:dyDescent="0.25">
      <c r="A1045" s="147"/>
      <c r="B1045" s="147"/>
      <c r="C1045" s="148"/>
      <c r="D1045" s="141"/>
      <c r="E1045" s="141"/>
      <c r="F1045" s="12">
        <v>43647</v>
      </c>
      <c r="G1045" s="12">
        <v>43830</v>
      </c>
      <c r="H1045" s="151"/>
      <c r="I1045" s="96" t="s">
        <v>23</v>
      </c>
      <c r="J1045" s="95" t="s">
        <v>23</v>
      </c>
      <c r="K1045" s="95" t="s">
        <v>23</v>
      </c>
      <c r="L1045" s="97" t="s">
        <v>23</v>
      </c>
      <c r="M1045" s="97" t="s">
        <v>23</v>
      </c>
      <c r="N1045" s="97" t="s">
        <v>23</v>
      </c>
      <c r="O1045" s="13">
        <v>2611.21</v>
      </c>
      <c r="P1045" s="145"/>
      <c r="S1045" s="18"/>
    </row>
    <row r="1046" spans="1:19" s="17" customFormat="1" ht="18.95" customHeight="1" outlineLevel="1" x14ac:dyDescent="0.25">
      <c r="A1046" s="146" t="s">
        <v>46</v>
      </c>
      <c r="B1046" s="146" t="s">
        <v>99</v>
      </c>
      <c r="C1046" s="148"/>
      <c r="D1046" s="156">
        <v>43423</v>
      </c>
      <c r="E1046" s="156" t="s">
        <v>728</v>
      </c>
      <c r="F1046" s="12">
        <v>43466</v>
      </c>
      <c r="G1046" s="12">
        <v>43646</v>
      </c>
      <c r="H1046" s="146"/>
      <c r="I1046" s="13">
        <v>4442.12</v>
      </c>
      <c r="J1046" s="95" t="s">
        <v>23</v>
      </c>
      <c r="K1046" s="95" t="s">
        <v>23</v>
      </c>
      <c r="L1046" s="97" t="s">
        <v>23</v>
      </c>
      <c r="M1046" s="97" t="s">
        <v>23</v>
      </c>
      <c r="N1046" s="97" t="s">
        <v>23</v>
      </c>
      <c r="O1046" s="4" t="s">
        <v>23</v>
      </c>
      <c r="P1046" s="144"/>
      <c r="S1046" s="18"/>
    </row>
    <row r="1047" spans="1:19" s="17" customFormat="1" ht="18.95" customHeight="1" outlineLevel="1" x14ac:dyDescent="0.25">
      <c r="A1047" s="148"/>
      <c r="B1047" s="148"/>
      <c r="C1047" s="148"/>
      <c r="D1047" s="156"/>
      <c r="E1047" s="156"/>
      <c r="F1047" s="12">
        <v>43647</v>
      </c>
      <c r="G1047" s="12">
        <v>43830</v>
      </c>
      <c r="H1047" s="147"/>
      <c r="I1047" s="13">
        <v>4632.68</v>
      </c>
      <c r="J1047" s="95" t="s">
        <v>23</v>
      </c>
      <c r="K1047" s="95" t="s">
        <v>23</v>
      </c>
      <c r="L1047" s="97" t="s">
        <v>23</v>
      </c>
      <c r="M1047" s="97" t="s">
        <v>23</v>
      </c>
      <c r="N1047" s="97" t="s">
        <v>23</v>
      </c>
      <c r="O1047" s="4" t="s">
        <v>23</v>
      </c>
      <c r="P1047" s="145"/>
      <c r="S1047" s="18"/>
    </row>
    <row r="1048" spans="1:19" s="17" customFormat="1" ht="18.95" customHeight="1" outlineLevel="1" x14ac:dyDescent="0.25">
      <c r="A1048" s="148"/>
      <c r="B1048" s="148"/>
      <c r="C1048" s="148"/>
      <c r="D1048" s="137">
        <v>43454</v>
      </c>
      <c r="E1048" s="137" t="s">
        <v>723</v>
      </c>
      <c r="F1048" s="12">
        <v>43466</v>
      </c>
      <c r="G1048" s="12">
        <v>43646</v>
      </c>
      <c r="H1048" s="149"/>
      <c r="I1048" s="96" t="s">
        <v>23</v>
      </c>
      <c r="J1048" s="95" t="s">
        <v>23</v>
      </c>
      <c r="K1048" s="95" t="s">
        <v>23</v>
      </c>
      <c r="L1048" s="97" t="s">
        <v>23</v>
      </c>
      <c r="M1048" s="97" t="s">
        <v>23</v>
      </c>
      <c r="N1048" s="97" t="s">
        <v>23</v>
      </c>
      <c r="O1048" s="13">
        <v>2483.25</v>
      </c>
      <c r="P1048" s="144"/>
      <c r="S1048" s="18"/>
    </row>
    <row r="1049" spans="1:19" s="17" customFormat="1" ht="18.95" customHeight="1" outlineLevel="1" x14ac:dyDescent="0.25">
      <c r="A1049" s="147"/>
      <c r="B1049" s="147"/>
      <c r="C1049" s="148"/>
      <c r="D1049" s="141"/>
      <c r="E1049" s="141"/>
      <c r="F1049" s="12">
        <v>43647</v>
      </c>
      <c r="G1049" s="12">
        <v>43830</v>
      </c>
      <c r="H1049" s="151"/>
      <c r="I1049" s="96" t="s">
        <v>23</v>
      </c>
      <c r="J1049" s="95" t="s">
        <v>23</v>
      </c>
      <c r="K1049" s="95" t="s">
        <v>23</v>
      </c>
      <c r="L1049" s="97" t="s">
        <v>23</v>
      </c>
      <c r="M1049" s="97" t="s">
        <v>23</v>
      </c>
      <c r="N1049" s="97" t="s">
        <v>23</v>
      </c>
      <c r="O1049" s="13">
        <v>2532.92</v>
      </c>
      <c r="P1049" s="145"/>
      <c r="S1049" s="18"/>
    </row>
    <row r="1050" spans="1:19" s="17" customFormat="1" ht="18.95" customHeight="1" outlineLevel="1" x14ac:dyDescent="0.25">
      <c r="A1050" s="146" t="s">
        <v>46</v>
      </c>
      <c r="B1050" s="146" t="s">
        <v>100</v>
      </c>
      <c r="C1050" s="148"/>
      <c r="D1050" s="156">
        <v>43423</v>
      </c>
      <c r="E1050" s="156" t="s">
        <v>728</v>
      </c>
      <c r="F1050" s="12">
        <v>43466</v>
      </c>
      <c r="G1050" s="12">
        <v>43646</v>
      </c>
      <c r="H1050" s="146"/>
      <c r="I1050" s="13">
        <v>4442.12</v>
      </c>
      <c r="J1050" s="95" t="s">
        <v>23</v>
      </c>
      <c r="K1050" s="95" t="s">
        <v>23</v>
      </c>
      <c r="L1050" s="97" t="s">
        <v>23</v>
      </c>
      <c r="M1050" s="97" t="s">
        <v>23</v>
      </c>
      <c r="N1050" s="97" t="s">
        <v>23</v>
      </c>
      <c r="O1050" s="4" t="s">
        <v>23</v>
      </c>
      <c r="P1050" s="144"/>
      <c r="S1050" s="18"/>
    </row>
    <row r="1051" spans="1:19" s="17" customFormat="1" ht="18.95" customHeight="1" outlineLevel="1" x14ac:dyDescent="0.25">
      <c r="A1051" s="148"/>
      <c r="B1051" s="148"/>
      <c r="C1051" s="148"/>
      <c r="D1051" s="156"/>
      <c r="E1051" s="156"/>
      <c r="F1051" s="12">
        <v>43647</v>
      </c>
      <c r="G1051" s="12">
        <v>43830</v>
      </c>
      <c r="H1051" s="147"/>
      <c r="I1051" s="13">
        <v>4632.68</v>
      </c>
      <c r="J1051" s="95" t="s">
        <v>23</v>
      </c>
      <c r="K1051" s="95" t="s">
        <v>23</v>
      </c>
      <c r="L1051" s="97" t="s">
        <v>23</v>
      </c>
      <c r="M1051" s="97" t="s">
        <v>23</v>
      </c>
      <c r="N1051" s="97" t="s">
        <v>23</v>
      </c>
      <c r="O1051" s="4" t="s">
        <v>23</v>
      </c>
      <c r="P1051" s="145"/>
      <c r="S1051" s="18"/>
    </row>
    <row r="1052" spans="1:19" s="17" customFormat="1" ht="18.95" customHeight="1" outlineLevel="1" x14ac:dyDescent="0.25">
      <c r="A1052" s="148"/>
      <c r="B1052" s="148"/>
      <c r="C1052" s="148"/>
      <c r="D1052" s="137">
        <v>43454</v>
      </c>
      <c r="E1052" s="137" t="s">
        <v>723</v>
      </c>
      <c r="F1052" s="12">
        <v>43466</v>
      </c>
      <c r="G1052" s="12">
        <v>43646</v>
      </c>
      <c r="H1052" s="149"/>
      <c r="I1052" s="96" t="s">
        <v>23</v>
      </c>
      <c r="J1052" s="95" t="s">
        <v>23</v>
      </c>
      <c r="K1052" s="95" t="s">
        <v>23</v>
      </c>
      <c r="L1052" s="97" t="s">
        <v>23</v>
      </c>
      <c r="M1052" s="97" t="s">
        <v>23</v>
      </c>
      <c r="N1052" s="97" t="s">
        <v>23</v>
      </c>
      <c r="O1052" s="13">
        <v>2313.7800000000002</v>
      </c>
      <c r="P1052" s="144"/>
      <c r="S1052" s="18"/>
    </row>
    <row r="1053" spans="1:19" s="17" customFormat="1" ht="18.95" customHeight="1" outlineLevel="1" x14ac:dyDescent="0.25">
      <c r="A1053" s="147"/>
      <c r="B1053" s="147"/>
      <c r="C1053" s="148"/>
      <c r="D1053" s="141"/>
      <c r="E1053" s="141"/>
      <c r="F1053" s="12">
        <v>43647</v>
      </c>
      <c r="G1053" s="12">
        <v>43830</v>
      </c>
      <c r="H1053" s="151"/>
      <c r="I1053" s="96" t="s">
        <v>23</v>
      </c>
      <c r="J1053" s="95" t="s">
        <v>23</v>
      </c>
      <c r="K1053" s="95" t="s">
        <v>23</v>
      </c>
      <c r="L1053" s="97" t="s">
        <v>23</v>
      </c>
      <c r="M1053" s="97" t="s">
        <v>23</v>
      </c>
      <c r="N1053" s="97" t="s">
        <v>23</v>
      </c>
      <c r="O1053" s="13">
        <v>2360.0500000000002</v>
      </c>
      <c r="P1053" s="145"/>
      <c r="S1053" s="18"/>
    </row>
    <row r="1054" spans="1:19" s="17" customFormat="1" ht="18.95" customHeight="1" outlineLevel="1" x14ac:dyDescent="0.25">
      <c r="A1054" s="146" t="s">
        <v>46</v>
      </c>
      <c r="B1054" s="146" t="s">
        <v>107</v>
      </c>
      <c r="C1054" s="148"/>
      <c r="D1054" s="156">
        <v>43423</v>
      </c>
      <c r="E1054" s="156" t="s">
        <v>728</v>
      </c>
      <c r="F1054" s="12">
        <v>43466</v>
      </c>
      <c r="G1054" s="12">
        <v>43646</v>
      </c>
      <c r="H1054" s="146"/>
      <c r="I1054" s="13">
        <v>4442.12</v>
      </c>
      <c r="J1054" s="95" t="s">
        <v>23</v>
      </c>
      <c r="K1054" s="95" t="s">
        <v>23</v>
      </c>
      <c r="L1054" s="97" t="s">
        <v>23</v>
      </c>
      <c r="M1054" s="97" t="s">
        <v>23</v>
      </c>
      <c r="N1054" s="97" t="s">
        <v>23</v>
      </c>
      <c r="O1054" s="4" t="s">
        <v>23</v>
      </c>
      <c r="P1054" s="144"/>
      <c r="S1054" s="18"/>
    </row>
    <row r="1055" spans="1:19" s="17" customFormat="1" ht="18.95" customHeight="1" outlineLevel="1" x14ac:dyDescent="0.25">
      <c r="A1055" s="148"/>
      <c r="B1055" s="148"/>
      <c r="C1055" s="148"/>
      <c r="D1055" s="156"/>
      <c r="E1055" s="156"/>
      <c r="F1055" s="12">
        <v>43647</v>
      </c>
      <c r="G1055" s="12">
        <v>43830</v>
      </c>
      <c r="H1055" s="147"/>
      <c r="I1055" s="13">
        <v>4632.68</v>
      </c>
      <c r="J1055" s="95" t="s">
        <v>23</v>
      </c>
      <c r="K1055" s="95" t="s">
        <v>23</v>
      </c>
      <c r="L1055" s="97" t="s">
        <v>23</v>
      </c>
      <c r="M1055" s="97" t="s">
        <v>23</v>
      </c>
      <c r="N1055" s="97" t="s">
        <v>23</v>
      </c>
      <c r="O1055" s="4" t="s">
        <v>23</v>
      </c>
      <c r="P1055" s="145"/>
      <c r="S1055" s="18"/>
    </row>
    <row r="1056" spans="1:19" s="17" customFormat="1" ht="18.95" customHeight="1" outlineLevel="1" x14ac:dyDescent="0.25">
      <c r="A1056" s="148"/>
      <c r="B1056" s="148"/>
      <c r="C1056" s="148"/>
      <c r="D1056" s="137">
        <v>43454</v>
      </c>
      <c r="E1056" s="137" t="s">
        <v>723</v>
      </c>
      <c r="F1056" s="12">
        <v>43466</v>
      </c>
      <c r="G1056" s="12">
        <v>43646</v>
      </c>
      <c r="H1056" s="149"/>
      <c r="I1056" s="96" t="s">
        <v>23</v>
      </c>
      <c r="J1056" s="95" t="s">
        <v>23</v>
      </c>
      <c r="K1056" s="95" t="s">
        <v>23</v>
      </c>
      <c r="L1056" s="97" t="s">
        <v>23</v>
      </c>
      <c r="M1056" s="97" t="s">
        <v>23</v>
      </c>
      <c r="N1056" s="97" t="s">
        <v>23</v>
      </c>
      <c r="O1056" s="13">
        <v>2139.7199999999998</v>
      </c>
      <c r="P1056" s="144"/>
      <c r="S1056" s="18"/>
    </row>
    <row r="1057" spans="1:19" s="17" customFormat="1" ht="18.95" customHeight="1" outlineLevel="1" x14ac:dyDescent="0.25">
      <c r="A1057" s="147"/>
      <c r="B1057" s="147"/>
      <c r="C1057" s="148"/>
      <c r="D1057" s="141"/>
      <c r="E1057" s="141"/>
      <c r="F1057" s="12">
        <v>43647</v>
      </c>
      <c r="G1057" s="12">
        <v>43830</v>
      </c>
      <c r="H1057" s="151"/>
      <c r="I1057" s="96" t="s">
        <v>23</v>
      </c>
      <c r="J1057" s="95" t="s">
        <v>23</v>
      </c>
      <c r="K1057" s="95" t="s">
        <v>23</v>
      </c>
      <c r="L1057" s="97" t="s">
        <v>23</v>
      </c>
      <c r="M1057" s="97" t="s">
        <v>23</v>
      </c>
      <c r="N1057" s="97" t="s">
        <v>23</v>
      </c>
      <c r="O1057" s="13">
        <v>2182.5100000000002</v>
      </c>
      <c r="P1057" s="145"/>
      <c r="S1057" s="18"/>
    </row>
    <row r="1058" spans="1:19" s="17" customFormat="1" ht="18.95" customHeight="1" outlineLevel="1" x14ac:dyDescent="0.25">
      <c r="A1058" s="146" t="s">
        <v>46</v>
      </c>
      <c r="B1058" s="146" t="s">
        <v>108</v>
      </c>
      <c r="C1058" s="148"/>
      <c r="D1058" s="156">
        <v>43423</v>
      </c>
      <c r="E1058" s="156" t="s">
        <v>728</v>
      </c>
      <c r="F1058" s="12">
        <v>43466</v>
      </c>
      <c r="G1058" s="12">
        <v>43646</v>
      </c>
      <c r="H1058" s="146"/>
      <c r="I1058" s="13">
        <v>4442.12</v>
      </c>
      <c r="J1058" s="95" t="s">
        <v>23</v>
      </c>
      <c r="K1058" s="95" t="s">
        <v>23</v>
      </c>
      <c r="L1058" s="97" t="s">
        <v>23</v>
      </c>
      <c r="M1058" s="97" t="s">
        <v>23</v>
      </c>
      <c r="N1058" s="97" t="s">
        <v>23</v>
      </c>
      <c r="O1058" s="4" t="s">
        <v>23</v>
      </c>
      <c r="P1058" s="144"/>
      <c r="S1058" s="18"/>
    </row>
    <row r="1059" spans="1:19" s="17" customFormat="1" ht="18.95" customHeight="1" outlineLevel="1" x14ac:dyDescent="0.25">
      <c r="A1059" s="148"/>
      <c r="B1059" s="148"/>
      <c r="C1059" s="148"/>
      <c r="D1059" s="156"/>
      <c r="E1059" s="156"/>
      <c r="F1059" s="12">
        <v>43647</v>
      </c>
      <c r="G1059" s="12">
        <v>43830</v>
      </c>
      <c r="H1059" s="147"/>
      <c r="I1059" s="13">
        <v>4632.68</v>
      </c>
      <c r="J1059" s="95" t="s">
        <v>23</v>
      </c>
      <c r="K1059" s="95" t="s">
        <v>23</v>
      </c>
      <c r="L1059" s="97" t="s">
        <v>23</v>
      </c>
      <c r="M1059" s="97" t="s">
        <v>23</v>
      </c>
      <c r="N1059" s="97" t="s">
        <v>23</v>
      </c>
      <c r="O1059" s="4" t="s">
        <v>23</v>
      </c>
      <c r="P1059" s="145"/>
      <c r="S1059" s="18"/>
    </row>
    <row r="1060" spans="1:19" s="17" customFormat="1" ht="18.95" customHeight="1" outlineLevel="1" x14ac:dyDescent="0.25">
      <c r="A1060" s="148"/>
      <c r="B1060" s="148"/>
      <c r="C1060" s="148"/>
      <c r="D1060" s="137">
        <v>43454</v>
      </c>
      <c r="E1060" s="137" t="s">
        <v>723</v>
      </c>
      <c r="F1060" s="12">
        <v>43466</v>
      </c>
      <c r="G1060" s="12">
        <v>43646</v>
      </c>
      <c r="H1060" s="149"/>
      <c r="I1060" s="96" t="s">
        <v>23</v>
      </c>
      <c r="J1060" s="95" t="s">
        <v>23</v>
      </c>
      <c r="K1060" s="95" t="s">
        <v>23</v>
      </c>
      <c r="L1060" s="97" t="s">
        <v>23</v>
      </c>
      <c r="M1060" s="97" t="s">
        <v>23</v>
      </c>
      <c r="N1060" s="97" t="s">
        <v>23</v>
      </c>
      <c r="O1060" s="13">
        <v>2272.2399999999998</v>
      </c>
      <c r="P1060" s="144"/>
      <c r="S1060" s="18"/>
    </row>
    <row r="1061" spans="1:19" s="17" customFormat="1" ht="18.95" customHeight="1" outlineLevel="1" x14ac:dyDescent="0.25">
      <c r="A1061" s="147"/>
      <c r="B1061" s="147"/>
      <c r="C1061" s="148"/>
      <c r="D1061" s="141"/>
      <c r="E1061" s="141"/>
      <c r="F1061" s="12">
        <v>43647</v>
      </c>
      <c r="G1061" s="12">
        <v>43830</v>
      </c>
      <c r="H1061" s="151"/>
      <c r="I1061" s="96" t="s">
        <v>23</v>
      </c>
      <c r="J1061" s="95" t="s">
        <v>23</v>
      </c>
      <c r="K1061" s="95" t="s">
        <v>23</v>
      </c>
      <c r="L1061" s="97" t="s">
        <v>23</v>
      </c>
      <c r="M1061" s="97" t="s">
        <v>23</v>
      </c>
      <c r="N1061" s="97" t="s">
        <v>23</v>
      </c>
      <c r="O1061" s="13">
        <v>2317.6799999999998</v>
      </c>
      <c r="P1061" s="145"/>
      <c r="S1061" s="18"/>
    </row>
    <row r="1062" spans="1:19" s="17" customFormat="1" ht="18.95" customHeight="1" outlineLevel="1" x14ac:dyDescent="0.25">
      <c r="A1062" s="146" t="s">
        <v>46</v>
      </c>
      <c r="B1062" s="146" t="s">
        <v>95</v>
      </c>
      <c r="C1062" s="148"/>
      <c r="D1062" s="156">
        <v>43423</v>
      </c>
      <c r="E1062" s="156" t="s">
        <v>728</v>
      </c>
      <c r="F1062" s="12">
        <v>43466</v>
      </c>
      <c r="G1062" s="12">
        <v>43646</v>
      </c>
      <c r="H1062" s="146"/>
      <c r="I1062" s="13">
        <v>4442.12</v>
      </c>
      <c r="J1062" s="95" t="s">
        <v>23</v>
      </c>
      <c r="K1062" s="95" t="s">
        <v>23</v>
      </c>
      <c r="L1062" s="97" t="s">
        <v>23</v>
      </c>
      <c r="M1062" s="97" t="s">
        <v>23</v>
      </c>
      <c r="N1062" s="97" t="s">
        <v>23</v>
      </c>
      <c r="O1062" s="4" t="s">
        <v>23</v>
      </c>
      <c r="P1062" s="144"/>
      <c r="S1062" s="18"/>
    </row>
    <row r="1063" spans="1:19" s="17" customFormat="1" ht="18.95" customHeight="1" outlineLevel="1" x14ac:dyDescent="0.25">
      <c r="A1063" s="148"/>
      <c r="B1063" s="148"/>
      <c r="C1063" s="148"/>
      <c r="D1063" s="156"/>
      <c r="E1063" s="156"/>
      <c r="F1063" s="12">
        <v>43647</v>
      </c>
      <c r="G1063" s="12">
        <v>43830</v>
      </c>
      <c r="H1063" s="147"/>
      <c r="I1063" s="13">
        <v>4632.68</v>
      </c>
      <c r="J1063" s="95" t="s">
        <v>23</v>
      </c>
      <c r="K1063" s="95" t="s">
        <v>23</v>
      </c>
      <c r="L1063" s="97" t="s">
        <v>23</v>
      </c>
      <c r="M1063" s="97" t="s">
        <v>23</v>
      </c>
      <c r="N1063" s="97" t="s">
        <v>23</v>
      </c>
      <c r="O1063" s="4" t="s">
        <v>23</v>
      </c>
      <c r="P1063" s="145"/>
      <c r="S1063" s="18"/>
    </row>
    <row r="1064" spans="1:19" s="17" customFormat="1" ht="18.95" customHeight="1" outlineLevel="1" x14ac:dyDescent="0.25">
      <c r="A1064" s="148"/>
      <c r="B1064" s="148"/>
      <c r="C1064" s="148"/>
      <c r="D1064" s="137">
        <v>43454</v>
      </c>
      <c r="E1064" s="137" t="s">
        <v>723</v>
      </c>
      <c r="F1064" s="12">
        <v>43466</v>
      </c>
      <c r="G1064" s="12">
        <v>43646</v>
      </c>
      <c r="H1064" s="149"/>
      <c r="I1064" s="96" t="s">
        <v>23</v>
      </c>
      <c r="J1064" s="95" t="s">
        <v>23</v>
      </c>
      <c r="K1064" s="95" t="s">
        <v>23</v>
      </c>
      <c r="L1064" s="97" t="s">
        <v>23</v>
      </c>
      <c r="M1064" s="97" t="s">
        <v>23</v>
      </c>
      <c r="N1064" s="97" t="s">
        <v>23</v>
      </c>
      <c r="O1064" s="13">
        <v>2212.48</v>
      </c>
      <c r="P1064" s="144"/>
      <c r="S1064" s="18"/>
    </row>
    <row r="1065" spans="1:19" s="17" customFormat="1" ht="18.95" customHeight="1" outlineLevel="1" x14ac:dyDescent="0.25">
      <c r="A1065" s="147"/>
      <c r="B1065" s="147"/>
      <c r="C1065" s="148"/>
      <c r="D1065" s="141"/>
      <c r="E1065" s="141"/>
      <c r="F1065" s="12">
        <v>43647</v>
      </c>
      <c r="G1065" s="12">
        <v>43830</v>
      </c>
      <c r="H1065" s="151"/>
      <c r="I1065" s="96" t="s">
        <v>23</v>
      </c>
      <c r="J1065" s="95" t="s">
        <v>23</v>
      </c>
      <c r="K1065" s="95" t="s">
        <v>23</v>
      </c>
      <c r="L1065" s="97" t="s">
        <v>23</v>
      </c>
      <c r="M1065" s="97" t="s">
        <v>23</v>
      </c>
      <c r="N1065" s="97" t="s">
        <v>23</v>
      </c>
      <c r="O1065" s="13">
        <v>2256.73</v>
      </c>
      <c r="P1065" s="145"/>
      <c r="S1065" s="18"/>
    </row>
    <row r="1066" spans="1:19" s="17" customFormat="1" ht="18.95" customHeight="1" outlineLevel="1" x14ac:dyDescent="0.25">
      <c r="A1066" s="146" t="s">
        <v>46</v>
      </c>
      <c r="B1066" s="146" t="s">
        <v>109</v>
      </c>
      <c r="C1066" s="148"/>
      <c r="D1066" s="156">
        <v>43423</v>
      </c>
      <c r="E1066" s="156" t="s">
        <v>728</v>
      </c>
      <c r="F1066" s="12">
        <v>43466</v>
      </c>
      <c r="G1066" s="12">
        <v>43646</v>
      </c>
      <c r="H1066" s="146"/>
      <c r="I1066" s="13">
        <v>4442.12</v>
      </c>
      <c r="J1066" s="95" t="s">
        <v>23</v>
      </c>
      <c r="K1066" s="95" t="s">
        <v>23</v>
      </c>
      <c r="L1066" s="97" t="s">
        <v>23</v>
      </c>
      <c r="M1066" s="97" t="s">
        <v>23</v>
      </c>
      <c r="N1066" s="97" t="s">
        <v>23</v>
      </c>
      <c r="O1066" s="4" t="s">
        <v>23</v>
      </c>
      <c r="P1066" s="144"/>
      <c r="S1066" s="18"/>
    </row>
    <row r="1067" spans="1:19" s="17" customFormat="1" ht="18.95" customHeight="1" outlineLevel="1" x14ac:dyDescent="0.25">
      <c r="A1067" s="148"/>
      <c r="B1067" s="148"/>
      <c r="C1067" s="148"/>
      <c r="D1067" s="156"/>
      <c r="E1067" s="156"/>
      <c r="F1067" s="12">
        <v>43647</v>
      </c>
      <c r="G1067" s="12">
        <v>43830</v>
      </c>
      <c r="H1067" s="147"/>
      <c r="I1067" s="13">
        <v>4632.68</v>
      </c>
      <c r="J1067" s="95" t="s">
        <v>23</v>
      </c>
      <c r="K1067" s="95" t="s">
        <v>23</v>
      </c>
      <c r="L1067" s="97" t="s">
        <v>23</v>
      </c>
      <c r="M1067" s="97" t="s">
        <v>23</v>
      </c>
      <c r="N1067" s="97" t="s">
        <v>23</v>
      </c>
      <c r="O1067" s="4" t="s">
        <v>23</v>
      </c>
      <c r="P1067" s="145"/>
      <c r="S1067" s="18"/>
    </row>
    <row r="1068" spans="1:19" s="17" customFormat="1" ht="18.95" customHeight="1" outlineLevel="1" x14ac:dyDescent="0.25">
      <c r="A1068" s="148"/>
      <c r="B1068" s="148"/>
      <c r="C1068" s="148"/>
      <c r="D1068" s="137">
        <v>43454</v>
      </c>
      <c r="E1068" s="137" t="s">
        <v>723</v>
      </c>
      <c r="F1068" s="12">
        <v>43466</v>
      </c>
      <c r="G1068" s="12">
        <v>43646</v>
      </c>
      <c r="H1068" s="149"/>
      <c r="I1068" s="96" t="s">
        <v>23</v>
      </c>
      <c r="J1068" s="95" t="s">
        <v>23</v>
      </c>
      <c r="K1068" s="95" t="s">
        <v>23</v>
      </c>
      <c r="L1068" s="97" t="s">
        <v>23</v>
      </c>
      <c r="M1068" s="97" t="s">
        <v>23</v>
      </c>
      <c r="N1068" s="97" t="s">
        <v>23</v>
      </c>
      <c r="O1068" s="13">
        <v>2319.5</v>
      </c>
      <c r="P1068" s="144"/>
      <c r="S1068" s="18"/>
    </row>
    <row r="1069" spans="1:19" s="17" customFormat="1" ht="18.95" customHeight="1" outlineLevel="1" x14ac:dyDescent="0.25">
      <c r="A1069" s="147"/>
      <c r="B1069" s="147"/>
      <c r="C1069" s="148"/>
      <c r="D1069" s="141"/>
      <c r="E1069" s="141"/>
      <c r="F1069" s="12">
        <v>43647</v>
      </c>
      <c r="G1069" s="12">
        <v>43830</v>
      </c>
      <c r="H1069" s="151"/>
      <c r="I1069" s="96" t="s">
        <v>23</v>
      </c>
      <c r="J1069" s="95" t="s">
        <v>23</v>
      </c>
      <c r="K1069" s="95" t="s">
        <v>23</v>
      </c>
      <c r="L1069" s="97" t="s">
        <v>23</v>
      </c>
      <c r="M1069" s="97" t="s">
        <v>23</v>
      </c>
      <c r="N1069" s="97" t="s">
        <v>23</v>
      </c>
      <c r="O1069" s="13">
        <v>2365.89</v>
      </c>
      <c r="P1069" s="145"/>
      <c r="S1069" s="18"/>
    </row>
    <row r="1070" spans="1:19" s="17" customFormat="1" ht="18.95" customHeight="1" outlineLevel="1" x14ac:dyDescent="0.25">
      <c r="A1070" s="146" t="s">
        <v>46</v>
      </c>
      <c r="B1070" s="146" t="s">
        <v>110</v>
      </c>
      <c r="C1070" s="148"/>
      <c r="D1070" s="156">
        <v>43423</v>
      </c>
      <c r="E1070" s="156" t="s">
        <v>728</v>
      </c>
      <c r="F1070" s="12">
        <v>43466</v>
      </c>
      <c r="G1070" s="12">
        <v>43646</v>
      </c>
      <c r="H1070" s="146"/>
      <c r="I1070" s="13">
        <v>4442.12</v>
      </c>
      <c r="J1070" s="95" t="s">
        <v>23</v>
      </c>
      <c r="K1070" s="95" t="s">
        <v>23</v>
      </c>
      <c r="L1070" s="97" t="s">
        <v>23</v>
      </c>
      <c r="M1070" s="97" t="s">
        <v>23</v>
      </c>
      <c r="N1070" s="97" t="s">
        <v>23</v>
      </c>
      <c r="O1070" s="4" t="s">
        <v>23</v>
      </c>
      <c r="P1070" s="144"/>
      <c r="S1070" s="18"/>
    </row>
    <row r="1071" spans="1:19" s="17" customFormat="1" ht="18.95" customHeight="1" outlineLevel="1" x14ac:dyDescent="0.25">
      <c r="A1071" s="148"/>
      <c r="B1071" s="148"/>
      <c r="C1071" s="148"/>
      <c r="D1071" s="156"/>
      <c r="E1071" s="156"/>
      <c r="F1071" s="12">
        <v>43647</v>
      </c>
      <c r="G1071" s="12">
        <v>43830</v>
      </c>
      <c r="H1071" s="147"/>
      <c r="I1071" s="13">
        <v>4632.68</v>
      </c>
      <c r="J1071" s="95" t="s">
        <v>23</v>
      </c>
      <c r="K1071" s="95" t="s">
        <v>23</v>
      </c>
      <c r="L1071" s="97" t="s">
        <v>23</v>
      </c>
      <c r="M1071" s="97" t="s">
        <v>23</v>
      </c>
      <c r="N1071" s="97" t="s">
        <v>23</v>
      </c>
      <c r="O1071" s="4" t="s">
        <v>23</v>
      </c>
      <c r="P1071" s="145"/>
      <c r="S1071" s="18"/>
    </row>
    <row r="1072" spans="1:19" s="17" customFormat="1" ht="18.95" customHeight="1" outlineLevel="1" x14ac:dyDescent="0.25">
      <c r="A1072" s="148"/>
      <c r="B1072" s="148"/>
      <c r="C1072" s="148"/>
      <c r="D1072" s="137">
        <v>43454</v>
      </c>
      <c r="E1072" s="137" t="s">
        <v>723</v>
      </c>
      <c r="F1072" s="12">
        <v>43466</v>
      </c>
      <c r="G1072" s="12">
        <v>43646</v>
      </c>
      <c r="H1072" s="149"/>
      <c r="I1072" s="96" t="s">
        <v>23</v>
      </c>
      <c r="J1072" s="95" t="s">
        <v>23</v>
      </c>
      <c r="K1072" s="95" t="s">
        <v>23</v>
      </c>
      <c r="L1072" s="97" t="s">
        <v>23</v>
      </c>
      <c r="M1072" s="97" t="s">
        <v>23</v>
      </c>
      <c r="N1072" s="97" t="s">
        <v>23</v>
      </c>
      <c r="O1072" s="13">
        <v>2243.4406779661017</v>
      </c>
      <c r="P1072" s="144"/>
      <c r="S1072" s="18"/>
    </row>
    <row r="1073" spans="1:19" s="17" customFormat="1" ht="18.95" customHeight="1" outlineLevel="1" x14ac:dyDescent="0.25">
      <c r="A1073" s="147"/>
      <c r="B1073" s="147"/>
      <c r="C1073" s="148"/>
      <c r="D1073" s="141"/>
      <c r="E1073" s="141"/>
      <c r="F1073" s="12">
        <v>43647</v>
      </c>
      <c r="G1073" s="12">
        <v>43830</v>
      </c>
      <c r="H1073" s="151"/>
      <c r="I1073" s="96" t="s">
        <v>23</v>
      </c>
      <c r="J1073" s="95" t="s">
        <v>23</v>
      </c>
      <c r="K1073" s="95" t="s">
        <v>23</v>
      </c>
      <c r="L1073" s="97" t="s">
        <v>23</v>
      </c>
      <c r="M1073" s="97" t="s">
        <v>23</v>
      </c>
      <c r="N1073" s="97" t="s">
        <v>23</v>
      </c>
      <c r="O1073" s="13">
        <v>2288.31</v>
      </c>
      <c r="P1073" s="145"/>
      <c r="S1073" s="18"/>
    </row>
    <row r="1074" spans="1:19" s="17" customFormat="1" ht="18.95" customHeight="1" outlineLevel="1" x14ac:dyDescent="0.25">
      <c r="A1074" s="146" t="s">
        <v>46</v>
      </c>
      <c r="B1074" s="146" t="s">
        <v>47</v>
      </c>
      <c r="C1074" s="148"/>
      <c r="D1074" s="156">
        <v>43423</v>
      </c>
      <c r="E1074" s="156" t="s">
        <v>728</v>
      </c>
      <c r="F1074" s="12">
        <v>43466</v>
      </c>
      <c r="G1074" s="12">
        <v>43646</v>
      </c>
      <c r="H1074" s="146"/>
      <c r="I1074" s="13">
        <v>4442.12</v>
      </c>
      <c r="J1074" s="95" t="s">
        <v>23</v>
      </c>
      <c r="K1074" s="95" t="s">
        <v>23</v>
      </c>
      <c r="L1074" s="97" t="s">
        <v>23</v>
      </c>
      <c r="M1074" s="97" t="s">
        <v>23</v>
      </c>
      <c r="N1074" s="97" t="s">
        <v>23</v>
      </c>
      <c r="O1074" s="4" t="s">
        <v>23</v>
      </c>
      <c r="P1074" s="144"/>
      <c r="S1074" s="18"/>
    </row>
    <row r="1075" spans="1:19" s="17" customFormat="1" ht="18.95" customHeight="1" outlineLevel="1" x14ac:dyDescent="0.25">
      <c r="A1075" s="148"/>
      <c r="B1075" s="148"/>
      <c r="C1075" s="148"/>
      <c r="D1075" s="156"/>
      <c r="E1075" s="156"/>
      <c r="F1075" s="12">
        <v>43647</v>
      </c>
      <c r="G1075" s="12">
        <v>43830</v>
      </c>
      <c r="H1075" s="147"/>
      <c r="I1075" s="13">
        <v>4632.68</v>
      </c>
      <c r="J1075" s="95" t="s">
        <v>23</v>
      </c>
      <c r="K1075" s="95" t="s">
        <v>23</v>
      </c>
      <c r="L1075" s="97" t="s">
        <v>23</v>
      </c>
      <c r="M1075" s="97" t="s">
        <v>23</v>
      </c>
      <c r="N1075" s="97" t="s">
        <v>23</v>
      </c>
      <c r="O1075" s="4" t="s">
        <v>23</v>
      </c>
      <c r="P1075" s="145"/>
      <c r="S1075" s="18"/>
    </row>
    <row r="1076" spans="1:19" s="17" customFormat="1" ht="18.95" customHeight="1" outlineLevel="1" x14ac:dyDescent="0.25">
      <c r="A1076" s="148"/>
      <c r="B1076" s="148"/>
      <c r="C1076" s="148"/>
      <c r="D1076" s="137">
        <v>43454</v>
      </c>
      <c r="E1076" s="137" t="s">
        <v>723</v>
      </c>
      <c r="F1076" s="12">
        <v>43466</v>
      </c>
      <c r="G1076" s="12">
        <v>43646</v>
      </c>
      <c r="H1076" s="149"/>
      <c r="I1076" s="96" t="s">
        <v>23</v>
      </c>
      <c r="J1076" s="95" t="s">
        <v>23</v>
      </c>
      <c r="K1076" s="95" t="s">
        <v>23</v>
      </c>
      <c r="L1076" s="97" t="s">
        <v>23</v>
      </c>
      <c r="M1076" s="97" t="s">
        <v>23</v>
      </c>
      <c r="N1076" s="97" t="s">
        <v>23</v>
      </c>
      <c r="O1076" s="13">
        <v>2290.1898305084746</v>
      </c>
      <c r="P1076" s="144"/>
      <c r="S1076" s="18"/>
    </row>
    <row r="1077" spans="1:19" s="17" customFormat="1" ht="18.95" customHeight="1" outlineLevel="1" x14ac:dyDescent="0.25">
      <c r="A1077" s="147"/>
      <c r="B1077" s="147"/>
      <c r="C1077" s="147"/>
      <c r="D1077" s="141"/>
      <c r="E1077" s="141"/>
      <c r="F1077" s="12">
        <v>43647</v>
      </c>
      <c r="G1077" s="12">
        <v>43830</v>
      </c>
      <c r="H1077" s="151"/>
      <c r="I1077" s="96" t="s">
        <v>23</v>
      </c>
      <c r="J1077" s="95" t="s">
        <v>23</v>
      </c>
      <c r="K1077" s="95" t="s">
        <v>23</v>
      </c>
      <c r="L1077" s="97" t="s">
        <v>23</v>
      </c>
      <c r="M1077" s="97" t="s">
        <v>23</v>
      </c>
      <c r="N1077" s="97" t="s">
        <v>23</v>
      </c>
      <c r="O1077" s="13">
        <v>2335.9899999999998</v>
      </c>
      <c r="P1077" s="145"/>
      <c r="S1077" s="18"/>
    </row>
    <row r="1078" spans="1:19" s="17" customFormat="1" ht="18.95" customHeight="1" outlineLevel="1" x14ac:dyDescent="0.25">
      <c r="A1078" s="146" t="s">
        <v>46</v>
      </c>
      <c r="B1078" s="146" t="s">
        <v>47</v>
      </c>
      <c r="C1078" s="146" t="s">
        <v>33</v>
      </c>
      <c r="D1078" s="156">
        <v>43448</v>
      </c>
      <c r="E1078" s="156" t="s">
        <v>729</v>
      </c>
      <c r="F1078" s="12">
        <v>43466</v>
      </c>
      <c r="G1078" s="12">
        <v>43646</v>
      </c>
      <c r="H1078" s="146" t="s">
        <v>831</v>
      </c>
      <c r="I1078" s="13">
        <v>2746.64</v>
      </c>
      <c r="J1078" s="95" t="s">
        <v>23</v>
      </c>
      <c r="K1078" s="95" t="s">
        <v>23</v>
      </c>
      <c r="L1078" s="97" t="s">
        <v>23</v>
      </c>
      <c r="M1078" s="97" t="s">
        <v>23</v>
      </c>
      <c r="N1078" s="97" t="s">
        <v>23</v>
      </c>
      <c r="O1078" s="4" t="s">
        <v>23</v>
      </c>
      <c r="P1078" s="144" t="s">
        <v>29</v>
      </c>
      <c r="S1078" s="18"/>
    </row>
    <row r="1079" spans="1:19" s="17" customFormat="1" ht="18.95" customHeight="1" outlineLevel="1" x14ac:dyDescent="0.25">
      <c r="A1079" s="148"/>
      <c r="B1079" s="148"/>
      <c r="C1079" s="148"/>
      <c r="D1079" s="156"/>
      <c r="E1079" s="156"/>
      <c r="F1079" s="12">
        <v>43521</v>
      </c>
      <c r="G1079" s="12">
        <v>43830</v>
      </c>
      <c r="H1079" s="147"/>
      <c r="I1079" s="13">
        <v>2961.58</v>
      </c>
      <c r="J1079" s="95" t="s">
        <v>23</v>
      </c>
      <c r="K1079" s="95" t="s">
        <v>23</v>
      </c>
      <c r="L1079" s="97" t="s">
        <v>23</v>
      </c>
      <c r="M1079" s="97" t="s">
        <v>23</v>
      </c>
      <c r="N1079" s="97" t="s">
        <v>23</v>
      </c>
      <c r="O1079" s="4" t="s">
        <v>23</v>
      </c>
      <c r="P1079" s="145"/>
      <c r="S1079" s="18"/>
    </row>
    <row r="1080" spans="1:19" s="17" customFormat="1" ht="18.95" customHeight="1" outlineLevel="1" x14ac:dyDescent="0.25">
      <c r="A1080" s="148"/>
      <c r="B1080" s="148"/>
      <c r="C1080" s="148"/>
      <c r="D1080" s="137">
        <v>43454</v>
      </c>
      <c r="E1080" s="137" t="s">
        <v>723</v>
      </c>
      <c r="F1080" s="12">
        <v>43466</v>
      </c>
      <c r="G1080" s="12">
        <v>43646</v>
      </c>
      <c r="H1080" s="149"/>
      <c r="I1080" s="96" t="s">
        <v>23</v>
      </c>
      <c r="J1080" s="95" t="s">
        <v>23</v>
      </c>
      <c r="K1080" s="95" t="s">
        <v>23</v>
      </c>
      <c r="L1080" s="97" t="s">
        <v>23</v>
      </c>
      <c r="M1080" s="97" t="s">
        <v>23</v>
      </c>
      <c r="N1080" s="97" t="s">
        <v>23</v>
      </c>
      <c r="O1080" s="13">
        <v>2290.1898305084746</v>
      </c>
      <c r="P1080" s="144"/>
      <c r="S1080" s="18"/>
    </row>
    <row r="1081" spans="1:19" s="17" customFormat="1" ht="18.95" customHeight="1" outlineLevel="1" x14ac:dyDescent="0.25">
      <c r="A1081" s="147"/>
      <c r="B1081" s="147"/>
      <c r="C1081" s="147"/>
      <c r="D1081" s="141"/>
      <c r="E1081" s="141"/>
      <c r="F1081" s="12">
        <v>43647</v>
      </c>
      <c r="G1081" s="12">
        <v>43830</v>
      </c>
      <c r="H1081" s="151"/>
      <c r="I1081" s="96" t="s">
        <v>23</v>
      </c>
      <c r="J1081" s="95" t="s">
        <v>23</v>
      </c>
      <c r="K1081" s="95" t="s">
        <v>23</v>
      </c>
      <c r="L1081" s="97" t="s">
        <v>23</v>
      </c>
      <c r="M1081" s="97" t="s">
        <v>23</v>
      </c>
      <c r="N1081" s="97" t="s">
        <v>23</v>
      </c>
      <c r="O1081" s="13">
        <v>2335.9899999999998</v>
      </c>
      <c r="P1081" s="145"/>
      <c r="S1081" s="18"/>
    </row>
    <row r="1082" spans="1:19" s="17" customFormat="1" ht="18.95" customHeight="1" outlineLevel="1" x14ac:dyDescent="0.25">
      <c r="A1082" s="146" t="s">
        <v>46</v>
      </c>
      <c r="B1082" s="146" t="s">
        <v>101</v>
      </c>
      <c r="C1082" s="146" t="s">
        <v>111</v>
      </c>
      <c r="D1082" s="137">
        <v>42723</v>
      </c>
      <c r="E1082" s="137" t="s">
        <v>637</v>
      </c>
      <c r="F1082" s="12">
        <v>43466</v>
      </c>
      <c r="G1082" s="12">
        <v>43646</v>
      </c>
      <c r="H1082" s="142" t="s">
        <v>636</v>
      </c>
      <c r="I1082" s="13">
        <v>1871.72</v>
      </c>
      <c r="J1082" s="95" t="s">
        <v>23</v>
      </c>
      <c r="K1082" s="95" t="s">
        <v>23</v>
      </c>
      <c r="L1082" s="97" t="s">
        <v>23</v>
      </c>
      <c r="M1082" s="97" t="s">
        <v>23</v>
      </c>
      <c r="N1082" s="97" t="s">
        <v>23</v>
      </c>
      <c r="O1082" s="4" t="s">
        <v>23</v>
      </c>
      <c r="P1082" s="144"/>
      <c r="S1082" s="18"/>
    </row>
    <row r="1083" spans="1:19" s="17" customFormat="1" ht="18.95" customHeight="1" outlineLevel="1" x14ac:dyDescent="0.25">
      <c r="A1083" s="148"/>
      <c r="B1083" s="148"/>
      <c r="C1083" s="148"/>
      <c r="D1083" s="141"/>
      <c r="E1083" s="141"/>
      <c r="F1083" s="12">
        <v>43647</v>
      </c>
      <c r="G1083" s="12">
        <v>43830</v>
      </c>
      <c r="H1083" s="143"/>
      <c r="I1083" s="13">
        <v>1933.59</v>
      </c>
      <c r="J1083" s="95" t="s">
        <v>23</v>
      </c>
      <c r="K1083" s="95" t="s">
        <v>23</v>
      </c>
      <c r="L1083" s="97" t="s">
        <v>23</v>
      </c>
      <c r="M1083" s="97" t="s">
        <v>23</v>
      </c>
      <c r="N1083" s="97" t="s">
        <v>23</v>
      </c>
      <c r="O1083" s="4" t="s">
        <v>23</v>
      </c>
      <c r="P1083" s="145"/>
      <c r="S1083" s="18"/>
    </row>
    <row r="1084" spans="1:19" s="17" customFormat="1" ht="18.95" customHeight="1" outlineLevel="1" x14ac:dyDescent="0.25">
      <c r="A1084" s="148"/>
      <c r="B1084" s="148"/>
      <c r="C1084" s="148"/>
      <c r="D1084" s="137">
        <v>43454</v>
      </c>
      <c r="E1084" s="137" t="s">
        <v>638</v>
      </c>
      <c r="F1084" s="12">
        <v>43466</v>
      </c>
      <c r="G1084" s="12">
        <v>43646</v>
      </c>
      <c r="H1084" s="149"/>
      <c r="I1084" s="96" t="s">
        <v>23</v>
      </c>
      <c r="J1084" s="95" t="s">
        <v>23</v>
      </c>
      <c r="K1084" s="95" t="s">
        <v>23</v>
      </c>
      <c r="L1084" s="97" t="s">
        <v>23</v>
      </c>
      <c r="M1084" s="97" t="s">
        <v>23</v>
      </c>
      <c r="N1084" s="97" t="s">
        <v>23</v>
      </c>
      <c r="O1084" s="13">
        <v>2246.06</v>
      </c>
      <c r="P1084" s="144"/>
      <c r="S1084" s="18"/>
    </row>
    <row r="1085" spans="1:19" s="17" customFormat="1" ht="18.95" customHeight="1" outlineLevel="1" x14ac:dyDescent="0.25">
      <c r="A1085" s="147"/>
      <c r="B1085" s="147"/>
      <c r="C1085" s="148"/>
      <c r="D1085" s="141"/>
      <c r="E1085" s="141"/>
      <c r="F1085" s="12">
        <v>43647</v>
      </c>
      <c r="G1085" s="12">
        <v>43830</v>
      </c>
      <c r="H1085" s="151"/>
      <c r="I1085" s="96" t="s">
        <v>23</v>
      </c>
      <c r="J1085" s="95" t="s">
        <v>23</v>
      </c>
      <c r="K1085" s="95" t="s">
        <v>23</v>
      </c>
      <c r="L1085" s="97" t="s">
        <v>23</v>
      </c>
      <c r="M1085" s="97" t="s">
        <v>23</v>
      </c>
      <c r="N1085" s="97" t="s">
        <v>23</v>
      </c>
      <c r="O1085" s="13">
        <v>2290.9899999999998</v>
      </c>
      <c r="P1085" s="145"/>
      <c r="S1085" s="18"/>
    </row>
    <row r="1086" spans="1:19" s="17" customFormat="1" ht="18.95" customHeight="1" outlineLevel="1" x14ac:dyDescent="0.25">
      <c r="A1086" s="146" t="s">
        <v>46</v>
      </c>
      <c r="B1086" s="146" t="s">
        <v>99</v>
      </c>
      <c r="C1086" s="146" t="s">
        <v>111</v>
      </c>
      <c r="D1086" s="137">
        <v>42723</v>
      </c>
      <c r="E1086" s="137" t="s">
        <v>637</v>
      </c>
      <c r="F1086" s="12">
        <v>43466</v>
      </c>
      <c r="G1086" s="12">
        <v>43646</v>
      </c>
      <c r="H1086" s="142" t="s">
        <v>636</v>
      </c>
      <c r="I1086" s="13">
        <v>1871.72</v>
      </c>
      <c r="J1086" s="95" t="s">
        <v>23</v>
      </c>
      <c r="K1086" s="95" t="s">
        <v>23</v>
      </c>
      <c r="L1086" s="97" t="s">
        <v>23</v>
      </c>
      <c r="M1086" s="97" t="s">
        <v>23</v>
      </c>
      <c r="N1086" s="97" t="s">
        <v>23</v>
      </c>
      <c r="O1086" s="4" t="s">
        <v>23</v>
      </c>
      <c r="P1086" s="144"/>
      <c r="S1086" s="18"/>
    </row>
    <row r="1087" spans="1:19" s="17" customFormat="1" ht="18.95" customHeight="1" outlineLevel="1" x14ac:dyDescent="0.25">
      <c r="A1087" s="148"/>
      <c r="B1087" s="148"/>
      <c r="C1087" s="148"/>
      <c r="D1087" s="141"/>
      <c r="E1087" s="141"/>
      <c r="F1087" s="12">
        <v>43647</v>
      </c>
      <c r="G1087" s="12">
        <v>43830</v>
      </c>
      <c r="H1087" s="143"/>
      <c r="I1087" s="13">
        <v>1933.59</v>
      </c>
      <c r="J1087" s="95" t="s">
        <v>23</v>
      </c>
      <c r="K1087" s="95" t="s">
        <v>23</v>
      </c>
      <c r="L1087" s="97" t="s">
        <v>23</v>
      </c>
      <c r="M1087" s="97" t="s">
        <v>23</v>
      </c>
      <c r="N1087" s="97" t="s">
        <v>23</v>
      </c>
      <c r="O1087" s="4" t="s">
        <v>23</v>
      </c>
      <c r="P1087" s="145"/>
      <c r="S1087" s="18"/>
    </row>
    <row r="1088" spans="1:19" s="17" customFormat="1" ht="18.95" customHeight="1" outlineLevel="1" x14ac:dyDescent="0.25">
      <c r="A1088" s="148"/>
      <c r="B1088" s="148"/>
      <c r="C1088" s="148"/>
      <c r="D1088" s="137">
        <v>43454</v>
      </c>
      <c r="E1088" s="137" t="s">
        <v>638</v>
      </c>
      <c r="F1088" s="12">
        <v>43466</v>
      </c>
      <c r="G1088" s="12">
        <v>43646</v>
      </c>
      <c r="H1088" s="149"/>
      <c r="I1088" s="96" t="s">
        <v>23</v>
      </c>
      <c r="J1088" s="95" t="s">
        <v>23</v>
      </c>
      <c r="K1088" s="95" t="s">
        <v>23</v>
      </c>
      <c r="L1088" s="97" t="s">
        <v>23</v>
      </c>
      <c r="M1088" s="97" t="s">
        <v>23</v>
      </c>
      <c r="N1088" s="97" t="s">
        <v>23</v>
      </c>
      <c r="O1088" s="13">
        <v>2246.06</v>
      </c>
      <c r="P1088" s="144"/>
      <c r="S1088" s="18"/>
    </row>
    <row r="1089" spans="1:19" s="17" customFormat="1" ht="18.95" customHeight="1" outlineLevel="1" x14ac:dyDescent="0.25">
      <c r="A1089" s="147"/>
      <c r="B1089" s="147"/>
      <c r="C1089" s="148"/>
      <c r="D1089" s="141"/>
      <c r="E1089" s="141"/>
      <c r="F1089" s="12">
        <v>43647</v>
      </c>
      <c r="G1089" s="12">
        <v>43830</v>
      </c>
      <c r="H1089" s="151"/>
      <c r="I1089" s="96" t="s">
        <v>23</v>
      </c>
      <c r="J1089" s="95" t="s">
        <v>23</v>
      </c>
      <c r="K1089" s="95" t="s">
        <v>23</v>
      </c>
      <c r="L1089" s="97" t="s">
        <v>23</v>
      </c>
      <c r="M1089" s="97" t="s">
        <v>23</v>
      </c>
      <c r="N1089" s="97" t="s">
        <v>23</v>
      </c>
      <c r="O1089" s="13">
        <v>2290.9899999999998</v>
      </c>
      <c r="P1089" s="145"/>
      <c r="S1089" s="18"/>
    </row>
    <row r="1090" spans="1:19" s="17" customFormat="1" ht="18.95" customHeight="1" outlineLevel="1" x14ac:dyDescent="0.25">
      <c r="A1090" s="146" t="s">
        <v>46</v>
      </c>
      <c r="B1090" s="146" t="s">
        <v>107</v>
      </c>
      <c r="C1090" s="157" t="s">
        <v>111</v>
      </c>
      <c r="D1090" s="137">
        <v>42723</v>
      </c>
      <c r="E1090" s="137" t="s">
        <v>637</v>
      </c>
      <c r="F1090" s="12">
        <v>43466</v>
      </c>
      <c r="G1090" s="12">
        <v>43646</v>
      </c>
      <c r="H1090" s="142" t="s">
        <v>636</v>
      </c>
      <c r="I1090" s="13">
        <v>1871.72</v>
      </c>
      <c r="J1090" s="95" t="s">
        <v>23</v>
      </c>
      <c r="K1090" s="95" t="s">
        <v>23</v>
      </c>
      <c r="L1090" s="97" t="s">
        <v>23</v>
      </c>
      <c r="M1090" s="97" t="s">
        <v>23</v>
      </c>
      <c r="N1090" s="97" t="s">
        <v>23</v>
      </c>
      <c r="O1090" s="4" t="s">
        <v>23</v>
      </c>
      <c r="P1090" s="144"/>
      <c r="S1090" s="18"/>
    </row>
    <row r="1091" spans="1:19" s="17" customFormat="1" ht="18.95" customHeight="1" outlineLevel="1" x14ac:dyDescent="0.25">
      <c r="A1091" s="148"/>
      <c r="B1091" s="148"/>
      <c r="C1091" s="157"/>
      <c r="D1091" s="141"/>
      <c r="E1091" s="141"/>
      <c r="F1091" s="12">
        <v>43647</v>
      </c>
      <c r="G1091" s="12">
        <v>43830</v>
      </c>
      <c r="H1091" s="143"/>
      <c r="I1091" s="13">
        <v>1933.59</v>
      </c>
      <c r="J1091" s="95" t="s">
        <v>23</v>
      </c>
      <c r="K1091" s="95" t="s">
        <v>23</v>
      </c>
      <c r="L1091" s="97" t="s">
        <v>23</v>
      </c>
      <c r="M1091" s="97" t="s">
        <v>23</v>
      </c>
      <c r="N1091" s="97" t="s">
        <v>23</v>
      </c>
      <c r="O1091" s="4" t="s">
        <v>23</v>
      </c>
      <c r="P1091" s="145"/>
      <c r="S1091" s="18"/>
    </row>
    <row r="1092" spans="1:19" s="17" customFormat="1" ht="18.95" customHeight="1" outlineLevel="1" x14ac:dyDescent="0.25">
      <c r="A1092" s="148"/>
      <c r="B1092" s="148"/>
      <c r="C1092" s="157"/>
      <c r="D1092" s="137">
        <v>43454</v>
      </c>
      <c r="E1092" s="137" t="s">
        <v>638</v>
      </c>
      <c r="F1092" s="12">
        <v>43466</v>
      </c>
      <c r="G1092" s="12">
        <v>43646</v>
      </c>
      <c r="H1092" s="149"/>
      <c r="I1092" s="96" t="s">
        <v>23</v>
      </c>
      <c r="J1092" s="95" t="s">
        <v>23</v>
      </c>
      <c r="K1092" s="95" t="s">
        <v>23</v>
      </c>
      <c r="L1092" s="97" t="s">
        <v>23</v>
      </c>
      <c r="M1092" s="97" t="s">
        <v>23</v>
      </c>
      <c r="N1092" s="97" t="s">
        <v>23</v>
      </c>
      <c r="O1092" s="13">
        <v>2061.4699999999998</v>
      </c>
      <c r="P1092" s="144"/>
      <c r="S1092" s="18"/>
    </row>
    <row r="1093" spans="1:19" s="17" customFormat="1" ht="18.95" customHeight="1" outlineLevel="1" x14ac:dyDescent="0.25">
      <c r="A1093" s="147"/>
      <c r="B1093" s="147"/>
      <c r="C1093" s="157"/>
      <c r="D1093" s="141"/>
      <c r="E1093" s="141"/>
      <c r="F1093" s="12">
        <v>43647</v>
      </c>
      <c r="G1093" s="12">
        <v>43830</v>
      </c>
      <c r="H1093" s="151"/>
      <c r="I1093" s="96" t="s">
        <v>23</v>
      </c>
      <c r="J1093" s="95" t="s">
        <v>23</v>
      </c>
      <c r="K1093" s="95" t="s">
        <v>23</v>
      </c>
      <c r="L1093" s="97" t="s">
        <v>23</v>
      </c>
      <c r="M1093" s="97" t="s">
        <v>23</v>
      </c>
      <c r="N1093" s="97" t="s">
        <v>23</v>
      </c>
      <c r="O1093" s="13">
        <v>2102.6999999999998</v>
      </c>
      <c r="P1093" s="145"/>
      <c r="S1093" s="18"/>
    </row>
    <row r="1094" spans="1:19" s="17" customFormat="1" ht="18.95" customHeight="1" outlineLevel="1" x14ac:dyDescent="0.25">
      <c r="A1094" s="146" t="s">
        <v>46</v>
      </c>
      <c r="B1094" s="146" t="s">
        <v>112</v>
      </c>
      <c r="C1094" s="157" t="s">
        <v>111</v>
      </c>
      <c r="D1094" s="137">
        <v>42723</v>
      </c>
      <c r="E1094" s="137" t="s">
        <v>637</v>
      </c>
      <c r="F1094" s="12">
        <v>43466</v>
      </c>
      <c r="G1094" s="12">
        <v>43646</v>
      </c>
      <c r="H1094" s="142" t="s">
        <v>636</v>
      </c>
      <c r="I1094" s="13">
        <v>1871.72</v>
      </c>
      <c r="J1094" s="95" t="s">
        <v>23</v>
      </c>
      <c r="K1094" s="95" t="s">
        <v>23</v>
      </c>
      <c r="L1094" s="97" t="s">
        <v>23</v>
      </c>
      <c r="M1094" s="97" t="s">
        <v>23</v>
      </c>
      <c r="N1094" s="97" t="s">
        <v>23</v>
      </c>
      <c r="O1094" s="4" t="s">
        <v>23</v>
      </c>
      <c r="P1094" s="144"/>
      <c r="S1094" s="18"/>
    </row>
    <row r="1095" spans="1:19" s="17" customFormat="1" ht="18.95" customHeight="1" outlineLevel="1" x14ac:dyDescent="0.25">
      <c r="A1095" s="148"/>
      <c r="B1095" s="148"/>
      <c r="C1095" s="157"/>
      <c r="D1095" s="141"/>
      <c r="E1095" s="141"/>
      <c r="F1095" s="12">
        <v>43647</v>
      </c>
      <c r="G1095" s="12">
        <v>43830</v>
      </c>
      <c r="H1095" s="143"/>
      <c r="I1095" s="13">
        <v>1933.59</v>
      </c>
      <c r="J1095" s="95" t="s">
        <v>23</v>
      </c>
      <c r="K1095" s="95" t="s">
        <v>23</v>
      </c>
      <c r="L1095" s="97" t="s">
        <v>23</v>
      </c>
      <c r="M1095" s="97" t="s">
        <v>23</v>
      </c>
      <c r="N1095" s="97" t="s">
        <v>23</v>
      </c>
      <c r="O1095" s="4" t="s">
        <v>23</v>
      </c>
      <c r="P1095" s="145"/>
      <c r="S1095" s="18"/>
    </row>
    <row r="1096" spans="1:19" s="17" customFormat="1" ht="18.95" customHeight="1" outlineLevel="1" x14ac:dyDescent="0.25">
      <c r="A1096" s="148"/>
      <c r="B1096" s="148"/>
      <c r="C1096" s="157"/>
      <c r="D1096" s="137">
        <v>43454</v>
      </c>
      <c r="E1096" s="137" t="s">
        <v>638</v>
      </c>
      <c r="F1096" s="12">
        <v>43466</v>
      </c>
      <c r="G1096" s="12">
        <v>43646</v>
      </c>
      <c r="H1096" s="149"/>
      <c r="I1096" s="96" t="s">
        <v>23</v>
      </c>
      <c r="J1096" s="95" t="s">
        <v>23</v>
      </c>
      <c r="K1096" s="95" t="s">
        <v>23</v>
      </c>
      <c r="L1096" s="97" t="s">
        <v>23</v>
      </c>
      <c r="M1096" s="97" t="s">
        <v>23</v>
      </c>
      <c r="N1096" s="97" t="s">
        <v>23</v>
      </c>
      <c r="O1096" s="13">
        <v>2246.06</v>
      </c>
      <c r="P1096" s="144" t="s">
        <v>444</v>
      </c>
      <c r="S1096" s="18"/>
    </row>
    <row r="1097" spans="1:19" s="17" customFormat="1" ht="18.95" customHeight="1" outlineLevel="1" x14ac:dyDescent="0.25">
      <c r="A1097" s="148"/>
      <c r="B1097" s="148"/>
      <c r="C1097" s="157"/>
      <c r="D1097" s="141"/>
      <c r="E1097" s="141"/>
      <c r="F1097" s="12">
        <v>43647</v>
      </c>
      <c r="G1097" s="12">
        <v>43830</v>
      </c>
      <c r="H1097" s="151"/>
      <c r="I1097" s="96" t="s">
        <v>23</v>
      </c>
      <c r="J1097" s="95" t="s">
        <v>23</v>
      </c>
      <c r="K1097" s="95" t="s">
        <v>23</v>
      </c>
      <c r="L1097" s="97" t="s">
        <v>23</v>
      </c>
      <c r="M1097" s="97" t="s">
        <v>23</v>
      </c>
      <c r="N1097" s="97" t="s">
        <v>23</v>
      </c>
      <c r="O1097" s="13">
        <v>2290.9899999999998</v>
      </c>
      <c r="P1097" s="145"/>
      <c r="S1097" s="18"/>
    </row>
    <row r="1098" spans="1:19" s="17" customFormat="1" ht="18.95" customHeight="1" outlineLevel="1" x14ac:dyDescent="0.25">
      <c r="A1098" s="148"/>
      <c r="B1098" s="148"/>
      <c r="C1098" s="157"/>
      <c r="D1098" s="137">
        <v>43454</v>
      </c>
      <c r="E1098" s="137" t="s">
        <v>638</v>
      </c>
      <c r="F1098" s="12">
        <v>43466</v>
      </c>
      <c r="G1098" s="12">
        <v>43646</v>
      </c>
      <c r="H1098" s="149"/>
      <c r="I1098" s="96" t="s">
        <v>23</v>
      </c>
      <c r="J1098" s="95" t="s">
        <v>23</v>
      </c>
      <c r="K1098" s="95" t="s">
        <v>23</v>
      </c>
      <c r="L1098" s="97" t="s">
        <v>23</v>
      </c>
      <c r="M1098" s="97" t="s">
        <v>23</v>
      </c>
      <c r="N1098" s="97" t="s">
        <v>23</v>
      </c>
      <c r="O1098" s="13">
        <v>1632.06</v>
      </c>
      <c r="P1098" s="144" t="s">
        <v>446</v>
      </c>
      <c r="S1098" s="18"/>
    </row>
    <row r="1099" spans="1:19" s="17" customFormat="1" ht="18.95" customHeight="1" outlineLevel="1" x14ac:dyDescent="0.25">
      <c r="A1099" s="147"/>
      <c r="B1099" s="147"/>
      <c r="C1099" s="157"/>
      <c r="D1099" s="141"/>
      <c r="E1099" s="141"/>
      <c r="F1099" s="12">
        <v>43647</v>
      </c>
      <c r="G1099" s="12">
        <v>43830</v>
      </c>
      <c r="H1099" s="151"/>
      <c r="I1099" s="96" t="s">
        <v>23</v>
      </c>
      <c r="J1099" s="95" t="s">
        <v>23</v>
      </c>
      <c r="K1099" s="95" t="s">
        <v>23</v>
      </c>
      <c r="L1099" s="97" t="s">
        <v>23</v>
      </c>
      <c r="M1099" s="97" t="s">
        <v>23</v>
      </c>
      <c r="N1099" s="97" t="s">
        <v>23</v>
      </c>
      <c r="O1099" s="13">
        <v>1664.7</v>
      </c>
      <c r="P1099" s="158"/>
      <c r="S1099" s="18"/>
    </row>
    <row r="1100" spans="1:19" s="17" customFormat="1" ht="18.95" customHeight="1" outlineLevel="1" x14ac:dyDescent="0.25">
      <c r="A1100" s="157" t="s">
        <v>46</v>
      </c>
      <c r="B1100" s="157" t="s">
        <v>47</v>
      </c>
      <c r="C1100" s="146" t="s">
        <v>295</v>
      </c>
      <c r="D1100" s="137">
        <v>42723</v>
      </c>
      <c r="E1100" s="137" t="s">
        <v>695</v>
      </c>
      <c r="F1100" s="12">
        <v>43466</v>
      </c>
      <c r="G1100" s="12">
        <v>43646</v>
      </c>
      <c r="H1100" s="168" t="s">
        <v>797</v>
      </c>
      <c r="I1100" s="13">
        <v>2019.3</v>
      </c>
      <c r="J1100" s="115"/>
      <c r="K1100" s="115"/>
      <c r="L1100" s="117"/>
      <c r="M1100" s="117"/>
      <c r="N1100" s="117"/>
      <c r="O1100" s="4" t="s">
        <v>23</v>
      </c>
      <c r="P1100" s="215"/>
      <c r="S1100" s="18"/>
    </row>
    <row r="1101" spans="1:19" s="17" customFormat="1" ht="18.95" customHeight="1" outlineLevel="1" x14ac:dyDescent="0.25">
      <c r="A1101" s="157"/>
      <c r="B1101" s="157"/>
      <c r="C1101" s="148"/>
      <c r="D1101" s="141"/>
      <c r="E1101" s="141"/>
      <c r="F1101" s="12">
        <v>43647</v>
      </c>
      <c r="G1101" s="12">
        <v>43830</v>
      </c>
      <c r="H1101" s="168"/>
      <c r="I1101" s="13">
        <v>2069.86</v>
      </c>
      <c r="J1101" s="115"/>
      <c r="K1101" s="115"/>
      <c r="L1101" s="117"/>
      <c r="M1101" s="117"/>
      <c r="N1101" s="117"/>
      <c r="O1101" s="4" t="s">
        <v>23</v>
      </c>
      <c r="P1101" s="215"/>
      <c r="S1101" s="18"/>
    </row>
    <row r="1102" spans="1:19" s="17" customFormat="1" ht="18.95" customHeight="1" outlineLevel="1" x14ac:dyDescent="0.25">
      <c r="A1102" s="157"/>
      <c r="B1102" s="157"/>
      <c r="C1102" s="148"/>
      <c r="D1102" s="137">
        <v>43454</v>
      </c>
      <c r="E1102" s="137" t="s">
        <v>796</v>
      </c>
      <c r="F1102" s="12">
        <v>43466</v>
      </c>
      <c r="G1102" s="12">
        <v>43646</v>
      </c>
      <c r="H1102" s="168"/>
      <c r="I1102" s="116" t="s">
        <v>23</v>
      </c>
      <c r="J1102" s="115"/>
      <c r="K1102" s="115"/>
      <c r="L1102" s="117"/>
      <c r="M1102" s="117"/>
      <c r="N1102" s="117"/>
      <c r="O1102" s="26">
        <v>2290.19</v>
      </c>
      <c r="P1102" s="215" t="s">
        <v>444</v>
      </c>
      <c r="S1102" s="18"/>
    </row>
    <row r="1103" spans="1:19" s="17" customFormat="1" ht="18.95" customHeight="1" outlineLevel="1" x14ac:dyDescent="0.25">
      <c r="A1103" s="157"/>
      <c r="B1103" s="157"/>
      <c r="C1103" s="148"/>
      <c r="D1103" s="138"/>
      <c r="E1103" s="138"/>
      <c r="F1103" s="12">
        <v>43647</v>
      </c>
      <c r="G1103" s="12">
        <v>43830</v>
      </c>
      <c r="H1103" s="168"/>
      <c r="I1103" s="116" t="s">
        <v>23</v>
      </c>
      <c r="J1103" s="115"/>
      <c r="K1103" s="115"/>
      <c r="L1103" s="117"/>
      <c r="M1103" s="117"/>
      <c r="N1103" s="117"/>
      <c r="O1103" s="26">
        <v>2335.9899999999998</v>
      </c>
      <c r="P1103" s="215"/>
      <c r="S1103" s="18"/>
    </row>
    <row r="1104" spans="1:19" s="17" customFormat="1" ht="18.95" customHeight="1" outlineLevel="1" x14ac:dyDescent="0.25">
      <c r="A1104" s="157"/>
      <c r="B1104" s="157"/>
      <c r="C1104" s="148"/>
      <c r="D1104" s="138"/>
      <c r="E1104" s="138"/>
      <c r="F1104" s="12">
        <v>43466</v>
      </c>
      <c r="G1104" s="12">
        <v>43646</v>
      </c>
      <c r="H1104" s="168"/>
      <c r="I1104" s="116" t="s">
        <v>23</v>
      </c>
      <c r="J1104" s="115"/>
      <c r="K1104" s="115"/>
      <c r="L1104" s="117"/>
      <c r="M1104" s="117"/>
      <c r="N1104" s="117"/>
      <c r="O1104" s="26">
        <v>1578.39</v>
      </c>
      <c r="P1104" s="215" t="s">
        <v>446</v>
      </c>
      <c r="S1104" s="18"/>
    </row>
    <row r="1105" spans="1:19" s="17" customFormat="1" ht="18.95" customHeight="1" outlineLevel="1" x14ac:dyDescent="0.25">
      <c r="A1105" s="157"/>
      <c r="B1105" s="157"/>
      <c r="C1105" s="148"/>
      <c r="D1105" s="141"/>
      <c r="E1105" s="141"/>
      <c r="F1105" s="12">
        <v>43647</v>
      </c>
      <c r="G1105" s="12">
        <v>43830</v>
      </c>
      <c r="H1105" s="168"/>
      <c r="I1105" s="116" t="s">
        <v>23</v>
      </c>
      <c r="J1105" s="115"/>
      <c r="K1105" s="115"/>
      <c r="L1105" s="117"/>
      <c r="M1105" s="117"/>
      <c r="N1105" s="117"/>
      <c r="O1105" s="26">
        <v>1609.95</v>
      </c>
      <c r="P1105" s="215"/>
      <c r="S1105" s="18"/>
    </row>
    <row r="1106" spans="1:19" s="17" customFormat="1" ht="18.95" customHeight="1" outlineLevel="1" x14ac:dyDescent="0.25">
      <c r="A1106" s="157" t="s">
        <v>46</v>
      </c>
      <c r="B1106" s="157" t="s">
        <v>98</v>
      </c>
      <c r="C1106" s="148"/>
      <c r="D1106" s="137">
        <v>42723</v>
      </c>
      <c r="E1106" s="137" t="s">
        <v>695</v>
      </c>
      <c r="F1106" s="12">
        <v>43466</v>
      </c>
      <c r="G1106" s="12">
        <v>43646</v>
      </c>
      <c r="H1106" s="168" t="s">
        <v>797</v>
      </c>
      <c r="I1106" s="13">
        <v>2019.3</v>
      </c>
      <c r="J1106" s="115"/>
      <c r="K1106" s="115"/>
      <c r="L1106" s="117"/>
      <c r="M1106" s="117"/>
      <c r="N1106" s="117"/>
      <c r="O1106" s="4" t="s">
        <v>23</v>
      </c>
      <c r="P1106" s="215"/>
      <c r="S1106" s="18"/>
    </row>
    <row r="1107" spans="1:19" s="17" customFormat="1" ht="18.95" customHeight="1" outlineLevel="1" x14ac:dyDescent="0.25">
      <c r="A1107" s="157"/>
      <c r="B1107" s="157"/>
      <c r="C1107" s="148"/>
      <c r="D1107" s="141"/>
      <c r="E1107" s="141"/>
      <c r="F1107" s="12">
        <v>43647</v>
      </c>
      <c r="G1107" s="12">
        <v>43830</v>
      </c>
      <c r="H1107" s="168"/>
      <c r="I1107" s="13">
        <v>2069.86</v>
      </c>
      <c r="J1107" s="115"/>
      <c r="K1107" s="115"/>
      <c r="L1107" s="117"/>
      <c r="M1107" s="117"/>
      <c r="N1107" s="117"/>
      <c r="O1107" s="4" t="s">
        <v>23</v>
      </c>
      <c r="P1107" s="215"/>
      <c r="S1107" s="18"/>
    </row>
    <row r="1108" spans="1:19" s="17" customFormat="1" ht="18.95" customHeight="1" outlineLevel="1" x14ac:dyDescent="0.25">
      <c r="A1108" s="157"/>
      <c r="B1108" s="157"/>
      <c r="C1108" s="148"/>
      <c r="D1108" s="137">
        <v>43454</v>
      </c>
      <c r="E1108" s="137" t="s">
        <v>796</v>
      </c>
      <c r="F1108" s="12">
        <v>43466</v>
      </c>
      <c r="G1108" s="12">
        <v>43646</v>
      </c>
      <c r="H1108" s="168"/>
      <c r="I1108" s="116" t="s">
        <v>23</v>
      </c>
      <c r="J1108" s="115"/>
      <c r="K1108" s="115"/>
      <c r="L1108" s="117"/>
      <c r="M1108" s="117"/>
      <c r="N1108" s="117"/>
      <c r="O1108" s="26">
        <v>2423.13</v>
      </c>
      <c r="P1108" s="215"/>
      <c r="S1108" s="18"/>
    </row>
    <row r="1109" spans="1:19" s="17" customFormat="1" ht="18.95" customHeight="1" outlineLevel="1" x14ac:dyDescent="0.25">
      <c r="A1109" s="157"/>
      <c r="B1109" s="157"/>
      <c r="C1109" s="148"/>
      <c r="D1109" s="141"/>
      <c r="E1109" s="141"/>
      <c r="F1109" s="12">
        <v>43647</v>
      </c>
      <c r="G1109" s="12">
        <v>43830</v>
      </c>
      <c r="H1109" s="168"/>
      <c r="I1109" s="116" t="s">
        <v>23</v>
      </c>
      <c r="J1109" s="115"/>
      <c r="K1109" s="115"/>
      <c r="L1109" s="117"/>
      <c r="M1109" s="117"/>
      <c r="N1109" s="117"/>
      <c r="O1109" s="26">
        <v>2471.59</v>
      </c>
      <c r="P1109" s="215"/>
      <c r="S1109" s="18"/>
    </row>
    <row r="1110" spans="1:19" s="17" customFormat="1" ht="18.95" customHeight="1" outlineLevel="1" x14ac:dyDescent="0.25">
      <c r="A1110" s="157" t="s">
        <v>46</v>
      </c>
      <c r="B1110" s="157" t="s">
        <v>99</v>
      </c>
      <c r="C1110" s="148"/>
      <c r="D1110" s="137">
        <v>42723</v>
      </c>
      <c r="E1110" s="137" t="s">
        <v>695</v>
      </c>
      <c r="F1110" s="12">
        <v>43466</v>
      </c>
      <c r="G1110" s="12">
        <v>43646</v>
      </c>
      <c r="H1110" s="168" t="s">
        <v>797</v>
      </c>
      <c r="I1110" s="13">
        <v>2019.3</v>
      </c>
      <c r="J1110" s="115"/>
      <c r="K1110" s="115"/>
      <c r="L1110" s="117"/>
      <c r="M1110" s="117"/>
      <c r="N1110" s="117"/>
      <c r="O1110" s="4" t="s">
        <v>23</v>
      </c>
      <c r="P1110" s="215"/>
      <c r="S1110" s="18"/>
    </row>
    <row r="1111" spans="1:19" s="17" customFormat="1" ht="18.95" customHeight="1" outlineLevel="1" x14ac:dyDescent="0.25">
      <c r="A1111" s="157"/>
      <c r="B1111" s="157"/>
      <c r="C1111" s="148"/>
      <c r="D1111" s="141"/>
      <c r="E1111" s="141"/>
      <c r="F1111" s="12">
        <v>43647</v>
      </c>
      <c r="G1111" s="12">
        <v>43830</v>
      </c>
      <c r="H1111" s="168"/>
      <c r="I1111" s="13">
        <v>2069.86</v>
      </c>
      <c r="J1111" s="115"/>
      <c r="K1111" s="115"/>
      <c r="L1111" s="117"/>
      <c r="M1111" s="117"/>
      <c r="N1111" s="117"/>
      <c r="O1111" s="4" t="s">
        <v>23</v>
      </c>
      <c r="P1111" s="215"/>
      <c r="S1111" s="18"/>
    </row>
    <row r="1112" spans="1:19" s="17" customFormat="1" ht="18.95" customHeight="1" outlineLevel="1" x14ac:dyDescent="0.25">
      <c r="A1112" s="157"/>
      <c r="B1112" s="157"/>
      <c r="C1112" s="148"/>
      <c r="D1112" s="137">
        <v>43454</v>
      </c>
      <c r="E1112" s="137" t="s">
        <v>796</v>
      </c>
      <c r="F1112" s="12">
        <v>43466</v>
      </c>
      <c r="G1112" s="12">
        <v>43646</v>
      </c>
      <c r="H1112" s="168"/>
      <c r="I1112" s="116" t="s">
        <v>23</v>
      </c>
      <c r="J1112" s="115"/>
      <c r="K1112" s="115"/>
      <c r="L1112" s="117"/>
      <c r="M1112" s="117"/>
      <c r="N1112" s="117"/>
      <c r="O1112" s="26">
        <v>2423.13</v>
      </c>
      <c r="P1112" s="215"/>
      <c r="S1112" s="18"/>
    </row>
    <row r="1113" spans="1:19" s="17" customFormat="1" ht="18.95" customHeight="1" outlineLevel="1" x14ac:dyDescent="0.25">
      <c r="A1113" s="157"/>
      <c r="B1113" s="157"/>
      <c r="C1113" s="148"/>
      <c r="D1113" s="141"/>
      <c r="E1113" s="141"/>
      <c r="F1113" s="12">
        <v>43647</v>
      </c>
      <c r="G1113" s="12">
        <v>43830</v>
      </c>
      <c r="H1113" s="168"/>
      <c r="I1113" s="116" t="s">
        <v>23</v>
      </c>
      <c r="J1113" s="115"/>
      <c r="K1113" s="115"/>
      <c r="L1113" s="117"/>
      <c r="M1113" s="117"/>
      <c r="N1113" s="117"/>
      <c r="O1113" s="26">
        <v>2471.59</v>
      </c>
      <c r="P1113" s="215"/>
      <c r="S1113" s="18"/>
    </row>
    <row r="1114" spans="1:19" s="17" customFormat="1" ht="18.95" customHeight="1" outlineLevel="1" x14ac:dyDescent="0.25">
      <c r="A1114" s="157" t="s">
        <v>46</v>
      </c>
      <c r="B1114" s="157" t="s">
        <v>100</v>
      </c>
      <c r="C1114" s="148"/>
      <c r="D1114" s="137">
        <v>42723</v>
      </c>
      <c r="E1114" s="137" t="s">
        <v>695</v>
      </c>
      <c r="F1114" s="12">
        <v>43466</v>
      </c>
      <c r="G1114" s="12">
        <v>43646</v>
      </c>
      <c r="H1114" s="168" t="s">
        <v>797</v>
      </c>
      <c r="I1114" s="13">
        <v>2019.3</v>
      </c>
      <c r="J1114" s="115"/>
      <c r="K1114" s="115"/>
      <c r="L1114" s="117"/>
      <c r="M1114" s="117"/>
      <c r="N1114" s="117"/>
      <c r="O1114" s="4" t="s">
        <v>23</v>
      </c>
      <c r="P1114" s="215"/>
      <c r="S1114" s="18"/>
    </row>
    <row r="1115" spans="1:19" s="17" customFormat="1" ht="18.95" customHeight="1" outlineLevel="1" x14ac:dyDescent="0.25">
      <c r="A1115" s="157"/>
      <c r="B1115" s="157"/>
      <c r="C1115" s="148"/>
      <c r="D1115" s="141"/>
      <c r="E1115" s="141"/>
      <c r="F1115" s="12">
        <v>43647</v>
      </c>
      <c r="G1115" s="12">
        <v>43830</v>
      </c>
      <c r="H1115" s="168"/>
      <c r="I1115" s="13">
        <v>2069.86</v>
      </c>
      <c r="J1115" s="115"/>
      <c r="K1115" s="115"/>
      <c r="L1115" s="117"/>
      <c r="M1115" s="117"/>
      <c r="N1115" s="117"/>
      <c r="O1115" s="4" t="s">
        <v>23</v>
      </c>
      <c r="P1115" s="215"/>
      <c r="S1115" s="18"/>
    </row>
    <row r="1116" spans="1:19" s="17" customFormat="1" ht="18.95" customHeight="1" outlineLevel="1" x14ac:dyDescent="0.25">
      <c r="A1116" s="157"/>
      <c r="B1116" s="157"/>
      <c r="C1116" s="148"/>
      <c r="D1116" s="137">
        <v>43454</v>
      </c>
      <c r="E1116" s="137" t="s">
        <v>796</v>
      </c>
      <c r="F1116" s="12">
        <v>43466</v>
      </c>
      <c r="G1116" s="12">
        <v>43646</v>
      </c>
      <c r="H1116" s="168"/>
      <c r="I1116" s="116" t="s">
        <v>23</v>
      </c>
      <c r="J1116" s="115"/>
      <c r="K1116" s="115"/>
      <c r="L1116" s="117"/>
      <c r="M1116" s="117"/>
      <c r="N1116" s="117"/>
      <c r="O1116" s="26">
        <v>2311.54</v>
      </c>
      <c r="P1116" s="215"/>
      <c r="S1116" s="18"/>
    </row>
    <row r="1117" spans="1:19" s="17" customFormat="1" ht="18.95" customHeight="1" outlineLevel="1" x14ac:dyDescent="0.25">
      <c r="A1117" s="157"/>
      <c r="B1117" s="157"/>
      <c r="C1117" s="148"/>
      <c r="D1117" s="141"/>
      <c r="E1117" s="141"/>
      <c r="F1117" s="12">
        <v>43647</v>
      </c>
      <c r="G1117" s="12">
        <v>43830</v>
      </c>
      <c r="H1117" s="168"/>
      <c r="I1117" s="116" t="s">
        <v>23</v>
      </c>
      <c r="J1117" s="115"/>
      <c r="K1117" s="115"/>
      <c r="L1117" s="117"/>
      <c r="M1117" s="117"/>
      <c r="N1117" s="117"/>
      <c r="O1117" s="26">
        <v>2357.77</v>
      </c>
      <c r="P1117" s="215"/>
      <c r="S1117" s="18"/>
    </row>
    <row r="1118" spans="1:19" s="17" customFormat="1" ht="18.95" customHeight="1" outlineLevel="1" x14ac:dyDescent="0.25">
      <c r="A1118" s="157" t="s">
        <v>46</v>
      </c>
      <c r="B1118" s="157" t="s">
        <v>101</v>
      </c>
      <c r="C1118" s="148"/>
      <c r="D1118" s="137">
        <v>42723</v>
      </c>
      <c r="E1118" s="137" t="s">
        <v>695</v>
      </c>
      <c r="F1118" s="12">
        <v>43466</v>
      </c>
      <c r="G1118" s="12">
        <v>43646</v>
      </c>
      <c r="H1118" s="168" t="s">
        <v>797</v>
      </c>
      <c r="I1118" s="13">
        <v>2019.3</v>
      </c>
      <c r="J1118" s="115"/>
      <c r="K1118" s="115"/>
      <c r="L1118" s="117"/>
      <c r="M1118" s="117"/>
      <c r="N1118" s="117"/>
      <c r="O1118" s="4" t="s">
        <v>23</v>
      </c>
      <c r="P1118" s="215"/>
      <c r="S1118" s="18"/>
    </row>
    <row r="1119" spans="1:19" s="17" customFormat="1" ht="18.95" customHeight="1" outlineLevel="1" x14ac:dyDescent="0.25">
      <c r="A1119" s="157"/>
      <c r="B1119" s="157"/>
      <c r="C1119" s="148"/>
      <c r="D1119" s="141"/>
      <c r="E1119" s="141"/>
      <c r="F1119" s="12">
        <v>43647</v>
      </c>
      <c r="G1119" s="12">
        <v>43830</v>
      </c>
      <c r="H1119" s="168"/>
      <c r="I1119" s="13">
        <v>2069.86</v>
      </c>
      <c r="J1119" s="115"/>
      <c r="K1119" s="115"/>
      <c r="L1119" s="117"/>
      <c r="M1119" s="117"/>
      <c r="N1119" s="117"/>
      <c r="O1119" s="4" t="s">
        <v>23</v>
      </c>
      <c r="P1119" s="215"/>
      <c r="S1119" s="18"/>
    </row>
    <row r="1120" spans="1:19" s="17" customFormat="1" ht="18.95" customHeight="1" outlineLevel="1" x14ac:dyDescent="0.25">
      <c r="A1120" s="157"/>
      <c r="B1120" s="157"/>
      <c r="C1120" s="148"/>
      <c r="D1120" s="137">
        <v>43454</v>
      </c>
      <c r="E1120" s="137" t="s">
        <v>796</v>
      </c>
      <c r="F1120" s="12">
        <v>43466</v>
      </c>
      <c r="G1120" s="12">
        <v>43646</v>
      </c>
      <c r="H1120" s="168"/>
      <c r="I1120" s="116" t="s">
        <v>23</v>
      </c>
      <c r="J1120" s="115"/>
      <c r="K1120" s="115"/>
      <c r="L1120" s="117"/>
      <c r="M1120" s="117"/>
      <c r="N1120" s="117"/>
      <c r="O1120" s="26">
        <v>2324.84</v>
      </c>
      <c r="P1120" s="215"/>
      <c r="S1120" s="18"/>
    </row>
    <row r="1121" spans="1:19" s="17" customFormat="1" ht="18.95" customHeight="1" outlineLevel="1" x14ac:dyDescent="0.25">
      <c r="A1121" s="157"/>
      <c r="B1121" s="157"/>
      <c r="C1121" s="147"/>
      <c r="D1121" s="141"/>
      <c r="E1121" s="141"/>
      <c r="F1121" s="12">
        <v>43647</v>
      </c>
      <c r="G1121" s="12">
        <v>43830</v>
      </c>
      <c r="H1121" s="168"/>
      <c r="I1121" s="116" t="s">
        <v>23</v>
      </c>
      <c r="J1121" s="115"/>
      <c r="K1121" s="115"/>
      <c r="L1121" s="117"/>
      <c r="M1121" s="117"/>
      <c r="N1121" s="117"/>
      <c r="O1121" s="26">
        <v>2371.33</v>
      </c>
      <c r="P1121" s="215"/>
      <c r="S1121" s="18"/>
    </row>
    <row r="1122" spans="1:19" s="17" customFormat="1" ht="18.95" customHeight="1" outlineLevel="1" x14ac:dyDescent="0.25">
      <c r="A1122" s="146" t="s">
        <v>46</v>
      </c>
      <c r="B1122" s="146" t="s">
        <v>113</v>
      </c>
      <c r="C1122" s="146" t="s">
        <v>114</v>
      </c>
      <c r="D1122" s="137">
        <v>43453</v>
      </c>
      <c r="E1122" s="137" t="s">
        <v>685</v>
      </c>
      <c r="F1122" s="12">
        <v>43466</v>
      </c>
      <c r="G1122" s="12">
        <v>43646</v>
      </c>
      <c r="H1122" s="146"/>
      <c r="I1122" s="13">
        <v>4623.8599999999997</v>
      </c>
      <c r="J1122" s="95" t="s">
        <v>23</v>
      </c>
      <c r="K1122" s="95" t="s">
        <v>23</v>
      </c>
      <c r="L1122" s="97" t="s">
        <v>23</v>
      </c>
      <c r="M1122" s="97" t="s">
        <v>23</v>
      </c>
      <c r="N1122" s="97" t="s">
        <v>23</v>
      </c>
      <c r="O1122" s="4" t="s">
        <v>23</v>
      </c>
      <c r="P1122" s="158"/>
      <c r="S1122" s="18"/>
    </row>
    <row r="1123" spans="1:19" s="17" customFormat="1" ht="18.95" customHeight="1" outlineLevel="1" x14ac:dyDescent="0.25">
      <c r="A1123" s="148"/>
      <c r="B1123" s="148"/>
      <c r="C1123" s="148"/>
      <c r="D1123" s="141"/>
      <c r="E1123" s="141"/>
      <c r="F1123" s="12">
        <v>43647</v>
      </c>
      <c r="G1123" s="12">
        <v>43830</v>
      </c>
      <c r="H1123" s="147"/>
      <c r="I1123" s="13">
        <v>4738.1899999999996</v>
      </c>
      <c r="J1123" s="95" t="s">
        <v>23</v>
      </c>
      <c r="K1123" s="95" t="s">
        <v>23</v>
      </c>
      <c r="L1123" s="97" t="s">
        <v>23</v>
      </c>
      <c r="M1123" s="97" t="s">
        <v>23</v>
      </c>
      <c r="N1123" s="97" t="s">
        <v>23</v>
      </c>
      <c r="O1123" s="4" t="s">
        <v>23</v>
      </c>
      <c r="P1123" s="145"/>
      <c r="S1123" s="18"/>
    </row>
    <row r="1124" spans="1:19" s="17" customFormat="1" ht="18.95" customHeight="1" outlineLevel="1" x14ac:dyDescent="0.25">
      <c r="A1124" s="148"/>
      <c r="B1124" s="148"/>
      <c r="C1124" s="148"/>
      <c r="D1124" s="137">
        <v>43454</v>
      </c>
      <c r="E1124" s="137" t="s">
        <v>723</v>
      </c>
      <c r="F1124" s="12">
        <v>43466</v>
      </c>
      <c r="G1124" s="12">
        <v>43646</v>
      </c>
      <c r="H1124" s="149"/>
      <c r="I1124" s="96" t="s">
        <v>23</v>
      </c>
      <c r="J1124" s="95" t="s">
        <v>23</v>
      </c>
      <c r="K1124" s="95" t="s">
        <v>23</v>
      </c>
      <c r="L1124" s="97" t="s">
        <v>23</v>
      </c>
      <c r="M1124" s="97" t="s">
        <v>23</v>
      </c>
      <c r="N1124" s="97" t="s">
        <v>23</v>
      </c>
      <c r="O1124" s="13">
        <v>2230.5559322033901</v>
      </c>
      <c r="P1124" s="144"/>
      <c r="S1124" s="18"/>
    </row>
    <row r="1125" spans="1:19" s="17" customFormat="1" ht="18.95" customHeight="1" outlineLevel="1" x14ac:dyDescent="0.25">
      <c r="A1125" s="147"/>
      <c r="B1125" s="147"/>
      <c r="C1125" s="148"/>
      <c r="D1125" s="141"/>
      <c r="E1125" s="141"/>
      <c r="F1125" s="12">
        <v>43647</v>
      </c>
      <c r="G1125" s="12">
        <v>43830</v>
      </c>
      <c r="H1125" s="151"/>
      <c r="I1125" s="96" t="s">
        <v>23</v>
      </c>
      <c r="J1125" s="95" t="s">
        <v>23</v>
      </c>
      <c r="K1125" s="95" t="s">
        <v>23</v>
      </c>
      <c r="L1125" s="97" t="s">
        <v>23</v>
      </c>
      <c r="M1125" s="97" t="s">
        <v>23</v>
      </c>
      <c r="N1125" s="97" t="s">
        <v>23</v>
      </c>
      <c r="O1125" s="13">
        <v>2275.17</v>
      </c>
      <c r="P1125" s="145"/>
      <c r="S1125" s="18"/>
    </row>
    <row r="1126" spans="1:19" s="17" customFormat="1" ht="18.95" customHeight="1" outlineLevel="1" x14ac:dyDescent="0.25">
      <c r="A1126" s="146" t="s">
        <v>46</v>
      </c>
      <c r="B1126" s="146" t="s">
        <v>96</v>
      </c>
      <c r="C1126" s="148"/>
      <c r="D1126" s="137">
        <v>43453</v>
      </c>
      <c r="E1126" s="137" t="s">
        <v>685</v>
      </c>
      <c r="F1126" s="12">
        <v>43466</v>
      </c>
      <c r="G1126" s="12">
        <v>43646</v>
      </c>
      <c r="H1126" s="146"/>
      <c r="I1126" s="13">
        <v>4623.8599999999997</v>
      </c>
      <c r="J1126" s="95" t="s">
        <v>23</v>
      </c>
      <c r="K1126" s="95" t="s">
        <v>23</v>
      </c>
      <c r="L1126" s="97" t="s">
        <v>23</v>
      </c>
      <c r="M1126" s="97" t="s">
        <v>23</v>
      </c>
      <c r="N1126" s="97" t="s">
        <v>23</v>
      </c>
      <c r="O1126" s="4" t="s">
        <v>23</v>
      </c>
      <c r="P1126" s="144"/>
      <c r="S1126" s="18"/>
    </row>
    <row r="1127" spans="1:19" s="17" customFormat="1" ht="18.95" customHeight="1" outlineLevel="1" x14ac:dyDescent="0.25">
      <c r="A1127" s="148"/>
      <c r="B1127" s="148"/>
      <c r="C1127" s="148"/>
      <c r="D1127" s="141"/>
      <c r="E1127" s="141"/>
      <c r="F1127" s="12">
        <v>43647</v>
      </c>
      <c r="G1127" s="12">
        <v>43830</v>
      </c>
      <c r="H1127" s="147"/>
      <c r="I1127" s="13">
        <v>4738.1899999999996</v>
      </c>
      <c r="J1127" s="95" t="s">
        <v>23</v>
      </c>
      <c r="K1127" s="95" t="s">
        <v>23</v>
      </c>
      <c r="L1127" s="97" t="s">
        <v>23</v>
      </c>
      <c r="M1127" s="97" t="s">
        <v>23</v>
      </c>
      <c r="N1127" s="97" t="s">
        <v>23</v>
      </c>
      <c r="O1127" s="4" t="s">
        <v>23</v>
      </c>
      <c r="P1127" s="145"/>
      <c r="S1127" s="18"/>
    </row>
    <row r="1128" spans="1:19" s="17" customFormat="1" ht="18.95" customHeight="1" outlineLevel="1" x14ac:dyDescent="0.25">
      <c r="A1128" s="148"/>
      <c r="B1128" s="148"/>
      <c r="C1128" s="148"/>
      <c r="D1128" s="137">
        <v>43454</v>
      </c>
      <c r="E1128" s="137" t="s">
        <v>723</v>
      </c>
      <c r="F1128" s="12">
        <v>43466</v>
      </c>
      <c r="G1128" s="12">
        <v>43646</v>
      </c>
      <c r="H1128" s="149"/>
      <c r="I1128" s="96" t="s">
        <v>23</v>
      </c>
      <c r="J1128" s="95" t="s">
        <v>23</v>
      </c>
      <c r="K1128" s="95" t="s">
        <v>23</v>
      </c>
      <c r="L1128" s="97" t="s">
        <v>23</v>
      </c>
      <c r="M1128" s="97" t="s">
        <v>23</v>
      </c>
      <c r="N1128" s="97" t="s">
        <v>23</v>
      </c>
      <c r="O1128" s="13">
        <v>2253.29</v>
      </c>
      <c r="P1128" s="144"/>
      <c r="S1128" s="18"/>
    </row>
    <row r="1129" spans="1:19" s="17" customFormat="1" ht="18.95" customHeight="1" outlineLevel="1" x14ac:dyDescent="0.25">
      <c r="A1129" s="147"/>
      <c r="B1129" s="147"/>
      <c r="C1129" s="148"/>
      <c r="D1129" s="141"/>
      <c r="E1129" s="141"/>
      <c r="F1129" s="12">
        <v>43647</v>
      </c>
      <c r="G1129" s="12">
        <v>43830</v>
      </c>
      <c r="H1129" s="151"/>
      <c r="I1129" s="96" t="s">
        <v>23</v>
      </c>
      <c r="J1129" s="95" t="s">
        <v>23</v>
      </c>
      <c r="K1129" s="95" t="s">
        <v>23</v>
      </c>
      <c r="L1129" s="97" t="s">
        <v>23</v>
      </c>
      <c r="M1129" s="97" t="s">
        <v>23</v>
      </c>
      <c r="N1129" s="97" t="s">
        <v>23</v>
      </c>
      <c r="O1129" s="13">
        <v>2298.35</v>
      </c>
      <c r="P1129" s="145"/>
      <c r="S1129" s="18"/>
    </row>
    <row r="1130" spans="1:19" s="17" customFormat="1" ht="18.95" customHeight="1" outlineLevel="1" x14ac:dyDescent="0.25">
      <c r="A1130" s="146" t="s">
        <v>46</v>
      </c>
      <c r="B1130" s="146" t="s">
        <v>47</v>
      </c>
      <c r="C1130" s="148"/>
      <c r="D1130" s="137">
        <v>43453</v>
      </c>
      <c r="E1130" s="137" t="s">
        <v>643</v>
      </c>
      <c r="F1130" s="12">
        <v>43466</v>
      </c>
      <c r="G1130" s="12">
        <v>43646</v>
      </c>
      <c r="H1130" s="146"/>
      <c r="I1130" s="13">
        <v>1835.85</v>
      </c>
      <c r="J1130" s="95" t="s">
        <v>23</v>
      </c>
      <c r="K1130" s="95" t="s">
        <v>23</v>
      </c>
      <c r="L1130" s="97" t="s">
        <v>23</v>
      </c>
      <c r="M1130" s="97" t="s">
        <v>23</v>
      </c>
      <c r="N1130" s="97" t="s">
        <v>23</v>
      </c>
      <c r="O1130" s="4" t="s">
        <v>23</v>
      </c>
      <c r="P1130" s="144"/>
      <c r="S1130" s="18"/>
    </row>
    <row r="1131" spans="1:19" s="17" customFormat="1" ht="18.95" customHeight="1" outlineLevel="1" x14ac:dyDescent="0.25">
      <c r="A1131" s="148"/>
      <c r="B1131" s="148"/>
      <c r="C1131" s="148"/>
      <c r="D1131" s="141"/>
      <c r="E1131" s="141"/>
      <c r="F1131" s="12">
        <v>43647</v>
      </c>
      <c r="G1131" s="12">
        <v>43830</v>
      </c>
      <c r="H1131" s="147"/>
      <c r="I1131" s="13">
        <v>2033.91</v>
      </c>
      <c r="J1131" s="95" t="s">
        <v>23</v>
      </c>
      <c r="K1131" s="95" t="s">
        <v>23</v>
      </c>
      <c r="L1131" s="97" t="s">
        <v>23</v>
      </c>
      <c r="M1131" s="97" t="s">
        <v>23</v>
      </c>
      <c r="N1131" s="97" t="s">
        <v>23</v>
      </c>
      <c r="O1131" s="4" t="s">
        <v>23</v>
      </c>
      <c r="P1131" s="145"/>
      <c r="S1131" s="18"/>
    </row>
    <row r="1132" spans="1:19" s="17" customFormat="1" ht="18.95" customHeight="1" outlineLevel="1" x14ac:dyDescent="0.25">
      <c r="A1132" s="148"/>
      <c r="B1132" s="148"/>
      <c r="C1132" s="148"/>
      <c r="D1132" s="137">
        <v>43454</v>
      </c>
      <c r="E1132" s="137" t="s">
        <v>723</v>
      </c>
      <c r="F1132" s="12">
        <v>43466</v>
      </c>
      <c r="G1132" s="12">
        <v>43646</v>
      </c>
      <c r="H1132" s="149"/>
      <c r="I1132" s="96" t="s">
        <v>23</v>
      </c>
      <c r="J1132" s="95" t="s">
        <v>23</v>
      </c>
      <c r="K1132" s="95" t="s">
        <v>23</v>
      </c>
      <c r="L1132" s="97" t="s">
        <v>23</v>
      </c>
      <c r="M1132" s="97" t="s">
        <v>23</v>
      </c>
      <c r="N1132" s="97" t="s">
        <v>23</v>
      </c>
      <c r="O1132" s="13">
        <v>2109.406779661017</v>
      </c>
      <c r="P1132" s="144"/>
      <c r="S1132" s="18"/>
    </row>
    <row r="1133" spans="1:19" s="17" customFormat="1" ht="18.95" customHeight="1" outlineLevel="1" x14ac:dyDescent="0.25">
      <c r="A1133" s="147"/>
      <c r="B1133" s="147"/>
      <c r="C1133" s="147"/>
      <c r="D1133" s="141"/>
      <c r="E1133" s="141"/>
      <c r="F1133" s="12">
        <v>43647</v>
      </c>
      <c r="G1133" s="12">
        <v>43830</v>
      </c>
      <c r="H1133" s="151"/>
      <c r="I1133" s="96" t="s">
        <v>23</v>
      </c>
      <c r="J1133" s="95" t="s">
        <v>23</v>
      </c>
      <c r="K1133" s="95" t="s">
        <v>23</v>
      </c>
      <c r="L1133" s="97" t="s">
        <v>23</v>
      </c>
      <c r="M1133" s="97" t="s">
        <v>23</v>
      </c>
      <c r="N1133" s="97" t="s">
        <v>23</v>
      </c>
      <c r="O1133" s="13">
        <v>2151.59</v>
      </c>
      <c r="P1133" s="145"/>
      <c r="S1133" s="18"/>
    </row>
    <row r="1134" spans="1:19" s="17" customFormat="1" ht="18.95" customHeight="1" outlineLevel="1" x14ac:dyDescent="0.25">
      <c r="A1134" s="146" t="s">
        <v>46</v>
      </c>
      <c r="B1134" s="146" t="s">
        <v>47</v>
      </c>
      <c r="C1134" s="146" t="s">
        <v>115</v>
      </c>
      <c r="D1134" s="137">
        <v>43448</v>
      </c>
      <c r="E1134" s="137" t="s">
        <v>730</v>
      </c>
      <c r="F1134" s="12">
        <v>43466</v>
      </c>
      <c r="G1134" s="12">
        <v>43646</v>
      </c>
      <c r="H1134" s="146"/>
      <c r="I1134" s="13">
        <v>3204.02</v>
      </c>
      <c r="J1134" s="95" t="s">
        <v>23</v>
      </c>
      <c r="K1134" s="95" t="s">
        <v>23</v>
      </c>
      <c r="L1134" s="97" t="s">
        <v>23</v>
      </c>
      <c r="M1134" s="97" t="s">
        <v>23</v>
      </c>
      <c r="N1134" s="97" t="s">
        <v>23</v>
      </c>
      <c r="O1134" s="4" t="s">
        <v>23</v>
      </c>
      <c r="P1134" s="144"/>
      <c r="S1134" s="18"/>
    </row>
    <row r="1135" spans="1:19" s="17" customFormat="1" ht="18.95" customHeight="1" outlineLevel="1" x14ac:dyDescent="0.25">
      <c r="A1135" s="148"/>
      <c r="B1135" s="148"/>
      <c r="C1135" s="148"/>
      <c r="D1135" s="141"/>
      <c r="E1135" s="141"/>
      <c r="F1135" s="12">
        <v>43647</v>
      </c>
      <c r="G1135" s="12">
        <v>43830</v>
      </c>
      <c r="H1135" s="147"/>
      <c r="I1135" s="13">
        <v>3204.1</v>
      </c>
      <c r="J1135" s="95" t="s">
        <v>23</v>
      </c>
      <c r="K1135" s="95" t="s">
        <v>23</v>
      </c>
      <c r="L1135" s="97" t="s">
        <v>23</v>
      </c>
      <c r="M1135" s="97" t="s">
        <v>23</v>
      </c>
      <c r="N1135" s="97" t="s">
        <v>23</v>
      </c>
      <c r="O1135" s="4" t="s">
        <v>23</v>
      </c>
      <c r="P1135" s="145"/>
      <c r="S1135" s="18"/>
    </row>
    <row r="1136" spans="1:19" s="17" customFormat="1" ht="18.95" customHeight="1" outlineLevel="1" x14ac:dyDescent="0.25">
      <c r="A1136" s="148"/>
      <c r="B1136" s="148"/>
      <c r="C1136" s="148"/>
      <c r="D1136" s="137">
        <v>43454</v>
      </c>
      <c r="E1136" s="137" t="s">
        <v>723</v>
      </c>
      <c r="F1136" s="12">
        <v>43466</v>
      </c>
      <c r="G1136" s="12">
        <v>43646</v>
      </c>
      <c r="H1136" s="149"/>
      <c r="I1136" s="96" t="s">
        <v>23</v>
      </c>
      <c r="J1136" s="95" t="s">
        <v>23</v>
      </c>
      <c r="K1136" s="95" t="s">
        <v>23</v>
      </c>
      <c r="L1136" s="97" t="s">
        <v>23</v>
      </c>
      <c r="M1136" s="97" t="s">
        <v>23</v>
      </c>
      <c r="N1136" s="97" t="s">
        <v>23</v>
      </c>
      <c r="O1136" s="13">
        <v>2290.1898305084746</v>
      </c>
      <c r="P1136" s="144"/>
      <c r="S1136" s="18"/>
    </row>
    <row r="1137" spans="1:19" s="17" customFormat="1" ht="18.95" customHeight="1" outlineLevel="1" x14ac:dyDescent="0.25">
      <c r="A1137" s="147"/>
      <c r="B1137" s="147"/>
      <c r="C1137" s="147"/>
      <c r="D1137" s="141"/>
      <c r="E1137" s="141"/>
      <c r="F1137" s="12">
        <v>43647</v>
      </c>
      <c r="G1137" s="12">
        <v>43830</v>
      </c>
      <c r="H1137" s="151"/>
      <c r="I1137" s="96" t="s">
        <v>23</v>
      </c>
      <c r="J1137" s="95" t="s">
        <v>23</v>
      </c>
      <c r="K1137" s="95" t="s">
        <v>23</v>
      </c>
      <c r="L1137" s="97" t="s">
        <v>23</v>
      </c>
      <c r="M1137" s="97" t="s">
        <v>23</v>
      </c>
      <c r="N1137" s="97" t="s">
        <v>23</v>
      </c>
      <c r="O1137" s="13">
        <v>2335.9899999999998</v>
      </c>
      <c r="P1137" s="145"/>
      <c r="S1137" s="18"/>
    </row>
    <row r="1138" spans="1:19" s="17" customFormat="1" ht="18.95" customHeight="1" outlineLevel="1" x14ac:dyDescent="0.25">
      <c r="A1138" s="146" t="s">
        <v>46</v>
      </c>
      <c r="B1138" s="146" t="s">
        <v>47</v>
      </c>
      <c r="C1138" s="146" t="s">
        <v>348</v>
      </c>
      <c r="D1138" s="137">
        <v>43427</v>
      </c>
      <c r="E1138" s="137" t="s">
        <v>731</v>
      </c>
      <c r="F1138" s="12">
        <v>43466</v>
      </c>
      <c r="G1138" s="12">
        <v>43646</v>
      </c>
      <c r="H1138" s="146"/>
      <c r="I1138" s="13">
        <v>2561.13</v>
      </c>
      <c r="J1138" s="95" t="s">
        <v>23</v>
      </c>
      <c r="K1138" s="95" t="s">
        <v>23</v>
      </c>
      <c r="L1138" s="97" t="s">
        <v>23</v>
      </c>
      <c r="M1138" s="97" t="s">
        <v>23</v>
      </c>
      <c r="N1138" s="97" t="s">
        <v>23</v>
      </c>
      <c r="O1138" s="4" t="s">
        <v>23</v>
      </c>
      <c r="P1138" s="144"/>
      <c r="S1138" s="18"/>
    </row>
    <row r="1139" spans="1:19" s="17" customFormat="1" ht="18.95" customHeight="1" outlineLevel="1" x14ac:dyDescent="0.25">
      <c r="A1139" s="148"/>
      <c r="B1139" s="148"/>
      <c r="C1139" s="148"/>
      <c r="D1139" s="141"/>
      <c r="E1139" s="141"/>
      <c r="F1139" s="12">
        <v>43647</v>
      </c>
      <c r="G1139" s="12">
        <v>43830</v>
      </c>
      <c r="H1139" s="147"/>
      <c r="I1139" s="13">
        <v>2646.82</v>
      </c>
      <c r="J1139" s="95" t="s">
        <v>23</v>
      </c>
      <c r="K1139" s="95" t="s">
        <v>23</v>
      </c>
      <c r="L1139" s="97" t="s">
        <v>23</v>
      </c>
      <c r="M1139" s="97" t="s">
        <v>23</v>
      </c>
      <c r="N1139" s="97" t="s">
        <v>23</v>
      </c>
      <c r="O1139" s="4" t="s">
        <v>23</v>
      </c>
      <c r="P1139" s="145"/>
      <c r="S1139" s="18"/>
    </row>
    <row r="1140" spans="1:19" s="17" customFormat="1" ht="18.95" customHeight="1" outlineLevel="1" x14ac:dyDescent="0.25">
      <c r="A1140" s="148"/>
      <c r="B1140" s="148"/>
      <c r="C1140" s="148"/>
      <c r="D1140" s="137">
        <v>43454</v>
      </c>
      <c r="E1140" s="137" t="s">
        <v>723</v>
      </c>
      <c r="F1140" s="12">
        <v>43466</v>
      </c>
      <c r="G1140" s="12">
        <v>43646</v>
      </c>
      <c r="H1140" s="149"/>
      <c r="I1140" s="96" t="s">
        <v>23</v>
      </c>
      <c r="J1140" s="95" t="s">
        <v>23</v>
      </c>
      <c r="K1140" s="95" t="s">
        <v>23</v>
      </c>
      <c r="L1140" s="97" t="s">
        <v>23</v>
      </c>
      <c r="M1140" s="97" t="s">
        <v>23</v>
      </c>
      <c r="N1140" s="97" t="s">
        <v>23</v>
      </c>
      <c r="O1140" s="13">
        <v>2290.1898305084746</v>
      </c>
      <c r="P1140" s="144"/>
      <c r="S1140" s="18"/>
    </row>
    <row r="1141" spans="1:19" s="17" customFormat="1" ht="18.95" customHeight="1" outlineLevel="1" x14ac:dyDescent="0.25">
      <c r="A1141" s="147"/>
      <c r="B1141" s="147"/>
      <c r="C1141" s="147"/>
      <c r="D1141" s="141"/>
      <c r="E1141" s="141"/>
      <c r="F1141" s="12">
        <v>43647</v>
      </c>
      <c r="G1141" s="12">
        <v>43830</v>
      </c>
      <c r="H1141" s="151"/>
      <c r="I1141" s="96" t="s">
        <v>23</v>
      </c>
      <c r="J1141" s="95" t="s">
        <v>23</v>
      </c>
      <c r="K1141" s="95" t="s">
        <v>23</v>
      </c>
      <c r="L1141" s="97" t="s">
        <v>23</v>
      </c>
      <c r="M1141" s="97" t="s">
        <v>23</v>
      </c>
      <c r="N1141" s="97" t="s">
        <v>23</v>
      </c>
      <c r="O1141" s="13">
        <v>2335.9899999999998</v>
      </c>
      <c r="P1141" s="145"/>
      <c r="S1141" s="18"/>
    </row>
    <row r="1142" spans="1:19" s="17" customFormat="1" ht="18.95" customHeight="1" outlineLevel="1" x14ac:dyDescent="0.25">
      <c r="A1142" s="6">
        <v>13</v>
      </c>
      <c r="B1142" s="6" t="s">
        <v>157</v>
      </c>
      <c r="C1142" s="7"/>
      <c r="D1142" s="7"/>
      <c r="E1142" s="7"/>
      <c r="F1142" s="7"/>
      <c r="G1142" s="7"/>
      <c r="H1142" s="7"/>
      <c r="I1142" s="8"/>
      <c r="J1142" s="31"/>
      <c r="K1142" s="31"/>
      <c r="L1142" s="32"/>
      <c r="M1142" s="32"/>
      <c r="N1142" s="32"/>
      <c r="O1142" s="8"/>
      <c r="P1142" s="9"/>
      <c r="S1142" s="18"/>
    </row>
    <row r="1143" spans="1:19" s="17" customFormat="1" ht="18.95" customHeight="1" outlineLevel="1" x14ac:dyDescent="0.25">
      <c r="A1143" s="146" t="s">
        <v>116</v>
      </c>
      <c r="B1143" s="146" t="s">
        <v>506</v>
      </c>
      <c r="C1143" s="146" t="s">
        <v>284</v>
      </c>
      <c r="D1143" s="137">
        <v>43087</v>
      </c>
      <c r="E1143" s="137" t="s">
        <v>798</v>
      </c>
      <c r="F1143" s="12">
        <v>43466</v>
      </c>
      <c r="G1143" s="12">
        <v>43646</v>
      </c>
      <c r="H1143" s="146" t="s">
        <v>799</v>
      </c>
      <c r="I1143" s="13">
        <v>1760.39</v>
      </c>
      <c r="J1143" s="14" t="s">
        <v>23</v>
      </c>
      <c r="K1143" s="14" t="s">
        <v>23</v>
      </c>
      <c r="L1143" s="5" t="s">
        <v>23</v>
      </c>
      <c r="M1143" s="5" t="s">
        <v>23</v>
      </c>
      <c r="N1143" s="5" t="s">
        <v>23</v>
      </c>
      <c r="O1143" s="4" t="s">
        <v>23</v>
      </c>
      <c r="P1143" s="144"/>
      <c r="S1143" s="18"/>
    </row>
    <row r="1144" spans="1:19" s="17" customFormat="1" ht="18.95" customHeight="1" outlineLevel="1" x14ac:dyDescent="0.25">
      <c r="A1144" s="148"/>
      <c r="B1144" s="148"/>
      <c r="C1144" s="148"/>
      <c r="D1144" s="141"/>
      <c r="E1144" s="141"/>
      <c r="F1144" s="12">
        <v>43647</v>
      </c>
      <c r="G1144" s="12">
        <v>43830</v>
      </c>
      <c r="H1144" s="147"/>
      <c r="I1144" s="13">
        <v>1798.35</v>
      </c>
      <c r="J1144" s="14" t="s">
        <v>23</v>
      </c>
      <c r="K1144" s="14" t="s">
        <v>23</v>
      </c>
      <c r="L1144" s="5" t="s">
        <v>23</v>
      </c>
      <c r="M1144" s="5" t="s">
        <v>23</v>
      </c>
      <c r="N1144" s="5" t="s">
        <v>23</v>
      </c>
      <c r="O1144" s="4" t="s">
        <v>23</v>
      </c>
      <c r="P1144" s="145"/>
      <c r="S1144" s="18"/>
    </row>
    <row r="1145" spans="1:19" s="17" customFormat="1" ht="18.95" customHeight="1" outlineLevel="1" x14ac:dyDescent="0.25">
      <c r="A1145" s="148"/>
      <c r="B1145" s="148"/>
      <c r="C1145" s="148"/>
      <c r="D1145" s="137">
        <v>43454</v>
      </c>
      <c r="E1145" s="137" t="s">
        <v>796</v>
      </c>
      <c r="F1145" s="12">
        <v>43466</v>
      </c>
      <c r="G1145" s="12">
        <v>43646</v>
      </c>
      <c r="H1145" s="149"/>
      <c r="I1145" s="15" t="s">
        <v>23</v>
      </c>
      <c r="J1145" s="14" t="s">
        <v>23</v>
      </c>
      <c r="K1145" s="14" t="s">
        <v>23</v>
      </c>
      <c r="L1145" s="5" t="s">
        <v>23</v>
      </c>
      <c r="M1145" s="5" t="s">
        <v>23</v>
      </c>
      <c r="N1145" s="5" t="s">
        <v>23</v>
      </c>
      <c r="O1145" s="13">
        <v>2004.65</v>
      </c>
      <c r="P1145" s="144"/>
      <c r="S1145" s="18"/>
    </row>
    <row r="1146" spans="1:19" s="17" customFormat="1" ht="18.95" customHeight="1" outlineLevel="1" x14ac:dyDescent="0.25">
      <c r="A1146" s="147"/>
      <c r="B1146" s="147"/>
      <c r="C1146" s="148"/>
      <c r="D1146" s="141"/>
      <c r="E1146" s="141"/>
      <c r="F1146" s="12">
        <v>43647</v>
      </c>
      <c r="G1146" s="12">
        <v>43830</v>
      </c>
      <c r="H1146" s="151"/>
      <c r="I1146" s="15" t="s">
        <v>23</v>
      </c>
      <c r="J1146" s="14" t="s">
        <v>23</v>
      </c>
      <c r="K1146" s="14" t="s">
        <v>23</v>
      </c>
      <c r="L1146" s="5" t="s">
        <v>23</v>
      </c>
      <c r="M1146" s="5" t="s">
        <v>23</v>
      </c>
      <c r="N1146" s="5" t="s">
        <v>23</v>
      </c>
      <c r="O1146" s="13">
        <v>2044.74</v>
      </c>
      <c r="P1146" s="145"/>
      <c r="S1146" s="18"/>
    </row>
    <row r="1147" spans="1:19" s="17" customFormat="1" ht="18.95" customHeight="1" outlineLevel="1" x14ac:dyDescent="0.25">
      <c r="A1147" s="146" t="s">
        <v>116</v>
      </c>
      <c r="B1147" s="146" t="s">
        <v>506</v>
      </c>
      <c r="C1147" s="146" t="s">
        <v>327</v>
      </c>
      <c r="D1147" s="137">
        <v>43434</v>
      </c>
      <c r="E1147" s="137" t="s">
        <v>647</v>
      </c>
      <c r="F1147" s="12">
        <v>43466</v>
      </c>
      <c r="G1147" s="12">
        <v>43646</v>
      </c>
      <c r="H1147" s="146"/>
      <c r="I1147" s="13">
        <v>8709.17</v>
      </c>
      <c r="J1147" s="14" t="s">
        <v>23</v>
      </c>
      <c r="K1147" s="14" t="s">
        <v>23</v>
      </c>
      <c r="L1147" s="5" t="s">
        <v>23</v>
      </c>
      <c r="M1147" s="5" t="s">
        <v>23</v>
      </c>
      <c r="N1147" s="5" t="s">
        <v>23</v>
      </c>
      <c r="O1147" s="4" t="s">
        <v>23</v>
      </c>
      <c r="P1147" s="153" t="s">
        <v>29</v>
      </c>
      <c r="S1147" s="18"/>
    </row>
    <row r="1148" spans="1:19" s="17" customFormat="1" ht="18.95" customHeight="1" outlineLevel="1" x14ac:dyDescent="0.25">
      <c r="A1148" s="148"/>
      <c r="B1148" s="148"/>
      <c r="C1148" s="148"/>
      <c r="D1148" s="141"/>
      <c r="E1148" s="141"/>
      <c r="F1148" s="12">
        <v>43647</v>
      </c>
      <c r="G1148" s="12">
        <v>43830</v>
      </c>
      <c r="H1148" s="147"/>
      <c r="I1148" s="13">
        <v>10632.31</v>
      </c>
      <c r="J1148" s="14" t="s">
        <v>23</v>
      </c>
      <c r="K1148" s="14" t="s">
        <v>23</v>
      </c>
      <c r="L1148" s="5" t="s">
        <v>23</v>
      </c>
      <c r="M1148" s="5" t="s">
        <v>23</v>
      </c>
      <c r="N1148" s="5" t="s">
        <v>23</v>
      </c>
      <c r="O1148" s="4" t="s">
        <v>23</v>
      </c>
      <c r="P1148" s="169" t="s">
        <v>29</v>
      </c>
      <c r="S1148" s="18"/>
    </row>
    <row r="1149" spans="1:19" s="17" customFormat="1" ht="18.95" customHeight="1" outlineLevel="1" x14ac:dyDescent="0.25">
      <c r="A1149" s="148"/>
      <c r="B1149" s="148"/>
      <c r="C1149" s="148"/>
      <c r="D1149" s="137">
        <v>43454</v>
      </c>
      <c r="E1149" s="137" t="s">
        <v>646</v>
      </c>
      <c r="F1149" s="12">
        <v>43466</v>
      </c>
      <c r="G1149" s="12">
        <v>43646</v>
      </c>
      <c r="H1149" s="149"/>
      <c r="I1149" s="15" t="s">
        <v>23</v>
      </c>
      <c r="J1149" s="14" t="s">
        <v>23</v>
      </c>
      <c r="K1149" s="14" t="s">
        <v>23</v>
      </c>
      <c r="L1149" s="5" t="s">
        <v>23</v>
      </c>
      <c r="M1149" s="5" t="s">
        <v>23</v>
      </c>
      <c r="N1149" s="5" t="s">
        <v>23</v>
      </c>
      <c r="O1149" s="13">
        <v>2080.64</v>
      </c>
      <c r="P1149" s="169"/>
      <c r="S1149" s="18"/>
    </row>
    <row r="1150" spans="1:19" s="17" customFormat="1" ht="33" customHeight="1" outlineLevel="1" x14ac:dyDescent="0.25">
      <c r="A1150" s="147"/>
      <c r="B1150" s="147"/>
      <c r="C1150" s="147"/>
      <c r="D1150" s="141"/>
      <c r="E1150" s="141"/>
      <c r="F1150" s="12">
        <v>43647</v>
      </c>
      <c r="G1150" s="12">
        <v>43830</v>
      </c>
      <c r="H1150" s="151"/>
      <c r="I1150" s="15" t="s">
        <v>23</v>
      </c>
      <c r="J1150" s="14" t="s">
        <v>23</v>
      </c>
      <c r="K1150" s="14" t="s">
        <v>23</v>
      </c>
      <c r="L1150" s="5" t="s">
        <v>23</v>
      </c>
      <c r="M1150" s="5" t="s">
        <v>23</v>
      </c>
      <c r="N1150" s="5" t="s">
        <v>23</v>
      </c>
      <c r="O1150" s="13">
        <v>2122.25</v>
      </c>
      <c r="P1150" s="152"/>
      <c r="S1150" s="18"/>
    </row>
    <row r="1151" spans="1:19" s="17" customFormat="1" ht="18.95" customHeight="1" outlineLevel="1" x14ac:dyDescent="0.25">
      <c r="A1151" s="146" t="s">
        <v>116</v>
      </c>
      <c r="B1151" s="193" t="s">
        <v>507</v>
      </c>
      <c r="C1151" s="146" t="s">
        <v>284</v>
      </c>
      <c r="D1151" s="137">
        <v>42723</v>
      </c>
      <c r="E1151" s="137" t="s">
        <v>695</v>
      </c>
      <c r="F1151" s="12">
        <v>43466</v>
      </c>
      <c r="G1151" s="12">
        <v>43646</v>
      </c>
      <c r="H1151" s="146" t="s">
        <v>797</v>
      </c>
      <c r="I1151" s="13">
        <v>2019.3</v>
      </c>
      <c r="J1151" s="14" t="s">
        <v>23</v>
      </c>
      <c r="K1151" s="14" t="s">
        <v>23</v>
      </c>
      <c r="L1151" s="5" t="s">
        <v>23</v>
      </c>
      <c r="M1151" s="5" t="s">
        <v>23</v>
      </c>
      <c r="N1151" s="5" t="s">
        <v>23</v>
      </c>
      <c r="O1151" s="4" t="s">
        <v>23</v>
      </c>
      <c r="P1151" s="144"/>
      <c r="S1151" s="18"/>
    </row>
    <row r="1152" spans="1:19" s="17" customFormat="1" ht="18.95" customHeight="1" outlineLevel="1" x14ac:dyDescent="0.25">
      <c r="A1152" s="148"/>
      <c r="B1152" s="194"/>
      <c r="C1152" s="148"/>
      <c r="D1152" s="141"/>
      <c r="E1152" s="141"/>
      <c r="F1152" s="12">
        <v>43647</v>
      </c>
      <c r="G1152" s="12">
        <v>43830</v>
      </c>
      <c r="H1152" s="147"/>
      <c r="I1152" s="13">
        <v>2069.86</v>
      </c>
      <c r="J1152" s="14" t="s">
        <v>23</v>
      </c>
      <c r="K1152" s="14" t="s">
        <v>23</v>
      </c>
      <c r="L1152" s="5" t="s">
        <v>23</v>
      </c>
      <c r="M1152" s="5" t="s">
        <v>23</v>
      </c>
      <c r="N1152" s="5" t="s">
        <v>23</v>
      </c>
      <c r="O1152" s="4" t="s">
        <v>23</v>
      </c>
      <c r="P1152" s="145"/>
      <c r="S1152" s="18"/>
    </row>
    <row r="1153" spans="1:19" s="17" customFormat="1" ht="18.95" customHeight="1" outlineLevel="1" x14ac:dyDescent="0.25">
      <c r="A1153" s="148"/>
      <c r="B1153" s="194"/>
      <c r="C1153" s="148"/>
      <c r="D1153" s="137">
        <v>43454</v>
      </c>
      <c r="E1153" s="137" t="s">
        <v>796</v>
      </c>
      <c r="F1153" s="12">
        <v>43466</v>
      </c>
      <c r="G1153" s="12">
        <v>43646</v>
      </c>
      <c r="H1153" s="149"/>
      <c r="I1153" s="15" t="s">
        <v>23</v>
      </c>
      <c r="J1153" s="14" t="s">
        <v>23</v>
      </c>
      <c r="K1153" s="14" t="s">
        <v>23</v>
      </c>
      <c r="L1153" s="5" t="s">
        <v>23</v>
      </c>
      <c r="M1153" s="5" t="s">
        <v>23</v>
      </c>
      <c r="N1153" s="5" t="s">
        <v>23</v>
      </c>
      <c r="O1153" s="13">
        <v>2004.65</v>
      </c>
      <c r="P1153" s="144"/>
      <c r="S1153" s="18"/>
    </row>
    <row r="1154" spans="1:19" s="17" customFormat="1" ht="18.95" customHeight="1" outlineLevel="1" x14ac:dyDescent="0.25">
      <c r="A1154" s="147"/>
      <c r="B1154" s="195"/>
      <c r="C1154" s="148"/>
      <c r="D1154" s="141"/>
      <c r="E1154" s="141"/>
      <c r="F1154" s="12">
        <v>43647</v>
      </c>
      <c r="G1154" s="12">
        <v>43830</v>
      </c>
      <c r="H1154" s="151"/>
      <c r="I1154" s="15" t="s">
        <v>23</v>
      </c>
      <c r="J1154" s="14" t="s">
        <v>23</v>
      </c>
      <c r="K1154" s="14" t="s">
        <v>23</v>
      </c>
      <c r="L1154" s="5" t="s">
        <v>23</v>
      </c>
      <c r="M1154" s="5" t="s">
        <v>23</v>
      </c>
      <c r="N1154" s="5" t="s">
        <v>23</v>
      </c>
      <c r="O1154" s="13">
        <v>2044.74</v>
      </c>
      <c r="P1154" s="145"/>
      <c r="S1154" s="18"/>
    </row>
    <row r="1155" spans="1:19" s="17" customFormat="1" ht="18.95" customHeight="1" outlineLevel="1" x14ac:dyDescent="0.25">
      <c r="A1155" s="146" t="s">
        <v>116</v>
      </c>
      <c r="B1155" s="146" t="s">
        <v>508</v>
      </c>
      <c r="C1155" s="148"/>
      <c r="D1155" s="137">
        <v>42723</v>
      </c>
      <c r="E1155" s="137" t="s">
        <v>695</v>
      </c>
      <c r="F1155" s="12">
        <v>43466</v>
      </c>
      <c r="G1155" s="12">
        <v>43646</v>
      </c>
      <c r="H1155" s="146" t="s">
        <v>797</v>
      </c>
      <c r="I1155" s="13">
        <v>2019.3</v>
      </c>
      <c r="J1155" s="14" t="s">
        <v>23</v>
      </c>
      <c r="K1155" s="14" t="s">
        <v>23</v>
      </c>
      <c r="L1155" s="5" t="s">
        <v>23</v>
      </c>
      <c r="M1155" s="5" t="s">
        <v>23</v>
      </c>
      <c r="N1155" s="5" t="s">
        <v>23</v>
      </c>
      <c r="O1155" s="4" t="s">
        <v>23</v>
      </c>
      <c r="P1155" s="144"/>
      <c r="S1155" s="18"/>
    </row>
    <row r="1156" spans="1:19" s="17" customFormat="1" ht="18.95" customHeight="1" outlineLevel="1" x14ac:dyDescent="0.25">
      <c r="A1156" s="148"/>
      <c r="B1156" s="148"/>
      <c r="C1156" s="148"/>
      <c r="D1156" s="141"/>
      <c r="E1156" s="141"/>
      <c r="F1156" s="12">
        <v>43647</v>
      </c>
      <c r="G1156" s="12">
        <v>43830</v>
      </c>
      <c r="H1156" s="147"/>
      <c r="I1156" s="13">
        <v>2069.86</v>
      </c>
      <c r="J1156" s="14" t="s">
        <v>23</v>
      </c>
      <c r="K1156" s="14" t="s">
        <v>23</v>
      </c>
      <c r="L1156" s="5" t="s">
        <v>23</v>
      </c>
      <c r="M1156" s="5" t="s">
        <v>23</v>
      </c>
      <c r="N1156" s="5" t="s">
        <v>23</v>
      </c>
      <c r="O1156" s="4" t="s">
        <v>23</v>
      </c>
      <c r="P1156" s="145"/>
      <c r="S1156" s="18"/>
    </row>
    <row r="1157" spans="1:19" s="17" customFormat="1" ht="18.95" customHeight="1" outlineLevel="1" x14ac:dyDescent="0.25">
      <c r="A1157" s="148"/>
      <c r="B1157" s="148"/>
      <c r="C1157" s="148"/>
      <c r="D1157" s="137">
        <v>43454</v>
      </c>
      <c r="E1157" s="137" t="s">
        <v>796</v>
      </c>
      <c r="F1157" s="12">
        <v>43466</v>
      </c>
      <c r="G1157" s="12">
        <v>43646</v>
      </c>
      <c r="H1157" s="149"/>
      <c r="I1157" s="15" t="s">
        <v>23</v>
      </c>
      <c r="J1157" s="14" t="s">
        <v>23</v>
      </c>
      <c r="K1157" s="14" t="s">
        <v>23</v>
      </c>
      <c r="L1157" s="5" t="s">
        <v>23</v>
      </c>
      <c r="M1157" s="5" t="s">
        <v>23</v>
      </c>
      <c r="N1157" s="5" t="s">
        <v>23</v>
      </c>
      <c r="O1157" s="13">
        <v>2004.65</v>
      </c>
      <c r="P1157" s="153"/>
      <c r="S1157" s="18"/>
    </row>
    <row r="1158" spans="1:19" s="17" customFormat="1" ht="18.95" customHeight="1" outlineLevel="1" x14ac:dyDescent="0.25">
      <c r="A1158" s="147"/>
      <c r="B1158" s="147"/>
      <c r="C1158" s="147"/>
      <c r="D1158" s="141"/>
      <c r="E1158" s="141"/>
      <c r="F1158" s="12">
        <v>43647</v>
      </c>
      <c r="G1158" s="12">
        <v>43830</v>
      </c>
      <c r="H1158" s="151"/>
      <c r="I1158" s="15" t="s">
        <v>23</v>
      </c>
      <c r="J1158" s="14" t="s">
        <v>23</v>
      </c>
      <c r="K1158" s="14" t="s">
        <v>23</v>
      </c>
      <c r="L1158" s="5" t="s">
        <v>23</v>
      </c>
      <c r="M1158" s="5" t="s">
        <v>23</v>
      </c>
      <c r="N1158" s="5" t="s">
        <v>23</v>
      </c>
      <c r="O1158" s="13">
        <v>2044.74</v>
      </c>
      <c r="P1158" s="152"/>
      <c r="S1158" s="18"/>
    </row>
    <row r="1159" spans="1:19" s="17" customFormat="1" ht="18.95" customHeight="1" outlineLevel="1" x14ac:dyDescent="0.25">
      <c r="A1159" s="146" t="s">
        <v>116</v>
      </c>
      <c r="B1159" s="193" t="s">
        <v>128</v>
      </c>
      <c r="C1159" s="146" t="s">
        <v>283</v>
      </c>
      <c r="D1159" s="137">
        <v>43447</v>
      </c>
      <c r="E1159" s="137" t="s">
        <v>648</v>
      </c>
      <c r="F1159" s="12">
        <v>43466</v>
      </c>
      <c r="G1159" s="12">
        <v>43646</v>
      </c>
      <c r="H1159" s="146"/>
      <c r="I1159" s="13">
        <v>4730.8500000000004</v>
      </c>
      <c r="J1159" s="14" t="s">
        <v>23</v>
      </c>
      <c r="K1159" s="14" t="s">
        <v>23</v>
      </c>
      <c r="L1159" s="5" t="s">
        <v>23</v>
      </c>
      <c r="M1159" s="5" t="s">
        <v>23</v>
      </c>
      <c r="N1159" s="5" t="s">
        <v>23</v>
      </c>
      <c r="O1159" s="4" t="s">
        <v>23</v>
      </c>
      <c r="P1159" s="144"/>
      <c r="S1159" s="18"/>
    </row>
    <row r="1160" spans="1:19" s="17" customFormat="1" ht="18.95" customHeight="1" outlineLevel="1" x14ac:dyDescent="0.25">
      <c r="A1160" s="148"/>
      <c r="B1160" s="194"/>
      <c r="C1160" s="148"/>
      <c r="D1160" s="141"/>
      <c r="E1160" s="141"/>
      <c r="F1160" s="12">
        <v>43647</v>
      </c>
      <c r="G1160" s="12">
        <v>43830</v>
      </c>
      <c r="H1160" s="147"/>
      <c r="I1160" s="13">
        <v>4894.29</v>
      </c>
      <c r="J1160" s="14" t="s">
        <v>23</v>
      </c>
      <c r="K1160" s="14" t="s">
        <v>23</v>
      </c>
      <c r="L1160" s="5" t="s">
        <v>23</v>
      </c>
      <c r="M1160" s="5" t="s">
        <v>23</v>
      </c>
      <c r="N1160" s="5" t="s">
        <v>23</v>
      </c>
      <c r="O1160" s="4" t="s">
        <v>23</v>
      </c>
      <c r="P1160" s="145"/>
      <c r="S1160" s="18"/>
    </row>
    <row r="1161" spans="1:19" s="17" customFormat="1" ht="18.95" customHeight="1" outlineLevel="1" x14ac:dyDescent="0.25">
      <c r="A1161" s="148"/>
      <c r="B1161" s="194"/>
      <c r="C1161" s="148"/>
      <c r="D1161" s="137">
        <v>43454</v>
      </c>
      <c r="E1161" s="137" t="s">
        <v>646</v>
      </c>
      <c r="F1161" s="12">
        <v>43466</v>
      </c>
      <c r="G1161" s="12">
        <v>43646</v>
      </c>
      <c r="H1161" s="149"/>
      <c r="I1161" s="15" t="s">
        <v>23</v>
      </c>
      <c r="J1161" s="14" t="s">
        <v>23</v>
      </c>
      <c r="K1161" s="14" t="s">
        <v>23</v>
      </c>
      <c r="L1161" s="5" t="s">
        <v>23</v>
      </c>
      <c r="M1161" s="5" t="s">
        <v>23</v>
      </c>
      <c r="N1161" s="5" t="s">
        <v>23</v>
      </c>
      <c r="O1161" s="13">
        <v>2348.33</v>
      </c>
      <c r="P1161" s="144"/>
      <c r="S1161" s="18"/>
    </row>
    <row r="1162" spans="1:19" s="17" customFormat="1" ht="18.95" customHeight="1" outlineLevel="1" x14ac:dyDescent="0.25">
      <c r="A1162" s="147"/>
      <c r="B1162" s="195"/>
      <c r="C1162" s="147"/>
      <c r="D1162" s="141"/>
      <c r="E1162" s="141"/>
      <c r="F1162" s="12">
        <v>43647</v>
      </c>
      <c r="G1162" s="12">
        <v>43830</v>
      </c>
      <c r="H1162" s="151"/>
      <c r="I1162" s="15" t="s">
        <v>23</v>
      </c>
      <c r="J1162" s="14" t="s">
        <v>23</v>
      </c>
      <c r="K1162" s="14" t="s">
        <v>23</v>
      </c>
      <c r="L1162" s="5" t="s">
        <v>23</v>
      </c>
      <c r="M1162" s="5" t="s">
        <v>23</v>
      </c>
      <c r="N1162" s="5" t="s">
        <v>23</v>
      </c>
      <c r="O1162" s="13">
        <v>2395.3000000000002</v>
      </c>
      <c r="P1162" s="145"/>
      <c r="S1162" s="18"/>
    </row>
    <row r="1163" spans="1:19" s="17" customFormat="1" ht="18.95" customHeight="1" outlineLevel="1" x14ac:dyDescent="0.25">
      <c r="A1163" s="146" t="s">
        <v>116</v>
      </c>
      <c r="B1163" s="193" t="s">
        <v>509</v>
      </c>
      <c r="C1163" s="146" t="s">
        <v>328</v>
      </c>
      <c r="D1163" s="137">
        <v>43434</v>
      </c>
      <c r="E1163" s="137" t="s">
        <v>649</v>
      </c>
      <c r="F1163" s="12">
        <v>43466</v>
      </c>
      <c r="G1163" s="12">
        <v>43646</v>
      </c>
      <c r="H1163" s="146"/>
      <c r="I1163" s="13">
        <v>3688.43</v>
      </c>
      <c r="J1163" s="14" t="s">
        <v>23</v>
      </c>
      <c r="K1163" s="14" t="s">
        <v>23</v>
      </c>
      <c r="L1163" s="5" t="s">
        <v>23</v>
      </c>
      <c r="M1163" s="5" t="s">
        <v>23</v>
      </c>
      <c r="N1163" s="5" t="s">
        <v>23</v>
      </c>
      <c r="O1163" s="4" t="s">
        <v>23</v>
      </c>
      <c r="P1163" s="153" t="s">
        <v>29</v>
      </c>
      <c r="S1163" s="18"/>
    </row>
    <row r="1164" spans="1:19" s="17" customFormat="1" ht="18.95" customHeight="1" outlineLevel="1" x14ac:dyDescent="0.25">
      <c r="A1164" s="148"/>
      <c r="B1164" s="194"/>
      <c r="C1164" s="148"/>
      <c r="D1164" s="141"/>
      <c r="E1164" s="141"/>
      <c r="F1164" s="12">
        <v>43647</v>
      </c>
      <c r="G1164" s="12">
        <v>43830</v>
      </c>
      <c r="H1164" s="147"/>
      <c r="I1164" s="13">
        <v>3834.19</v>
      </c>
      <c r="J1164" s="14" t="s">
        <v>23</v>
      </c>
      <c r="K1164" s="14" t="s">
        <v>23</v>
      </c>
      <c r="L1164" s="5" t="s">
        <v>23</v>
      </c>
      <c r="M1164" s="5" t="s">
        <v>23</v>
      </c>
      <c r="N1164" s="5" t="s">
        <v>23</v>
      </c>
      <c r="O1164" s="4" t="s">
        <v>23</v>
      </c>
      <c r="P1164" s="169"/>
      <c r="S1164" s="18"/>
    </row>
    <row r="1165" spans="1:19" s="17" customFormat="1" ht="18.95" customHeight="1" outlineLevel="1" x14ac:dyDescent="0.25">
      <c r="A1165" s="148"/>
      <c r="B1165" s="194"/>
      <c r="C1165" s="148"/>
      <c r="D1165" s="137">
        <v>43454</v>
      </c>
      <c r="E1165" s="137" t="s">
        <v>646</v>
      </c>
      <c r="F1165" s="12">
        <v>43466</v>
      </c>
      <c r="G1165" s="12">
        <v>43646</v>
      </c>
      <c r="H1165" s="149"/>
      <c r="I1165" s="15" t="s">
        <v>23</v>
      </c>
      <c r="J1165" s="14" t="s">
        <v>23</v>
      </c>
      <c r="K1165" s="14" t="s">
        <v>23</v>
      </c>
      <c r="L1165" s="5" t="s">
        <v>23</v>
      </c>
      <c r="M1165" s="5" t="s">
        <v>23</v>
      </c>
      <c r="N1165" s="5" t="s">
        <v>23</v>
      </c>
      <c r="O1165" s="13">
        <v>2446.34</v>
      </c>
      <c r="P1165" s="169"/>
      <c r="Q1165" s="67">
        <f>I1163-O1165</f>
        <v>1242.0899999999997</v>
      </c>
      <c r="R1165" s="17">
        <f>Q1165*495.398</f>
        <v>615328.90181999991</v>
      </c>
      <c r="S1165" s="18"/>
    </row>
    <row r="1166" spans="1:19" s="17" customFormat="1" ht="18.95" customHeight="1" outlineLevel="1" x14ac:dyDescent="0.25">
      <c r="A1166" s="147"/>
      <c r="B1166" s="195"/>
      <c r="C1166" s="147"/>
      <c r="D1166" s="141"/>
      <c r="E1166" s="141"/>
      <c r="F1166" s="12">
        <v>43647</v>
      </c>
      <c r="G1166" s="12">
        <v>43830</v>
      </c>
      <c r="H1166" s="151"/>
      <c r="I1166" s="15" t="s">
        <v>23</v>
      </c>
      <c r="J1166" s="14" t="s">
        <v>23</v>
      </c>
      <c r="K1166" s="14" t="s">
        <v>23</v>
      </c>
      <c r="L1166" s="5" t="s">
        <v>23</v>
      </c>
      <c r="M1166" s="5" t="s">
        <v>23</v>
      </c>
      <c r="N1166" s="5" t="s">
        <v>23</v>
      </c>
      <c r="O1166" s="13">
        <v>2495.27</v>
      </c>
      <c r="P1166" s="169"/>
      <c r="S1166" s="18"/>
    </row>
    <row r="1167" spans="1:19" s="17" customFormat="1" ht="18.95" customHeight="1" outlineLevel="1" x14ac:dyDescent="0.25">
      <c r="A1167" s="146" t="s">
        <v>116</v>
      </c>
      <c r="B1167" s="146" t="s">
        <v>532</v>
      </c>
      <c r="C1167" s="146" t="s">
        <v>328</v>
      </c>
      <c r="D1167" s="137">
        <v>43434</v>
      </c>
      <c r="E1167" s="137" t="s">
        <v>649</v>
      </c>
      <c r="F1167" s="12">
        <v>43466</v>
      </c>
      <c r="G1167" s="12">
        <v>43646</v>
      </c>
      <c r="H1167" s="146"/>
      <c r="I1167" s="13">
        <v>3688.43</v>
      </c>
      <c r="J1167" s="14" t="s">
        <v>23</v>
      </c>
      <c r="K1167" s="14" t="s">
        <v>23</v>
      </c>
      <c r="L1167" s="5" t="s">
        <v>23</v>
      </c>
      <c r="M1167" s="5" t="s">
        <v>23</v>
      </c>
      <c r="N1167" s="5" t="s">
        <v>23</v>
      </c>
      <c r="O1167" s="4" t="s">
        <v>23</v>
      </c>
      <c r="P1167" s="153" t="s">
        <v>29</v>
      </c>
      <c r="S1167" s="18"/>
    </row>
    <row r="1168" spans="1:19" s="17" customFormat="1" ht="18.95" customHeight="1" outlineLevel="1" x14ac:dyDescent="0.25">
      <c r="A1168" s="148"/>
      <c r="B1168" s="148"/>
      <c r="C1168" s="148"/>
      <c r="D1168" s="141"/>
      <c r="E1168" s="141"/>
      <c r="F1168" s="12">
        <v>43647</v>
      </c>
      <c r="G1168" s="12">
        <v>43830</v>
      </c>
      <c r="H1168" s="147"/>
      <c r="I1168" s="13">
        <v>3834.19</v>
      </c>
      <c r="J1168" s="14" t="s">
        <v>23</v>
      </c>
      <c r="K1168" s="14" t="s">
        <v>23</v>
      </c>
      <c r="L1168" s="5" t="s">
        <v>23</v>
      </c>
      <c r="M1168" s="5" t="s">
        <v>23</v>
      </c>
      <c r="N1168" s="5" t="s">
        <v>23</v>
      </c>
      <c r="O1168" s="4" t="s">
        <v>23</v>
      </c>
      <c r="P1168" s="169"/>
      <c r="S1168" s="18"/>
    </row>
    <row r="1169" spans="1:19" s="17" customFormat="1" ht="18.95" customHeight="1" outlineLevel="1" x14ac:dyDescent="0.25">
      <c r="A1169" s="148"/>
      <c r="B1169" s="148"/>
      <c r="C1169" s="148"/>
      <c r="D1169" s="137">
        <v>43454</v>
      </c>
      <c r="E1169" s="137" t="s">
        <v>646</v>
      </c>
      <c r="F1169" s="12">
        <v>43466</v>
      </c>
      <c r="G1169" s="12">
        <v>43646</v>
      </c>
      <c r="H1169" s="149"/>
      <c r="I1169" s="15" t="s">
        <v>23</v>
      </c>
      <c r="J1169" s="14" t="s">
        <v>23</v>
      </c>
      <c r="K1169" s="14" t="s">
        <v>23</v>
      </c>
      <c r="L1169" s="5" t="s">
        <v>23</v>
      </c>
      <c r="M1169" s="5" t="s">
        <v>23</v>
      </c>
      <c r="N1169" s="5" t="s">
        <v>23</v>
      </c>
      <c r="O1169" s="13">
        <v>2397.23</v>
      </c>
      <c r="P1169" s="169"/>
      <c r="Q1169" s="67">
        <f>I1167-O1169</f>
        <v>1291.1999999999998</v>
      </c>
      <c r="R1169" s="17">
        <f>Q1169*181.133</f>
        <v>233878.92959999997</v>
      </c>
      <c r="S1169" s="18"/>
    </row>
    <row r="1170" spans="1:19" s="17" customFormat="1" ht="18.95" customHeight="1" outlineLevel="1" x14ac:dyDescent="0.25">
      <c r="A1170" s="147"/>
      <c r="B1170" s="147"/>
      <c r="C1170" s="147"/>
      <c r="D1170" s="141"/>
      <c r="E1170" s="141"/>
      <c r="F1170" s="12">
        <v>43647</v>
      </c>
      <c r="G1170" s="12">
        <v>43830</v>
      </c>
      <c r="H1170" s="151"/>
      <c r="I1170" s="15" t="s">
        <v>23</v>
      </c>
      <c r="J1170" s="14" t="s">
        <v>23</v>
      </c>
      <c r="K1170" s="14" t="s">
        <v>23</v>
      </c>
      <c r="L1170" s="5" t="s">
        <v>23</v>
      </c>
      <c r="M1170" s="5" t="s">
        <v>23</v>
      </c>
      <c r="N1170" s="5" t="s">
        <v>23</v>
      </c>
      <c r="O1170" s="13">
        <v>2445.17</v>
      </c>
      <c r="P1170" s="169"/>
      <c r="S1170" s="18"/>
    </row>
    <row r="1171" spans="1:19" s="17" customFormat="1" ht="18.95" customHeight="1" outlineLevel="1" x14ac:dyDescent="0.25">
      <c r="A1171" s="6">
        <v>14</v>
      </c>
      <c r="B1171" s="6" t="s">
        <v>158</v>
      </c>
      <c r="C1171" s="7"/>
      <c r="D1171" s="7"/>
      <c r="E1171" s="7"/>
      <c r="F1171" s="7"/>
      <c r="G1171" s="7"/>
      <c r="H1171" s="7"/>
      <c r="I1171" s="8"/>
      <c r="J1171" s="31"/>
      <c r="K1171" s="31"/>
      <c r="L1171" s="32"/>
      <c r="M1171" s="32"/>
      <c r="N1171" s="32"/>
      <c r="O1171" s="8"/>
      <c r="P1171" s="9"/>
      <c r="S1171" s="18"/>
    </row>
    <row r="1172" spans="1:19" s="17" customFormat="1" ht="18.95" customHeight="1" outlineLevel="1" x14ac:dyDescent="0.25">
      <c r="A1172" s="146" t="s">
        <v>53</v>
      </c>
      <c r="B1172" s="146" t="s">
        <v>533</v>
      </c>
      <c r="C1172" s="146" t="s">
        <v>500</v>
      </c>
      <c r="D1172" s="137">
        <v>43451</v>
      </c>
      <c r="E1172" s="137" t="s">
        <v>652</v>
      </c>
      <c r="F1172" s="12">
        <v>43466</v>
      </c>
      <c r="G1172" s="12">
        <v>43646</v>
      </c>
      <c r="H1172" s="146"/>
      <c r="I1172" s="13">
        <v>3953.04</v>
      </c>
      <c r="J1172" s="14" t="s">
        <v>23</v>
      </c>
      <c r="K1172" s="14" t="s">
        <v>23</v>
      </c>
      <c r="L1172" s="5" t="s">
        <v>23</v>
      </c>
      <c r="M1172" s="5" t="s">
        <v>23</v>
      </c>
      <c r="N1172" s="5" t="s">
        <v>23</v>
      </c>
      <c r="O1172" s="4" t="s">
        <v>23</v>
      </c>
      <c r="P1172" s="144"/>
      <c r="S1172" s="18"/>
    </row>
    <row r="1173" spans="1:19" s="17" customFormat="1" ht="18.95" customHeight="1" outlineLevel="1" x14ac:dyDescent="0.25">
      <c r="A1173" s="148"/>
      <c r="B1173" s="148"/>
      <c r="C1173" s="148"/>
      <c r="D1173" s="141"/>
      <c r="E1173" s="141"/>
      <c r="F1173" s="12">
        <v>43647</v>
      </c>
      <c r="G1173" s="12">
        <v>43830</v>
      </c>
      <c r="H1173" s="147"/>
      <c r="I1173" s="13">
        <v>3953.18</v>
      </c>
      <c r="J1173" s="14" t="s">
        <v>23</v>
      </c>
      <c r="K1173" s="14" t="s">
        <v>23</v>
      </c>
      <c r="L1173" s="5" t="s">
        <v>23</v>
      </c>
      <c r="M1173" s="5" t="s">
        <v>23</v>
      </c>
      <c r="N1173" s="5" t="s">
        <v>23</v>
      </c>
      <c r="O1173" s="4" t="s">
        <v>23</v>
      </c>
      <c r="P1173" s="145"/>
      <c r="S1173" s="18"/>
    </row>
    <row r="1174" spans="1:19" s="17" customFormat="1" ht="18.95" customHeight="1" outlineLevel="1" x14ac:dyDescent="0.25">
      <c r="A1174" s="148"/>
      <c r="B1174" s="148"/>
      <c r="C1174" s="148"/>
      <c r="D1174" s="137">
        <v>43454</v>
      </c>
      <c r="E1174" s="137" t="s">
        <v>654</v>
      </c>
      <c r="F1174" s="12">
        <v>43466</v>
      </c>
      <c r="G1174" s="12">
        <v>43646</v>
      </c>
      <c r="H1174" s="149"/>
      <c r="I1174" s="15" t="s">
        <v>23</v>
      </c>
      <c r="J1174" s="14" t="s">
        <v>23</v>
      </c>
      <c r="K1174" s="14" t="s">
        <v>23</v>
      </c>
      <c r="L1174" s="5" t="s">
        <v>23</v>
      </c>
      <c r="M1174" s="5" t="s">
        <v>23</v>
      </c>
      <c r="N1174" s="5" t="s">
        <v>23</v>
      </c>
      <c r="O1174" s="13">
        <v>2384.33</v>
      </c>
      <c r="P1174" s="144"/>
      <c r="S1174" s="18"/>
    </row>
    <row r="1175" spans="1:19" s="17" customFormat="1" ht="18.95" customHeight="1" outlineLevel="1" x14ac:dyDescent="0.25">
      <c r="A1175" s="147"/>
      <c r="B1175" s="147"/>
      <c r="C1175" s="148"/>
      <c r="D1175" s="141"/>
      <c r="E1175" s="141"/>
      <c r="F1175" s="12">
        <v>43647</v>
      </c>
      <c r="G1175" s="12">
        <v>43830</v>
      </c>
      <c r="H1175" s="151"/>
      <c r="I1175" s="15" t="s">
        <v>23</v>
      </c>
      <c r="J1175" s="14" t="s">
        <v>23</v>
      </c>
      <c r="K1175" s="14" t="s">
        <v>23</v>
      </c>
      <c r="L1175" s="5" t="s">
        <v>23</v>
      </c>
      <c r="M1175" s="5" t="s">
        <v>23</v>
      </c>
      <c r="N1175" s="5" t="s">
        <v>23</v>
      </c>
      <c r="O1175" s="13">
        <v>2432.02</v>
      </c>
      <c r="P1175" s="145"/>
      <c r="S1175" s="18"/>
    </row>
    <row r="1176" spans="1:19" s="17" customFormat="1" ht="18.95" customHeight="1" outlineLevel="1" x14ac:dyDescent="0.25">
      <c r="A1176" s="146" t="s">
        <v>53</v>
      </c>
      <c r="B1176" s="146" t="s">
        <v>534</v>
      </c>
      <c r="C1176" s="148"/>
      <c r="D1176" s="137">
        <v>43451</v>
      </c>
      <c r="E1176" s="137" t="s">
        <v>652</v>
      </c>
      <c r="F1176" s="12">
        <v>43466</v>
      </c>
      <c r="G1176" s="12">
        <v>43646</v>
      </c>
      <c r="H1176" s="146"/>
      <c r="I1176" s="13">
        <v>3953.04</v>
      </c>
      <c r="J1176" s="14" t="s">
        <v>23</v>
      </c>
      <c r="K1176" s="14" t="s">
        <v>23</v>
      </c>
      <c r="L1176" s="5" t="s">
        <v>23</v>
      </c>
      <c r="M1176" s="5" t="s">
        <v>23</v>
      </c>
      <c r="N1176" s="5" t="s">
        <v>23</v>
      </c>
      <c r="O1176" s="4" t="s">
        <v>23</v>
      </c>
      <c r="P1176" s="144"/>
      <c r="S1176" s="18"/>
    </row>
    <row r="1177" spans="1:19" s="17" customFormat="1" ht="18.95" customHeight="1" outlineLevel="1" x14ac:dyDescent="0.25">
      <c r="A1177" s="148"/>
      <c r="B1177" s="148"/>
      <c r="C1177" s="148"/>
      <c r="D1177" s="141"/>
      <c r="E1177" s="141"/>
      <c r="F1177" s="12">
        <v>43647</v>
      </c>
      <c r="G1177" s="12">
        <v>43830</v>
      </c>
      <c r="H1177" s="147"/>
      <c r="I1177" s="13">
        <v>3953.18</v>
      </c>
      <c r="J1177" s="14" t="s">
        <v>23</v>
      </c>
      <c r="K1177" s="14" t="s">
        <v>23</v>
      </c>
      <c r="L1177" s="5" t="s">
        <v>23</v>
      </c>
      <c r="M1177" s="5" t="s">
        <v>23</v>
      </c>
      <c r="N1177" s="5" t="s">
        <v>23</v>
      </c>
      <c r="O1177" s="4" t="s">
        <v>23</v>
      </c>
      <c r="P1177" s="145"/>
      <c r="S1177" s="18"/>
    </row>
    <row r="1178" spans="1:19" s="17" customFormat="1" ht="18.95" customHeight="1" outlineLevel="1" x14ac:dyDescent="0.25">
      <c r="A1178" s="148"/>
      <c r="B1178" s="148"/>
      <c r="C1178" s="148"/>
      <c r="D1178" s="137">
        <v>43454</v>
      </c>
      <c r="E1178" s="137" t="s">
        <v>654</v>
      </c>
      <c r="F1178" s="12">
        <v>43466</v>
      </c>
      <c r="G1178" s="12">
        <v>43646</v>
      </c>
      <c r="H1178" s="149"/>
      <c r="I1178" s="15" t="s">
        <v>23</v>
      </c>
      <c r="J1178" s="14" t="s">
        <v>23</v>
      </c>
      <c r="K1178" s="14" t="s">
        <v>23</v>
      </c>
      <c r="L1178" s="5" t="s">
        <v>23</v>
      </c>
      <c r="M1178" s="5" t="s">
        <v>23</v>
      </c>
      <c r="N1178" s="5" t="s">
        <v>23</v>
      </c>
      <c r="O1178" s="13">
        <v>1335.34</v>
      </c>
      <c r="P1178" s="144"/>
      <c r="S1178" s="18"/>
    </row>
    <row r="1179" spans="1:19" s="17" customFormat="1" ht="18.95" customHeight="1" outlineLevel="1" x14ac:dyDescent="0.25">
      <c r="A1179" s="147"/>
      <c r="B1179" s="147"/>
      <c r="C1179" s="148"/>
      <c r="D1179" s="141"/>
      <c r="E1179" s="141"/>
      <c r="F1179" s="12">
        <v>43647</v>
      </c>
      <c r="G1179" s="12">
        <v>43830</v>
      </c>
      <c r="H1179" s="151"/>
      <c r="I1179" s="15" t="s">
        <v>23</v>
      </c>
      <c r="J1179" s="14" t="s">
        <v>23</v>
      </c>
      <c r="K1179" s="14" t="s">
        <v>23</v>
      </c>
      <c r="L1179" s="5" t="s">
        <v>23</v>
      </c>
      <c r="M1179" s="5" t="s">
        <v>23</v>
      </c>
      <c r="N1179" s="5" t="s">
        <v>23</v>
      </c>
      <c r="O1179" s="13">
        <v>1362.05</v>
      </c>
      <c r="P1179" s="145"/>
      <c r="S1179" s="18"/>
    </row>
    <row r="1180" spans="1:19" s="17" customFormat="1" ht="18.95" customHeight="1" outlineLevel="1" x14ac:dyDescent="0.25">
      <c r="A1180" s="146" t="s">
        <v>53</v>
      </c>
      <c r="B1180" s="146" t="s">
        <v>535</v>
      </c>
      <c r="C1180" s="148"/>
      <c r="D1180" s="137">
        <v>43451</v>
      </c>
      <c r="E1180" s="137" t="s">
        <v>652</v>
      </c>
      <c r="F1180" s="12">
        <v>43466</v>
      </c>
      <c r="G1180" s="12">
        <v>43646</v>
      </c>
      <c r="H1180" s="146"/>
      <c r="I1180" s="13">
        <v>3953.04</v>
      </c>
      <c r="J1180" s="14" t="s">
        <v>23</v>
      </c>
      <c r="K1180" s="14" t="s">
        <v>23</v>
      </c>
      <c r="L1180" s="5" t="s">
        <v>23</v>
      </c>
      <c r="M1180" s="5" t="s">
        <v>23</v>
      </c>
      <c r="N1180" s="5" t="s">
        <v>23</v>
      </c>
      <c r="O1180" s="4" t="s">
        <v>23</v>
      </c>
      <c r="P1180" s="144"/>
      <c r="S1180" s="18"/>
    </row>
    <row r="1181" spans="1:19" s="17" customFormat="1" ht="18.95" customHeight="1" outlineLevel="1" x14ac:dyDescent="0.25">
      <c r="A1181" s="148"/>
      <c r="B1181" s="148"/>
      <c r="C1181" s="148"/>
      <c r="D1181" s="141"/>
      <c r="E1181" s="141"/>
      <c r="F1181" s="12">
        <v>43647</v>
      </c>
      <c r="G1181" s="12">
        <v>43830</v>
      </c>
      <c r="H1181" s="147"/>
      <c r="I1181" s="13">
        <v>3953.18</v>
      </c>
      <c r="J1181" s="14" t="s">
        <v>23</v>
      </c>
      <c r="K1181" s="14" t="s">
        <v>23</v>
      </c>
      <c r="L1181" s="5" t="s">
        <v>23</v>
      </c>
      <c r="M1181" s="5" t="s">
        <v>23</v>
      </c>
      <c r="N1181" s="5" t="s">
        <v>23</v>
      </c>
      <c r="O1181" s="4" t="s">
        <v>23</v>
      </c>
      <c r="P1181" s="145"/>
      <c r="S1181" s="18"/>
    </row>
    <row r="1182" spans="1:19" s="17" customFormat="1" ht="18.95" customHeight="1" outlineLevel="1" x14ac:dyDescent="0.25">
      <c r="A1182" s="148"/>
      <c r="B1182" s="148"/>
      <c r="C1182" s="148"/>
      <c r="D1182" s="137">
        <v>43454</v>
      </c>
      <c r="E1182" s="137" t="s">
        <v>654</v>
      </c>
      <c r="F1182" s="12">
        <v>43466</v>
      </c>
      <c r="G1182" s="12">
        <v>43646</v>
      </c>
      <c r="H1182" s="149"/>
      <c r="I1182" s="15" t="s">
        <v>23</v>
      </c>
      <c r="J1182" s="14" t="s">
        <v>23</v>
      </c>
      <c r="K1182" s="14" t="s">
        <v>23</v>
      </c>
      <c r="L1182" s="5" t="s">
        <v>23</v>
      </c>
      <c r="M1182" s="5" t="s">
        <v>23</v>
      </c>
      <c r="N1182" s="5" t="s">
        <v>23</v>
      </c>
      <c r="O1182" s="13">
        <v>2251.63</v>
      </c>
      <c r="P1182" s="144"/>
      <c r="S1182" s="18"/>
    </row>
    <row r="1183" spans="1:19" s="17" customFormat="1" ht="18.95" customHeight="1" outlineLevel="1" x14ac:dyDescent="0.25">
      <c r="A1183" s="147"/>
      <c r="B1183" s="147"/>
      <c r="C1183" s="148"/>
      <c r="D1183" s="141"/>
      <c r="E1183" s="141"/>
      <c r="F1183" s="12">
        <v>43647</v>
      </c>
      <c r="G1183" s="12">
        <v>43830</v>
      </c>
      <c r="H1183" s="151"/>
      <c r="I1183" s="15" t="s">
        <v>23</v>
      </c>
      <c r="J1183" s="14" t="s">
        <v>23</v>
      </c>
      <c r="K1183" s="14" t="s">
        <v>23</v>
      </c>
      <c r="L1183" s="5" t="s">
        <v>23</v>
      </c>
      <c r="M1183" s="5" t="s">
        <v>23</v>
      </c>
      <c r="N1183" s="5" t="s">
        <v>23</v>
      </c>
      <c r="O1183" s="13">
        <v>2296.66</v>
      </c>
      <c r="P1183" s="145"/>
      <c r="S1183" s="18"/>
    </row>
    <row r="1184" spans="1:19" s="17" customFormat="1" ht="18.95" customHeight="1" outlineLevel="1" x14ac:dyDescent="0.25">
      <c r="A1184" s="146" t="s">
        <v>53</v>
      </c>
      <c r="B1184" s="146" t="s">
        <v>653</v>
      </c>
      <c r="C1184" s="148"/>
      <c r="D1184" s="137">
        <v>43451</v>
      </c>
      <c r="E1184" s="137" t="s">
        <v>652</v>
      </c>
      <c r="F1184" s="12">
        <v>43466</v>
      </c>
      <c r="G1184" s="12">
        <v>43646</v>
      </c>
      <c r="H1184" s="146" t="s">
        <v>669</v>
      </c>
      <c r="I1184" s="13">
        <v>3953.04</v>
      </c>
      <c r="J1184" s="14" t="s">
        <v>23</v>
      </c>
      <c r="K1184" s="14" t="s">
        <v>23</v>
      </c>
      <c r="L1184" s="5" t="s">
        <v>23</v>
      </c>
      <c r="M1184" s="5" t="s">
        <v>23</v>
      </c>
      <c r="N1184" s="5" t="s">
        <v>23</v>
      </c>
      <c r="O1184" s="4" t="s">
        <v>23</v>
      </c>
      <c r="P1184" s="144"/>
      <c r="S1184" s="18"/>
    </row>
    <row r="1185" spans="1:19" s="17" customFormat="1" ht="18.95" customHeight="1" outlineLevel="1" x14ac:dyDescent="0.25">
      <c r="A1185" s="148"/>
      <c r="B1185" s="148"/>
      <c r="C1185" s="148"/>
      <c r="D1185" s="141"/>
      <c r="E1185" s="141"/>
      <c r="F1185" s="12">
        <v>43647</v>
      </c>
      <c r="G1185" s="12">
        <v>43830</v>
      </c>
      <c r="H1185" s="147"/>
      <c r="I1185" s="13">
        <v>3953.18</v>
      </c>
      <c r="J1185" s="14" t="s">
        <v>23</v>
      </c>
      <c r="K1185" s="14" t="s">
        <v>23</v>
      </c>
      <c r="L1185" s="5" t="s">
        <v>23</v>
      </c>
      <c r="M1185" s="5" t="s">
        <v>23</v>
      </c>
      <c r="N1185" s="5" t="s">
        <v>23</v>
      </c>
      <c r="O1185" s="4" t="s">
        <v>23</v>
      </c>
      <c r="P1185" s="145"/>
      <c r="S1185" s="18"/>
    </row>
    <row r="1186" spans="1:19" s="17" customFormat="1" ht="18.95" customHeight="1" outlineLevel="1" x14ac:dyDescent="0.25">
      <c r="A1186" s="148"/>
      <c r="B1186" s="148"/>
      <c r="C1186" s="148"/>
      <c r="D1186" s="137">
        <v>43454</v>
      </c>
      <c r="E1186" s="137" t="s">
        <v>654</v>
      </c>
      <c r="F1186" s="12">
        <v>43466</v>
      </c>
      <c r="G1186" s="12">
        <v>43646</v>
      </c>
      <c r="H1186" s="149"/>
      <c r="I1186" s="15" t="s">
        <v>23</v>
      </c>
      <c r="J1186" s="14" t="s">
        <v>23</v>
      </c>
      <c r="K1186" s="14" t="s">
        <v>23</v>
      </c>
      <c r="L1186" s="5" t="s">
        <v>23</v>
      </c>
      <c r="M1186" s="5" t="s">
        <v>23</v>
      </c>
      <c r="N1186" s="5" t="s">
        <v>23</v>
      </c>
      <c r="O1186" s="13">
        <v>2289.79</v>
      </c>
      <c r="P1186" s="144" t="s">
        <v>444</v>
      </c>
      <c r="S1186" s="18"/>
    </row>
    <row r="1187" spans="1:19" s="17" customFormat="1" ht="18.95" customHeight="1" outlineLevel="1" x14ac:dyDescent="0.25">
      <c r="A1187" s="148"/>
      <c r="B1187" s="148"/>
      <c r="C1187" s="148"/>
      <c r="D1187" s="138"/>
      <c r="E1187" s="138"/>
      <c r="F1187" s="12">
        <v>43647</v>
      </c>
      <c r="G1187" s="12">
        <v>43830</v>
      </c>
      <c r="H1187" s="151"/>
      <c r="I1187" s="15" t="s">
        <v>23</v>
      </c>
      <c r="J1187" s="14" t="s">
        <v>23</v>
      </c>
      <c r="K1187" s="14" t="s">
        <v>23</v>
      </c>
      <c r="L1187" s="5" t="s">
        <v>23</v>
      </c>
      <c r="M1187" s="5" t="s">
        <v>23</v>
      </c>
      <c r="N1187" s="5" t="s">
        <v>23</v>
      </c>
      <c r="O1187" s="13">
        <v>2335.59</v>
      </c>
      <c r="P1187" s="145"/>
      <c r="S1187" s="18"/>
    </row>
    <row r="1188" spans="1:19" s="17" customFormat="1" ht="18.95" customHeight="1" outlineLevel="1" x14ac:dyDescent="0.25">
      <c r="A1188" s="148"/>
      <c r="B1188" s="148"/>
      <c r="C1188" s="148"/>
      <c r="D1188" s="138"/>
      <c r="E1188" s="138"/>
      <c r="F1188" s="12">
        <v>43831</v>
      </c>
      <c r="G1188" s="12">
        <v>44012</v>
      </c>
      <c r="H1188" s="149" t="s">
        <v>670</v>
      </c>
      <c r="I1188" s="79"/>
      <c r="J1188" s="78"/>
      <c r="K1188" s="78"/>
      <c r="L1188" s="80"/>
      <c r="M1188" s="80"/>
      <c r="N1188" s="80"/>
      <c r="O1188" s="26">
        <v>1777.4</v>
      </c>
      <c r="P1188" s="144" t="s">
        <v>446</v>
      </c>
      <c r="S1188" s="18"/>
    </row>
    <row r="1189" spans="1:19" s="17" customFormat="1" ht="18.95" customHeight="1" outlineLevel="1" x14ac:dyDescent="0.25">
      <c r="A1189" s="147"/>
      <c r="B1189" s="147"/>
      <c r="C1189" s="147"/>
      <c r="D1189" s="141"/>
      <c r="E1189" s="141"/>
      <c r="F1189" s="12">
        <v>44013</v>
      </c>
      <c r="G1189" s="12">
        <v>44196</v>
      </c>
      <c r="H1189" s="151"/>
      <c r="I1189" s="79"/>
      <c r="J1189" s="78"/>
      <c r="K1189" s="78"/>
      <c r="L1189" s="80"/>
      <c r="M1189" s="80"/>
      <c r="N1189" s="80"/>
      <c r="O1189" s="26">
        <v>1812.95</v>
      </c>
      <c r="P1189" s="145"/>
      <c r="S1189" s="18"/>
    </row>
    <row r="1190" spans="1:19" s="17" customFormat="1" ht="18.95" customHeight="1" outlineLevel="1" x14ac:dyDescent="0.25">
      <c r="A1190" s="146" t="s">
        <v>53</v>
      </c>
      <c r="B1190" s="146" t="s">
        <v>510</v>
      </c>
      <c r="C1190" s="146" t="s">
        <v>501</v>
      </c>
      <c r="D1190" s="137">
        <v>43454</v>
      </c>
      <c r="E1190" s="137" t="s">
        <v>655</v>
      </c>
      <c r="F1190" s="12">
        <v>43466</v>
      </c>
      <c r="G1190" s="12">
        <v>43646</v>
      </c>
      <c r="H1190" s="146"/>
      <c r="I1190" s="13">
        <v>5773.13</v>
      </c>
      <c r="J1190" s="14" t="s">
        <v>23</v>
      </c>
      <c r="K1190" s="14" t="s">
        <v>23</v>
      </c>
      <c r="L1190" s="5" t="s">
        <v>23</v>
      </c>
      <c r="M1190" s="5" t="s">
        <v>23</v>
      </c>
      <c r="N1190" s="5" t="s">
        <v>23</v>
      </c>
      <c r="O1190" s="4" t="s">
        <v>23</v>
      </c>
      <c r="P1190" s="144"/>
      <c r="S1190" s="18"/>
    </row>
    <row r="1191" spans="1:19" s="17" customFormat="1" ht="18.95" customHeight="1" outlineLevel="1" x14ac:dyDescent="0.25">
      <c r="A1191" s="148"/>
      <c r="B1191" s="148"/>
      <c r="C1191" s="148"/>
      <c r="D1191" s="141"/>
      <c r="E1191" s="141"/>
      <c r="F1191" s="12">
        <v>43647</v>
      </c>
      <c r="G1191" s="12">
        <v>43830</v>
      </c>
      <c r="H1191" s="147"/>
      <c r="I1191" s="13">
        <v>5773.13</v>
      </c>
      <c r="J1191" s="14" t="s">
        <v>23</v>
      </c>
      <c r="K1191" s="14" t="s">
        <v>23</v>
      </c>
      <c r="L1191" s="5" t="s">
        <v>23</v>
      </c>
      <c r="M1191" s="5" t="s">
        <v>23</v>
      </c>
      <c r="N1191" s="5" t="s">
        <v>23</v>
      </c>
      <c r="O1191" s="4" t="s">
        <v>23</v>
      </c>
      <c r="P1191" s="145"/>
      <c r="S1191" s="18"/>
    </row>
    <row r="1192" spans="1:19" s="17" customFormat="1" ht="18.95" customHeight="1" outlineLevel="1" x14ac:dyDescent="0.25">
      <c r="A1192" s="148"/>
      <c r="B1192" s="148"/>
      <c r="C1192" s="148"/>
      <c r="D1192" s="137">
        <v>43454</v>
      </c>
      <c r="E1192" s="137" t="s">
        <v>654</v>
      </c>
      <c r="F1192" s="12">
        <v>43466</v>
      </c>
      <c r="G1192" s="12">
        <v>43646</v>
      </c>
      <c r="H1192" s="149"/>
      <c r="I1192" s="15" t="s">
        <v>23</v>
      </c>
      <c r="J1192" s="14" t="s">
        <v>23</v>
      </c>
      <c r="K1192" s="14" t="s">
        <v>23</v>
      </c>
      <c r="L1192" s="5" t="s">
        <v>23</v>
      </c>
      <c r="M1192" s="5" t="s">
        <v>23</v>
      </c>
      <c r="N1192" s="5" t="s">
        <v>23</v>
      </c>
      <c r="O1192" s="13">
        <v>2331.44</v>
      </c>
      <c r="P1192" s="144" t="s">
        <v>444</v>
      </c>
      <c r="S1192" s="18"/>
    </row>
    <row r="1193" spans="1:19" s="17" customFormat="1" ht="18.95" customHeight="1" outlineLevel="1" x14ac:dyDescent="0.25">
      <c r="A1193" s="148"/>
      <c r="B1193" s="148"/>
      <c r="C1193" s="148"/>
      <c r="D1193" s="138"/>
      <c r="E1193" s="138"/>
      <c r="F1193" s="12">
        <v>43647</v>
      </c>
      <c r="G1193" s="12">
        <v>43830</v>
      </c>
      <c r="H1193" s="150"/>
      <c r="I1193" s="15" t="s">
        <v>23</v>
      </c>
      <c r="J1193" s="14" t="s">
        <v>23</v>
      </c>
      <c r="K1193" s="14" t="s">
        <v>23</v>
      </c>
      <c r="L1193" s="5" t="s">
        <v>23</v>
      </c>
      <c r="M1193" s="5" t="s">
        <v>23</v>
      </c>
      <c r="N1193" s="5" t="s">
        <v>23</v>
      </c>
      <c r="O1193" s="13">
        <v>2378.0700000000002</v>
      </c>
      <c r="P1193" s="145"/>
      <c r="S1193" s="18"/>
    </row>
    <row r="1194" spans="1:19" s="17" customFormat="1" ht="18.95" customHeight="1" outlineLevel="1" x14ac:dyDescent="0.25">
      <c r="A1194" s="148"/>
      <c r="B1194" s="148"/>
      <c r="C1194" s="148"/>
      <c r="D1194" s="138"/>
      <c r="E1194" s="138"/>
      <c r="F1194" s="12">
        <v>43466</v>
      </c>
      <c r="G1194" s="12">
        <v>43646</v>
      </c>
      <c r="H1194" s="150"/>
      <c r="I1194" s="15" t="s">
        <v>23</v>
      </c>
      <c r="J1194" s="14" t="s">
        <v>23</v>
      </c>
      <c r="K1194" s="14" t="s">
        <v>23</v>
      </c>
      <c r="L1194" s="5" t="s">
        <v>23</v>
      </c>
      <c r="M1194" s="5" t="s">
        <v>23</v>
      </c>
      <c r="N1194" s="5" t="s">
        <v>23</v>
      </c>
      <c r="O1194" s="13">
        <v>1771.46</v>
      </c>
      <c r="P1194" s="144" t="s">
        <v>446</v>
      </c>
      <c r="S1194" s="18"/>
    </row>
    <row r="1195" spans="1:19" s="17" customFormat="1" ht="18.95" customHeight="1" outlineLevel="1" x14ac:dyDescent="0.25">
      <c r="A1195" s="147"/>
      <c r="B1195" s="147"/>
      <c r="C1195" s="147"/>
      <c r="D1195" s="141"/>
      <c r="E1195" s="141"/>
      <c r="F1195" s="12">
        <v>43647</v>
      </c>
      <c r="G1195" s="12">
        <v>43830</v>
      </c>
      <c r="H1195" s="151"/>
      <c r="I1195" s="15" t="s">
        <v>23</v>
      </c>
      <c r="J1195" s="14" t="s">
        <v>23</v>
      </c>
      <c r="K1195" s="14" t="s">
        <v>23</v>
      </c>
      <c r="L1195" s="5" t="s">
        <v>23</v>
      </c>
      <c r="M1195" s="5" t="s">
        <v>23</v>
      </c>
      <c r="N1195" s="5" t="s">
        <v>23</v>
      </c>
      <c r="O1195" s="13">
        <v>1806.89</v>
      </c>
      <c r="P1195" s="145"/>
      <c r="S1195" s="18"/>
    </row>
    <row r="1196" spans="1:19" s="17" customFormat="1" ht="18.95" customHeight="1" outlineLevel="1" x14ac:dyDescent="0.25">
      <c r="A1196" s="146" t="s">
        <v>53</v>
      </c>
      <c r="B1196" s="146" t="s">
        <v>536</v>
      </c>
      <c r="C1196" s="146" t="s">
        <v>285</v>
      </c>
      <c r="D1196" s="137">
        <v>43434</v>
      </c>
      <c r="E1196" s="137" t="s">
        <v>656</v>
      </c>
      <c r="F1196" s="12">
        <v>43466</v>
      </c>
      <c r="G1196" s="12">
        <v>43646</v>
      </c>
      <c r="H1196" s="146"/>
      <c r="I1196" s="13">
        <v>3003.07</v>
      </c>
      <c r="J1196" s="14" t="s">
        <v>23</v>
      </c>
      <c r="K1196" s="14" t="s">
        <v>23</v>
      </c>
      <c r="L1196" s="5" t="s">
        <v>23</v>
      </c>
      <c r="M1196" s="5" t="s">
        <v>23</v>
      </c>
      <c r="N1196" s="5" t="s">
        <v>23</v>
      </c>
      <c r="O1196" s="4" t="s">
        <v>23</v>
      </c>
      <c r="P1196" s="144"/>
      <c r="S1196" s="18"/>
    </row>
    <row r="1197" spans="1:19" s="17" customFormat="1" ht="18.95" customHeight="1" outlineLevel="1" x14ac:dyDescent="0.25">
      <c r="A1197" s="148"/>
      <c r="B1197" s="148"/>
      <c r="C1197" s="148"/>
      <c r="D1197" s="141"/>
      <c r="E1197" s="141"/>
      <c r="F1197" s="12">
        <v>43647</v>
      </c>
      <c r="G1197" s="12">
        <v>43830</v>
      </c>
      <c r="H1197" s="147"/>
      <c r="I1197" s="13">
        <v>3096.96</v>
      </c>
      <c r="J1197" s="14" t="s">
        <v>23</v>
      </c>
      <c r="K1197" s="14" t="s">
        <v>23</v>
      </c>
      <c r="L1197" s="5" t="s">
        <v>23</v>
      </c>
      <c r="M1197" s="5" t="s">
        <v>23</v>
      </c>
      <c r="N1197" s="5" t="s">
        <v>23</v>
      </c>
      <c r="O1197" s="4" t="s">
        <v>23</v>
      </c>
      <c r="P1197" s="145"/>
      <c r="S1197" s="18"/>
    </row>
    <row r="1198" spans="1:19" s="17" customFormat="1" ht="18.95" customHeight="1" outlineLevel="1" x14ac:dyDescent="0.25">
      <c r="A1198" s="148"/>
      <c r="B1198" s="148"/>
      <c r="C1198" s="148"/>
      <c r="D1198" s="137">
        <v>43454</v>
      </c>
      <c r="E1198" s="137" t="s">
        <v>654</v>
      </c>
      <c r="F1198" s="12">
        <v>43466</v>
      </c>
      <c r="G1198" s="12">
        <v>43646</v>
      </c>
      <c r="H1198" s="149"/>
      <c r="I1198" s="15" t="s">
        <v>23</v>
      </c>
      <c r="J1198" s="14" t="s">
        <v>23</v>
      </c>
      <c r="K1198" s="14" t="s">
        <v>23</v>
      </c>
      <c r="L1198" s="5" t="s">
        <v>23</v>
      </c>
      <c r="M1198" s="5" t="s">
        <v>23</v>
      </c>
      <c r="N1198" s="5" t="s">
        <v>23</v>
      </c>
      <c r="O1198" s="13">
        <v>2292.0100000000002</v>
      </c>
      <c r="P1198" s="144"/>
      <c r="S1198" s="18"/>
    </row>
    <row r="1199" spans="1:19" s="17" customFormat="1" ht="18.95" customHeight="1" outlineLevel="1" x14ac:dyDescent="0.25">
      <c r="A1199" s="147"/>
      <c r="B1199" s="147"/>
      <c r="C1199" s="147"/>
      <c r="D1199" s="141"/>
      <c r="E1199" s="141"/>
      <c r="F1199" s="12">
        <v>43647</v>
      </c>
      <c r="G1199" s="12">
        <v>43830</v>
      </c>
      <c r="H1199" s="151"/>
      <c r="I1199" s="15" t="s">
        <v>23</v>
      </c>
      <c r="J1199" s="14" t="s">
        <v>23</v>
      </c>
      <c r="K1199" s="14" t="s">
        <v>23</v>
      </c>
      <c r="L1199" s="5" t="s">
        <v>23</v>
      </c>
      <c r="M1199" s="5" t="s">
        <v>23</v>
      </c>
      <c r="N1199" s="5" t="s">
        <v>23</v>
      </c>
      <c r="O1199" s="13">
        <v>2337.85</v>
      </c>
      <c r="P1199" s="145"/>
      <c r="S1199" s="18"/>
    </row>
    <row r="1200" spans="1:19" s="17" customFormat="1" ht="18.95" customHeight="1" outlineLevel="1" x14ac:dyDescent="0.25">
      <c r="A1200" s="146" t="s">
        <v>53</v>
      </c>
      <c r="B1200" s="146" t="s">
        <v>537</v>
      </c>
      <c r="C1200" s="146" t="s">
        <v>284</v>
      </c>
      <c r="D1200" s="137">
        <v>42723</v>
      </c>
      <c r="E1200" s="137" t="s">
        <v>695</v>
      </c>
      <c r="F1200" s="12">
        <v>43466</v>
      </c>
      <c r="G1200" s="12">
        <v>43646</v>
      </c>
      <c r="H1200" s="146" t="s">
        <v>797</v>
      </c>
      <c r="I1200" s="13">
        <v>2019.3</v>
      </c>
      <c r="J1200" s="14" t="s">
        <v>23</v>
      </c>
      <c r="K1200" s="14" t="s">
        <v>23</v>
      </c>
      <c r="L1200" s="5" t="s">
        <v>23</v>
      </c>
      <c r="M1200" s="5" t="s">
        <v>23</v>
      </c>
      <c r="N1200" s="5" t="s">
        <v>23</v>
      </c>
      <c r="O1200" s="4" t="s">
        <v>23</v>
      </c>
      <c r="P1200" s="144"/>
      <c r="S1200" s="18"/>
    </row>
    <row r="1201" spans="1:19" s="17" customFormat="1" ht="18.95" customHeight="1" outlineLevel="1" x14ac:dyDescent="0.25">
      <c r="A1201" s="148"/>
      <c r="B1201" s="148"/>
      <c r="C1201" s="148"/>
      <c r="D1201" s="141"/>
      <c r="E1201" s="141"/>
      <c r="F1201" s="12">
        <v>43647</v>
      </c>
      <c r="G1201" s="12">
        <v>43830</v>
      </c>
      <c r="H1201" s="147"/>
      <c r="I1201" s="13">
        <v>2069.86</v>
      </c>
      <c r="J1201" s="14" t="s">
        <v>23</v>
      </c>
      <c r="K1201" s="14" t="s">
        <v>23</v>
      </c>
      <c r="L1201" s="5" t="s">
        <v>23</v>
      </c>
      <c r="M1201" s="5" t="s">
        <v>23</v>
      </c>
      <c r="N1201" s="5" t="s">
        <v>23</v>
      </c>
      <c r="O1201" s="4" t="s">
        <v>23</v>
      </c>
      <c r="P1201" s="145"/>
      <c r="S1201" s="18"/>
    </row>
    <row r="1202" spans="1:19" s="17" customFormat="1" ht="18.95" customHeight="1" outlineLevel="1" x14ac:dyDescent="0.25">
      <c r="A1202" s="148"/>
      <c r="B1202" s="148"/>
      <c r="C1202" s="148"/>
      <c r="D1202" s="137">
        <v>43454</v>
      </c>
      <c r="E1202" s="137" t="s">
        <v>796</v>
      </c>
      <c r="F1202" s="12">
        <v>43466</v>
      </c>
      <c r="G1202" s="12">
        <v>43646</v>
      </c>
      <c r="H1202" s="149"/>
      <c r="I1202" s="15" t="s">
        <v>23</v>
      </c>
      <c r="J1202" s="14" t="s">
        <v>23</v>
      </c>
      <c r="K1202" s="14" t="s">
        <v>23</v>
      </c>
      <c r="L1202" s="5" t="s">
        <v>23</v>
      </c>
      <c r="M1202" s="5" t="s">
        <v>23</v>
      </c>
      <c r="N1202" s="5" t="s">
        <v>23</v>
      </c>
      <c r="O1202" s="13">
        <v>2289.79</v>
      </c>
      <c r="P1202" s="144"/>
      <c r="S1202" s="18"/>
    </row>
    <row r="1203" spans="1:19" s="17" customFormat="1" ht="18.95" customHeight="1" outlineLevel="1" x14ac:dyDescent="0.25">
      <c r="A1203" s="147"/>
      <c r="B1203" s="147"/>
      <c r="C1203" s="148"/>
      <c r="D1203" s="141"/>
      <c r="E1203" s="141"/>
      <c r="F1203" s="12">
        <v>43647</v>
      </c>
      <c r="G1203" s="12">
        <v>43830</v>
      </c>
      <c r="H1203" s="151"/>
      <c r="I1203" s="15" t="s">
        <v>23</v>
      </c>
      <c r="J1203" s="14" t="s">
        <v>23</v>
      </c>
      <c r="K1203" s="14" t="s">
        <v>23</v>
      </c>
      <c r="L1203" s="5" t="s">
        <v>23</v>
      </c>
      <c r="M1203" s="5" t="s">
        <v>23</v>
      </c>
      <c r="N1203" s="5" t="s">
        <v>23</v>
      </c>
      <c r="O1203" s="13">
        <v>2335.59</v>
      </c>
      <c r="P1203" s="145"/>
      <c r="S1203" s="18"/>
    </row>
    <row r="1204" spans="1:19" s="17" customFormat="1" ht="18.95" customHeight="1" outlineLevel="1" x14ac:dyDescent="0.25">
      <c r="A1204" s="146" t="s">
        <v>53</v>
      </c>
      <c r="B1204" s="146" t="s">
        <v>538</v>
      </c>
      <c r="C1204" s="148"/>
      <c r="D1204" s="137">
        <v>42723</v>
      </c>
      <c r="E1204" s="137" t="s">
        <v>695</v>
      </c>
      <c r="F1204" s="12">
        <v>43466</v>
      </c>
      <c r="G1204" s="12">
        <v>43646</v>
      </c>
      <c r="H1204" s="146" t="s">
        <v>797</v>
      </c>
      <c r="I1204" s="13">
        <v>2019.3</v>
      </c>
      <c r="J1204" s="14" t="s">
        <v>23</v>
      </c>
      <c r="K1204" s="14" t="s">
        <v>23</v>
      </c>
      <c r="L1204" s="5" t="s">
        <v>23</v>
      </c>
      <c r="M1204" s="5" t="s">
        <v>23</v>
      </c>
      <c r="N1204" s="5" t="s">
        <v>23</v>
      </c>
      <c r="O1204" s="4" t="s">
        <v>23</v>
      </c>
      <c r="P1204" s="144"/>
      <c r="S1204" s="18"/>
    </row>
    <row r="1205" spans="1:19" s="17" customFormat="1" ht="18.95" customHeight="1" outlineLevel="1" x14ac:dyDescent="0.25">
      <c r="A1205" s="148"/>
      <c r="B1205" s="148"/>
      <c r="C1205" s="148"/>
      <c r="D1205" s="141"/>
      <c r="E1205" s="141"/>
      <c r="F1205" s="12">
        <v>43647</v>
      </c>
      <c r="G1205" s="12">
        <v>43830</v>
      </c>
      <c r="H1205" s="147"/>
      <c r="I1205" s="13">
        <v>2069.86</v>
      </c>
      <c r="J1205" s="14" t="s">
        <v>23</v>
      </c>
      <c r="K1205" s="14" t="s">
        <v>23</v>
      </c>
      <c r="L1205" s="5" t="s">
        <v>23</v>
      </c>
      <c r="M1205" s="5" t="s">
        <v>23</v>
      </c>
      <c r="N1205" s="5" t="s">
        <v>23</v>
      </c>
      <c r="O1205" s="4" t="s">
        <v>23</v>
      </c>
      <c r="P1205" s="145"/>
      <c r="S1205" s="18"/>
    </row>
    <row r="1206" spans="1:19" s="17" customFormat="1" ht="18.95" customHeight="1" outlineLevel="1" x14ac:dyDescent="0.25">
      <c r="A1206" s="148"/>
      <c r="B1206" s="148"/>
      <c r="C1206" s="148"/>
      <c r="D1206" s="137">
        <v>43454</v>
      </c>
      <c r="E1206" s="137" t="s">
        <v>796</v>
      </c>
      <c r="F1206" s="12">
        <v>43466</v>
      </c>
      <c r="G1206" s="12">
        <v>43646</v>
      </c>
      <c r="H1206" s="149"/>
      <c r="I1206" s="15" t="s">
        <v>23</v>
      </c>
      <c r="J1206" s="14" t="s">
        <v>23</v>
      </c>
      <c r="K1206" s="14" t="s">
        <v>23</v>
      </c>
      <c r="L1206" s="5" t="s">
        <v>23</v>
      </c>
      <c r="M1206" s="5" t="s">
        <v>23</v>
      </c>
      <c r="N1206" s="5" t="s">
        <v>23</v>
      </c>
      <c r="O1206" s="13">
        <v>2289.79</v>
      </c>
      <c r="P1206" s="144"/>
      <c r="S1206" s="18"/>
    </row>
    <row r="1207" spans="1:19" s="17" customFormat="1" ht="18.95" customHeight="1" outlineLevel="1" x14ac:dyDescent="0.25">
      <c r="A1207" s="147"/>
      <c r="B1207" s="147"/>
      <c r="C1207" s="148"/>
      <c r="D1207" s="141"/>
      <c r="E1207" s="141"/>
      <c r="F1207" s="12">
        <v>43647</v>
      </c>
      <c r="G1207" s="12">
        <v>43830</v>
      </c>
      <c r="H1207" s="151"/>
      <c r="I1207" s="15" t="s">
        <v>23</v>
      </c>
      <c r="J1207" s="14" t="s">
        <v>23</v>
      </c>
      <c r="K1207" s="14" t="s">
        <v>23</v>
      </c>
      <c r="L1207" s="5" t="s">
        <v>23</v>
      </c>
      <c r="M1207" s="5" t="s">
        <v>23</v>
      </c>
      <c r="N1207" s="5" t="s">
        <v>23</v>
      </c>
      <c r="O1207" s="13">
        <v>2335.59</v>
      </c>
      <c r="P1207" s="145"/>
      <c r="S1207" s="18"/>
    </row>
    <row r="1208" spans="1:19" s="17" customFormat="1" ht="18.95" customHeight="1" outlineLevel="1" x14ac:dyDescent="0.25">
      <c r="A1208" s="146" t="s">
        <v>53</v>
      </c>
      <c r="B1208" s="146" t="s">
        <v>54</v>
      </c>
      <c r="C1208" s="146" t="s">
        <v>448</v>
      </c>
      <c r="D1208" s="137">
        <v>43083</v>
      </c>
      <c r="E1208" s="137" t="s">
        <v>608</v>
      </c>
      <c r="F1208" s="12">
        <v>43466</v>
      </c>
      <c r="G1208" s="12">
        <v>43646</v>
      </c>
      <c r="H1208" s="142" t="s">
        <v>807</v>
      </c>
      <c r="I1208" s="13">
        <v>2872.24</v>
      </c>
      <c r="J1208" s="14" t="s">
        <v>23</v>
      </c>
      <c r="K1208" s="14" t="s">
        <v>23</v>
      </c>
      <c r="L1208" s="5" t="s">
        <v>23</v>
      </c>
      <c r="M1208" s="5" t="s">
        <v>23</v>
      </c>
      <c r="N1208" s="5" t="s">
        <v>23</v>
      </c>
      <c r="O1208" s="4" t="s">
        <v>23</v>
      </c>
      <c r="P1208" s="180" t="s">
        <v>331</v>
      </c>
      <c r="S1208" s="18"/>
    </row>
    <row r="1209" spans="1:19" s="17" customFormat="1" ht="18.95" customHeight="1" outlineLevel="1" x14ac:dyDescent="0.25">
      <c r="A1209" s="148"/>
      <c r="B1209" s="148"/>
      <c r="C1209" s="148"/>
      <c r="D1209" s="141"/>
      <c r="E1209" s="141"/>
      <c r="F1209" s="12">
        <v>43647</v>
      </c>
      <c r="G1209" s="12">
        <v>43830</v>
      </c>
      <c r="H1209" s="143"/>
      <c r="I1209" s="13">
        <v>3270.55</v>
      </c>
      <c r="J1209" s="14" t="s">
        <v>23</v>
      </c>
      <c r="K1209" s="14" t="s">
        <v>23</v>
      </c>
      <c r="L1209" s="5" t="s">
        <v>23</v>
      </c>
      <c r="M1209" s="5" t="s">
        <v>23</v>
      </c>
      <c r="N1209" s="5" t="s">
        <v>23</v>
      </c>
      <c r="O1209" s="4" t="s">
        <v>23</v>
      </c>
      <c r="P1209" s="181"/>
      <c r="S1209" s="18"/>
    </row>
    <row r="1210" spans="1:19" s="17" customFormat="1" ht="18.95" customHeight="1" outlineLevel="1" x14ac:dyDescent="0.25">
      <c r="A1210" s="148"/>
      <c r="B1210" s="148"/>
      <c r="C1210" s="148"/>
      <c r="D1210" s="137">
        <v>43454</v>
      </c>
      <c r="E1210" s="137" t="s">
        <v>808</v>
      </c>
      <c r="F1210" s="12">
        <v>43466</v>
      </c>
      <c r="G1210" s="12">
        <v>43646</v>
      </c>
      <c r="H1210" s="149"/>
      <c r="I1210" s="15" t="s">
        <v>23</v>
      </c>
      <c r="J1210" s="14" t="s">
        <v>23</v>
      </c>
      <c r="K1210" s="14" t="s">
        <v>23</v>
      </c>
      <c r="L1210" s="5" t="s">
        <v>23</v>
      </c>
      <c r="M1210" s="5" t="s">
        <v>23</v>
      </c>
      <c r="N1210" s="5" t="s">
        <v>23</v>
      </c>
      <c r="O1210" s="13">
        <v>2794.23</v>
      </c>
      <c r="P1210" s="181"/>
      <c r="S1210" s="18"/>
    </row>
    <row r="1211" spans="1:19" s="17" customFormat="1" ht="18.95" customHeight="1" outlineLevel="1" x14ac:dyDescent="0.25">
      <c r="A1211" s="148"/>
      <c r="B1211" s="148"/>
      <c r="C1211" s="147"/>
      <c r="D1211" s="141"/>
      <c r="E1211" s="141"/>
      <c r="F1211" s="12">
        <v>43647</v>
      </c>
      <c r="G1211" s="12">
        <v>43830</v>
      </c>
      <c r="H1211" s="151"/>
      <c r="I1211" s="15" t="s">
        <v>23</v>
      </c>
      <c r="J1211" s="14" t="s">
        <v>23</v>
      </c>
      <c r="K1211" s="14" t="s">
        <v>23</v>
      </c>
      <c r="L1211" s="5" t="s">
        <v>23</v>
      </c>
      <c r="M1211" s="5" t="s">
        <v>23</v>
      </c>
      <c r="N1211" s="5" t="s">
        <v>23</v>
      </c>
      <c r="O1211" s="13">
        <v>2794.23</v>
      </c>
      <c r="P1211" s="182"/>
      <c r="S1211" s="18"/>
    </row>
    <row r="1212" spans="1:19" s="17" customFormat="1" ht="18.95" customHeight="1" outlineLevel="1" x14ac:dyDescent="0.25">
      <c r="A1212" s="146" t="s">
        <v>53</v>
      </c>
      <c r="B1212" s="146" t="s">
        <v>539</v>
      </c>
      <c r="C1212" s="146" t="s">
        <v>502</v>
      </c>
      <c r="D1212" s="137">
        <v>43451</v>
      </c>
      <c r="E1212" s="137" t="s">
        <v>667</v>
      </c>
      <c r="F1212" s="12">
        <v>43466</v>
      </c>
      <c r="G1212" s="12">
        <v>43646</v>
      </c>
      <c r="H1212" s="146"/>
      <c r="I1212" s="13">
        <v>3267.95</v>
      </c>
      <c r="J1212" s="14" t="s">
        <v>23</v>
      </c>
      <c r="K1212" s="14" t="s">
        <v>23</v>
      </c>
      <c r="L1212" s="5" t="s">
        <v>23</v>
      </c>
      <c r="M1212" s="5" t="s">
        <v>23</v>
      </c>
      <c r="N1212" s="5" t="s">
        <v>23</v>
      </c>
      <c r="O1212" s="4" t="s">
        <v>23</v>
      </c>
      <c r="P1212" s="199" t="s">
        <v>69</v>
      </c>
      <c r="S1212" s="18"/>
    </row>
    <row r="1213" spans="1:19" s="17" customFormat="1" ht="18.95" customHeight="1" outlineLevel="1" x14ac:dyDescent="0.25">
      <c r="A1213" s="148"/>
      <c r="B1213" s="148"/>
      <c r="C1213" s="148"/>
      <c r="D1213" s="141"/>
      <c r="E1213" s="141"/>
      <c r="F1213" s="12">
        <v>43647</v>
      </c>
      <c r="G1213" s="12">
        <v>43830</v>
      </c>
      <c r="H1213" s="147"/>
      <c r="I1213" s="13">
        <v>3267.95</v>
      </c>
      <c r="J1213" s="14" t="s">
        <v>23</v>
      </c>
      <c r="K1213" s="14" t="s">
        <v>23</v>
      </c>
      <c r="L1213" s="5" t="s">
        <v>23</v>
      </c>
      <c r="M1213" s="5" t="s">
        <v>23</v>
      </c>
      <c r="N1213" s="5" t="s">
        <v>23</v>
      </c>
      <c r="O1213" s="4" t="s">
        <v>23</v>
      </c>
      <c r="P1213" s="200"/>
      <c r="S1213" s="18"/>
    </row>
    <row r="1214" spans="1:19" s="17" customFormat="1" ht="18.95" customHeight="1" outlineLevel="1" x14ac:dyDescent="0.25">
      <c r="A1214" s="148"/>
      <c r="B1214" s="148"/>
      <c r="C1214" s="148"/>
      <c r="D1214" s="137">
        <v>43454</v>
      </c>
      <c r="E1214" s="137" t="s">
        <v>654</v>
      </c>
      <c r="F1214" s="12">
        <v>43466</v>
      </c>
      <c r="G1214" s="12">
        <v>43646</v>
      </c>
      <c r="H1214" s="149"/>
      <c r="I1214" s="15" t="s">
        <v>23</v>
      </c>
      <c r="J1214" s="14" t="s">
        <v>23</v>
      </c>
      <c r="K1214" s="14" t="s">
        <v>23</v>
      </c>
      <c r="L1214" s="5" t="s">
        <v>23</v>
      </c>
      <c r="M1214" s="5" t="s">
        <v>23</v>
      </c>
      <c r="N1214" s="5" t="s">
        <v>23</v>
      </c>
      <c r="O1214" s="13">
        <v>2253.81</v>
      </c>
      <c r="P1214" s="200"/>
      <c r="Q1214" s="67">
        <f>I1212-O1214</f>
        <v>1014.1399999999999</v>
      </c>
      <c r="R1214" s="17">
        <f>Q1214*640.665</f>
        <v>649724.00309999986</v>
      </c>
      <c r="S1214" s="18"/>
    </row>
    <row r="1215" spans="1:19" s="17" customFormat="1" ht="18.95" customHeight="1" outlineLevel="1" x14ac:dyDescent="0.25">
      <c r="A1215" s="147"/>
      <c r="B1215" s="147"/>
      <c r="C1215" s="147"/>
      <c r="D1215" s="141"/>
      <c r="E1215" s="141"/>
      <c r="F1215" s="12">
        <v>43647</v>
      </c>
      <c r="G1215" s="12">
        <v>43830</v>
      </c>
      <c r="H1215" s="151"/>
      <c r="I1215" s="15" t="s">
        <v>23</v>
      </c>
      <c r="J1215" s="14" t="s">
        <v>23</v>
      </c>
      <c r="K1215" s="14" t="s">
        <v>23</v>
      </c>
      <c r="L1215" s="5" t="s">
        <v>23</v>
      </c>
      <c r="M1215" s="5" t="s">
        <v>23</v>
      </c>
      <c r="N1215" s="5" t="s">
        <v>23</v>
      </c>
      <c r="O1215" s="13">
        <v>2298.89</v>
      </c>
      <c r="P1215" s="201"/>
      <c r="S1215" s="18"/>
    </row>
    <row r="1216" spans="1:19" s="17" customFormat="1" ht="18.95" customHeight="1" outlineLevel="1" x14ac:dyDescent="0.25">
      <c r="A1216" s="146" t="s">
        <v>53</v>
      </c>
      <c r="B1216" s="146" t="s">
        <v>540</v>
      </c>
      <c r="C1216" s="146" t="s">
        <v>503</v>
      </c>
      <c r="D1216" s="137">
        <v>43451</v>
      </c>
      <c r="E1216" s="137" t="s">
        <v>666</v>
      </c>
      <c r="F1216" s="12">
        <v>43466</v>
      </c>
      <c r="G1216" s="12">
        <v>43646</v>
      </c>
      <c r="H1216" s="146"/>
      <c r="I1216" s="13">
        <v>4375.71</v>
      </c>
      <c r="J1216" s="14" t="s">
        <v>23</v>
      </c>
      <c r="K1216" s="14" t="s">
        <v>23</v>
      </c>
      <c r="L1216" s="5" t="s">
        <v>23</v>
      </c>
      <c r="M1216" s="5" t="s">
        <v>23</v>
      </c>
      <c r="N1216" s="5" t="s">
        <v>23</v>
      </c>
      <c r="O1216" s="4" t="s">
        <v>23</v>
      </c>
      <c r="P1216" s="199" t="s">
        <v>69</v>
      </c>
      <c r="S1216" s="18"/>
    </row>
    <row r="1217" spans="1:19" s="17" customFormat="1" ht="18.95" customHeight="1" outlineLevel="1" x14ac:dyDescent="0.25">
      <c r="A1217" s="148"/>
      <c r="B1217" s="148"/>
      <c r="C1217" s="148"/>
      <c r="D1217" s="141"/>
      <c r="E1217" s="141"/>
      <c r="F1217" s="12">
        <v>43647</v>
      </c>
      <c r="G1217" s="12">
        <v>43830</v>
      </c>
      <c r="H1217" s="147"/>
      <c r="I1217" s="13">
        <v>4675.57</v>
      </c>
      <c r="J1217" s="14" t="s">
        <v>23</v>
      </c>
      <c r="K1217" s="14" t="s">
        <v>23</v>
      </c>
      <c r="L1217" s="5" t="s">
        <v>23</v>
      </c>
      <c r="M1217" s="5" t="s">
        <v>23</v>
      </c>
      <c r="N1217" s="5" t="s">
        <v>23</v>
      </c>
      <c r="O1217" s="4" t="s">
        <v>23</v>
      </c>
      <c r="P1217" s="200"/>
      <c r="S1217" s="18"/>
    </row>
    <row r="1218" spans="1:19" s="17" customFormat="1" ht="18.95" customHeight="1" outlineLevel="1" x14ac:dyDescent="0.25">
      <c r="A1218" s="148"/>
      <c r="B1218" s="148"/>
      <c r="C1218" s="148"/>
      <c r="D1218" s="137">
        <v>43454</v>
      </c>
      <c r="E1218" s="137" t="s">
        <v>654</v>
      </c>
      <c r="F1218" s="12">
        <v>43466</v>
      </c>
      <c r="G1218" s="12">
        <v>43646</v>
      </c>
      <c r="H1218" s="149"/>
      <c r="I1218" s="15" t="s">
        <v>23</v>
      </c>
      <c r="J1218" s="14" t="s">
        <v>23</v>
      </c>
      <c r="K1218" s="14" t="s">
        <v>23</v>
      </c>
      <c r="L1218" s="5" t="s">
        <v>23</v>
      </c>
      <c r="M1218" s="5" t="s">
        <v>23</v>
      </c>
      <c r="N1218" s="5" t="s">
        <v>23</v>
      </c>
      <c r="O1218" s="13">
        <v>2253.81</v>
      </c>
      <c r="P1218" s="200"/>
      <c r="Q1218" s="67">
        <f>I1216-O1218</f>
        <v>2121.9</v>
      </c>
      <c r="R1218" s="67">
        <f>Q1218*499.513</f>
        <v>1059916.6347000001</v>
      </c>
      <c r="S1218" s="18"/>
    </row>
    <row r="1219" spans="1:19" s="10" customFormat="1" ht="18.95" customHeight="1" x14ac:dyDescent="0.25">
      <c r="A1219" s="147"/>
      <c r="B1219" s="147"/>
      <c r="C1219" s="147"/>
      <c r="D1219" s="141"/>
      <c r="E1219" s="141"/>
      <c r="F1219" s="12">
        <v>43647</v>
      </c>
      <c r="G1219" s="12">
        <v>43830</v>
      </c>
      <c r="H1219" s="151"/>
      <c r="I1219" s="15" t="s">
        <v>23</v>
      </c>
      <c r="J1219" s="14" t="s">
        <v>23</v>
      </c>
      <c r="K1219" s="14" t="s">
        <v>23</v>
      </c>
      <c r="L1219" s="5" t="s">
        <v>23</v>
      </c>
      <c r="M1219" s="5" t="s">
        <v>23</v>
      </c>
      <c r="N1219" s="5" t="s">
        <v>23</v>
      </c>
      <c r="O1219" s="13">
        <v>2298.89</v>
      </c>
      <c r="P1219" s="201"/>
      <c r="S1219" s="11"/>
    </row>
    <row r="1220" spans="1:19" ht="18.95" customHeight="1" outlineLevel="1" x14ac:dyDescent="0.25">
      <c r="A1220" s="146" t="s">
        <v>53</v>
      </c>
      <c r="B1220" s="146" t="s">
        <v>541</v>
      </c>
      <c r="C1220" s="146" t="s">
        <v>111</v>
      </c>
      <c r="D1220" s="137">
        <v>42723</v>
      </c>
      <c r="E1220" s="137" t="s">
        <v>637</v>
      </c>
      <c r="F1220" s="12">
        <v>43466</v>
      </c>
      <c r="G1220" s="12">
        <v>43646</v>
      </c>
      <c r="H1220" s="142" t="s">
        <v>636</v>
      </c>
      <c r="I1220" s="13">
        <v>1871.72</v>
      </c>
      <c r="J1220" s="14" t="s">
        <v>23</v>
      </c>
      <c r="K1220" s="14" t="s">
        <v>23</v>
      </c>
      <c r="L1220" s="5" t="s">
        <v>23</v>
      </c>
      <c r="M1220" s="5" t="s">
        <v>23</v>
      </c>
      <c r="N1220" s="5" t="s">
        <v>23</v>
      </c>
      <c r="O1220" s="4" t="s">
        <v>23</v>
      </c>
      <c r="P1220" s="144"/>
    </row>
    <row r="1221" spans="1:19" ht="18.95" customHeight="1" outlineLevel="1" x14ac:dyDescent="0.25">
      <c r="A1221" s="148"/>
      <c r="B1221" s="148"/>
      <c r="C1221" s="148"/>
      <c r="D1221" s="141"/>
      <c r="E1221" s="141"/>
      <c r="F1221" s="12">
        <v>43647</v>
      </c>
      <c r="G1221" s="12">
        <v>43830</v>
      </c>
      <c r="H1221" s="143"/>
      <c r="I1221" s="13">
        <v>1933.59</v>
      </c>
      <c r="J1221" s="14" t="s">
        <v>23</v>
      </c>
      <c r="K1221" s="14" t="s">
        <v>23</v>
      </c>
      <c r="L1221" s="5" t="s">
        <v>23</v>
      </c>
      <c r="M1221" s="5" t="s">
        <v>23</v>
      </c>
      <c r="N1221" s="5" t="s">
        <v>23</v>
      </c>
      <c r="O1221" s="4" t="s">
        <v>23</v>
      </c>
      <c r="P1221" s="145"/>
    </row>
    <row r="1222" spans="1:19" s="10" customFormat="1" ht="18.95" customHeight="1" outlineLevel="1" x14ac:dyDescent="0.25">
      <c r="A1222" s="148"/>
      <c r="B1222" s="148"/>
      <c r="C1222" s="148"/>
      <c r="D1222" s="137">
        <v>43454</v>
      </c>
      <c r="E1222" s="137" t="s">
        <v>638</v>
      </c>
      <c r="F1222" s="12">
        <v>43466</v>
      </c>
      <c r="G1222" s="12">
        <v>43646</v>
      </c>
      <c r="H1222" s="149"/>
      <c r="I1222" s="15" t="s">
        <v>23</v>
      </c>
      <c r="J1222" s="14" t="s">
        <v>23</v>
      </c>
      <c r="K1222" s="14" t="s">
        <v>23</v>
      </c>
      <c r="L1222" s="5" t="s">
        <v>23</v>
      </c>
      <c r="M1222" s="5" t="s">
        <v>23</v>
      </c>
      <c r="N1222" s="5" t="s">
        <v>23</v>
      </c>
      <c r="O1222" s="13">
        <v>2246.06</v>
      </c>
      <c r="P1222" s="144"/>
      <c r="S1222" s="11"/>
    </row>
    <row r="1223" spans="1:19" s="10" customFormat="1" ht="18.95" customHeight="1" outlineLevel="1" x14ac:dyDescent="0.25">
      <c r="A1223" s="147"/>
      <c r="B1223" s="147"/>
      <c r="C1223" s="147"/>
      <c r="D1223" s="141"/>
      <c r="E1223" s="141"/>
      <c r="F1223" s="12">
        <v>43647</v>
      </c>
      <c r="G1223" s="12">
        <v>43830</v>
      </c>
      <c r="H1223" s="151"/>
      <c r="I1223" s="15" t="s">
        <v>23</v>
      </c>
      <c r="J1223" s="14" t="s">
        <v>23</v>
      </c>
      <c r="K1223" s="14" t="s">
        <v>23</v>
      </c>
      <c r="L1223" s="5" t="s">
        <v>23</v>
      </c>
      <c r="M1223" s="5" t="s">
        <v>23</v>
      </c>
      <c r="N1223" s="5" t="s">
        <v>23</v>
      </c>
      <c r="O1223" s="13">
        <v>2290.9899999999998</v>
      </c>
      <c r="P1223" s="145"/>
      <c r="S1223" s="11"/>
    </row>
    <row r="1224" spans="1:19" s="10" customFormat="1" ht="18.95" customHeight="1" outlineLevel="1" x14ac:dyDescent="0.25">
      <c r="A1224" s="146" t="s">
        <v>53</v>
      </c>
      <c r="B1224" s="146" t="s">
        <v>542</v>
      </c>
      <c r="C1224" s="146" t="s">
        <v>286</v>
      </c>
      <c r="D1224" s="137">
        <v>42723</v>
      </c>
      <c r="E1224" s="137" t="s">
        <v>664</v>
      </c>
      <c r="F1224" s="12">
        <v>43466</v>
      </c>
      <c r="G1224" s="12">
        <v>43646</v>
      </c>
      <c r="H1224" s="146" t="s">
        <v>663</v>
      </c>
      <c r="I1224" s="13">
        <v>4589.21</v>
      </c>
      <c r="J1224" s="14" t="s">
        <v>23</v>
      </c>
      <c r="K1224" s="14" t="s">
        <v>23</v>
      </c>
      <c r="L1224" s="5" t="s">
        <v>23</v>
      </c>
      <c r="M1224" s="5" t="s">
        <v>23</v>
      </c>
      <c r="N1224" s="5" t="s">
        <v>23</v>
      </c>
      <c r="O1224" s="4" t="s">
        <v>23</v>
      </c>
      <c r="P1224" s="144"/>
      <c r="S1224" s="11"/>
    </row>
    <row r="1225" spans="1:19" s="10" customFormat="1" ht="18.95" customHeight="1" outlineLevel="1" x14ac:dyDescent="0.25">
      <c r="A1225" s="148"/>
      <c r="B1225" s="148"/>
      <c r="C1225" s="148"/>
      <c r="D1225" s="141"/>
      <c r="E1225" s="141"/>
      <c r="F1225" s="12">
        <v>43647</v>
      </c>
      <c r="G1225" s="12">
        <v>43830</v>
      </c>
      <c r="H1225" s="147"/>
      <c r="I1225" s="13">
        <v>5005.34</v>
      </c>
      <c r="J1225" s="14" t="s">
        <v>23</v>
      </c>
      <c r="K1225" s="14" t="s">
        <v>23</v>
      </c>
      <c r="L1225" s="5" t="s">
        <v>23</v>
      </c>
      <c r="M1225" s="5" t="s">
        <v>23</v>
      </c>
      <c r="N1225" s="5" t="s">
        <v>23</v>
      </c>
      <c r="O1225" s="4" t="s">
        <v>23</v>
      </c>
      <c r="P1225" s="145"/>
      <c r="S1225" s="11"/>
    </row>
    <row r="1226" spans="1:19" s="10" customFormat="1" ht="18.95" customHeight="1" outlineLevel="1" x14ac:dyDescent="0.25">
      <c r="A1226" s="148"/>
      <c r="B1226" s="148"/>
      <c r="C1226" s="148"/>
      <c r="D1226" s="137">
        <v>43454</v>
      </c>
      <c r="E1226" s="137" t="s">
        <v>654</v>
      </c>
      <c r="F1226" s="12">
        <v>43466</v>
      </c>
      <c r="G1226" s="12">
        <v>43646</v>
      </c>
      <c r="H1226" s="149"/>
      <c r="I1226" s="15" t="s">
        <v>23</v>
      </c>
      <c r="J1226" s="14" t="s">
        <v>23</v>
      </c>
      <c r="K1226" s="14" t="s">
        <v>23</v>
      </c>
      <c r="L1226" s="5" t="s">
        <v>23</v>
      </c>
      <c r="M1226" s="5" t="s">
        <v>23</v>
      </c>
      <c r="N1226" s="5" t="s">
        <v>23</v>
      </c>
      <c r="O1226" s="13">
        <v>2289.79</v>
      </c>
      <c r="P1226" s="144"/>
      <c r="Q1226" s="11">
        <f>O1226/1.2</f>
        <v>1908.1583333333333</v>
      </c>
      <c r="R1226" s="64">
        <f>I1224-Q1226</f>
        <v>2681.0516666666667</v>
      </c>
      <c r="S1226" s="11">
        <f>R1226*186.717</f>
        <v>500597.92404500005</v>
      </c>
    </row>
    <row r="1227" spans="1:19" s="10" customFormat="1" ht="18.95" customHeight="1" outlineLevel="1" x14ac:dyDescent="0.25">
      <c r="A1227" s="147"/>
      <c r="B1227" s="147"/>
      <c r="C1227" s="147"/>
      <c r="D1227" s="141"/>
      <c r="E1227" s="141"/>
      <c r="F1227" s="12">
        <v>43647</v>
      </c>
      <c r="G1227" s="12">
        <v>43830</v>
      </c>
      <c r="H1227" s="151"/>
      <c r="I1227" s="15" t="s">
        <v>23</v>
      </c>
      <c r="J1227" s="14" t="s">
        <v>23</v>
      </c>
      <c r="K1227" s="14" t="s">
        <v>23</v>
      </c>
      <c r="L1227" s="5" t="s">
        <v>23</v>
      </c>
      <c r="M1227" s="5" t="s">
        <v>23</v>
      </c>
      <c r="N1227" s="5" t="s">
        <v>23</v>
      </c>
      <c r="O1227" s="13">
        <v>2335.59</v>
      </c>
      <c r="P1227" s="145"/>
      <c r="Q1227" s="11">
        <f t="shared" ref="Q1227:Q1239" si="12">O1227/1.2</f>
        <v>1946.3250000000003</v>
      </c>
      <c r="S1227" s="11"/>
    </row>
    <row r="1228" spans="1:19" ht="18.95" customHeight="1" outlineLevel="1" x14ac:dyDescent="0.25">
      <c r="A1228" s="146" t="s">
        <v>53</v>
      </c>
      <c r="B1228" s="146" t="s">
        <v>569</v>
      </c>
      <c r="C1228" s="146" t="s">
        <v>286</v>
      </c>
      <c r="D1228" s="137">
        <v>43447</v>
      </c>
      <c r="E1228" s="137" t="s">
        <v>665</v>
      </c>
      <c r="F1228" s="12">
        <v>43466</v>
      </c>
      <c r="G1228" s="12">
        <v>43646</v>
      </c>
      <c r="H1228" s="146"/>
      <c r="I1228" s="13">
        <v>3822.11</v>
      </c>
      <c r="J1228" s="14" t="s">
        <v>23</v>
      </c>
      <c r="K1228" s="14" t="s">
        <v>23</v>
      </c>
      <c r="L1228" s="5" t="s">
        <v>23</v>
      </c>
      <c r="M1228" s="5" t="s">
        <v>23</v>
      </c>
      <c r="N1228" s="5" t="s">
        <v>23</v>
      </c>
      <c r="O1228" s="4" t="s">
        <v>23</v>
      </c>
      <c r="P1228" s="144"/>
      <c r="Q1228" s="11"/>
    </row>
    <row r="1229" spans="1:19" ht="18.95" customHeight="1" outlineLevel="1" x14ac:dyDescent="0.25">
      <c r="A1229" s="148"/>
      <c r="B1229" s="148"/>
      <c r="C1229" s="148"/>
      <c r="D1229" s="141"/>
      <c r="E1229" s="141"/>
      <c r="F1229" s="12">
        <v>43647</v>
      </c>
      <c r="G1229" s="12">
        <v>43830</v>
      </c>
      <c r="H1229" s="147"/>
      <c r="I1229" s="13">
        <v>3995.04</v>
      </c>
      <c r="J1229" s="14" t="s">
        <v>23</v>
      </c>
      <c r="K1229" s="14" t="s">
        <v>23</v>
      </c>
      <c r="L1229" s="5" t="s">
        <v>23</v>
      </c>
      <c r="M1229" s="5" t="s">
        <v>23</v>
      </c>
      <c r="N1229" s="5" t="s">
        <v>23</v>
      </c>
      <c r="O1229" s="4" t="s">
        <v>23</v>
      </c>
      <c r="P1229" s="145"/>
      <c r="Q1229" s="11"/>
    </row>
    <row r="1230" spans="1:19" ht="18.95" customHeight="1" outlineLevel="1" x14ac:dyDescent="0.25">
      <c r="A1230" s="148"/>
      <c r="B1230" s="148"/>
      <c r="C1230" s="148"/>
      <c r="D1230" s="137">
        <v>43454</v>
      </c>
      <c r="E1230" s="137" t="s">
        <v>654</v>
      </c>
      <c r="F1230" s="12">
        <v>43466</v>
      </c>
      <c r="G1230" s="12">
        <v>43646</v>
      </c>
      <c r="H1230" s="149"/>
      <c r="I1230" s="15" t="s">
        <v>23</v>
      </c>
      <c r="J1230" s="14" t="s">
        <v>23</v>
      </c>
      <c r="K1230" s="14" t="s">
        <v>23</v>
      </c>
      <c r="L1230" s="5" t="s">
        <v>23</v>
      </c>
      <c r="M1230" s="5" t="s">
        <v>23</v>
      </c>
      <c r="N1230" s="5" t="s">
        <v>23</v>
      </c>
      <c r="O1230" s="13">
        <v>2292.0100000000002</v>
      </c>
      <c r="P1230" s="144"/>
      <c r="Q1230" s="11">
        <f t="shared" si="12"/>
        <v>1910.0083333333337</v>
      </c>
    </row>
    <row r="1231" spans="1:19" ht="18.95" customHeight="1" outlineLevel="1" x14ac:dyDescent="0.25">
      <c r="A1231" s="148"/>
      <c r="B1231" s="147"/>
      <c r="C1231" s="148"/>
      <c r="D1231" s="141"/>
      <c r="E1231" s="141"/>
      <c r="F1231" s="12">
        <v>43647</v>
      </c>
      <c r="G1231" s="12">
        <v>43830</v>
      </c>
      <c r="H1231" s="151"/>
      <c r="I1231" s="15" t="s">
        <v>23</v>
      </c>
      <c r="J1231" s="14" t="s">
        <v>23</v>
      </c>
      <c r="K1231" s="14" t="s">
        <v>23</v>
      </c>
      <c r="L1231" s="5" t="s">
        <v>23</v>
      </c>
      <c r="M1231" s="5" t="s">
        <v>23</v>
      </c>
      <c r="N1231" s="5" t="s">
        <v>23</v>
      </c>
      <c r="O1231" s="13">
        <v>2337.85</v>
      </c>
      <c r="P1231" s="145"/>
      <c r="Q1231" s="11">
        <f t="shared" si="12"/>
        <v>1948.2083333333333</v>
      </c>
    </row>
    <row r="1232" spans="1:19" ht="18.95" customHeight="1" outlineLevel="1" x14ac:dyDescent="0.25">
      <c r="A1232" s="148"/>
      <c r="B1232" s="146" t="s">
        <v>539</v>
      </c>
      <c r="C1232" s="148"/>
      <c r="D1232" s="137">
        <v>43447</v>
      </c>
      <c r="E1232" s="137" t="s">
        <v>665</v>
      </c>
      <c r="F1232" s="12">
        <v>43466</v>
      </c>
      <c r="G1232" s="12">
        <v>43646</v>
      </c>
      <c r="H1232" s="146"/>
      <c r="I1232" s="13">
        <v>3822.11</v>
      </c>
      <c r="J1232" s="14" t="s">
        <v>23</v>
      </c>
      <c r="K1232" s="14" t="s">
        <v>23</v>
      </c>
      <c r="L1232" s="5" t="s">
        <v>23</v>
      </c>
      <c r="M1232" s="5" t="s">
        <v>23</v>
      </c>
      <c r="N1232" s="5" t="s">
        <v>23</v>
      </c>
      <c r="O1232" s="4" t="s">
        <v>23</v>
      </c>
      <c r="P1232" s="144"/>
      <c r="Q1232" s="11"/>
    </row>
    <row r="1233" spans="1:19" ht="18.95" customHeight="1" outlineLevel="1" x14ac:dyDescent="0.25">
      <c r="A1233" s="148"/>
      <c r="B1233" s="148"/>
      <c r="C1233" s="148"/>
      <c r="D1233" s="141"/>
      <c r="E1233" s="141"/>
      <c r="F1233" s="12">
        <v>43647</v>
      </c>
      <c r="G1233" s="12">
        <v>43830</v>
      </c>
      <c r="H1233" s="147"/>
      <c r="I1233" s="13">
        <v>3995.04</v>
      </c>
      <c r="J1233" s="14" t="s">
        <v>23</v>
      </c>
      <c r="K1233" s="14" t="s">
        <v>23</v>
      </c>
      <c r="L1233" s="5" t="s">
        <v>23</v>
      </c>
      <c r="M1233" s="5" t="s">
        <v>23</v>
      </c>
      <c r="N1233" s="5" t="s">
        <v>23</v>
      </c>
      <c r="O1233" s="4" t="s">
        <v>23</v>
      </c>
      <c r="P1233" s="145"/>
      <c r="Q1233" s="11"/>
    </row>
    <row r="1234" spans="1:19" ht="18.95" customHeight="1" outlineLevel="1" x14ac:dyDescent="0.25">
      <c r="A1234" s="148"/>
      <c r="B1234" s="148"/>
      <c r="C1234" s="148"/>
      <c r="D1234" s="137">
        <v>43454</v>
      </c>
      <c r="E1234" s="137" t="s">
        <v>654</v>
      </c>
      <c r="F1234" s="12">
        <v>43466</v>
      </c>
      <c r="G1234" s="12">
        <v>43646</v>
      </c>
      <c r="H1234" s="149"/>
      <c r="I1234" s="15" t="s">
        <v>23</v>
      </c>
      <c r="J1234" s="14" t="s">
        <v>23</v>
      </c>
      <c r="K1234" s="14" t="s">
        <v>23</v>
      </c>
      <c r="L1234" s="5" t="s">
        <v>23</v>
      </c>
      <c r="M1234" s="5" t="s">
        <v>23</v>
      </c>
      <c r="N1234" s="5" t="s">
        <v>23</v>
      </c>
      <c r="O1234" s="13">
        <v>2292.0100000000002</v>
      </c>
      <c r="P1234" s="144"/>
      <c r="Q1234" s="11">
        <f t="shared" si="12"/>
        <v>1910.0083333333337</v>
      </c>
      <c r="R1234" s="47">
        <f>I1232-Q1234</f>
        <v>1912.1016666666665</v>
      </c>
      <c r="S1234" s="2">
        <f>R1234*891.443</f>
        <v>1704529.6460383332</v>
      </c>
    </row>
    <row r="1235" spans="1:19" ht="18.95" customHeight="1" outlineLevel="1" x14ac:dyDescent="0.25">
      <c r="A1235" s="148"/>
      <c r="B1235" s="147"/>
      <c r="C1235" s="148"/>
      <c r="D1235" s="141"/>
      <c r="E1235" s="141"/>
      <c r="F1235" s="12">
        <v>43647</v>
      </c>
      <c r="G1235" s="12">
        <v>43830</v>
      </c>
      <c r="H1235" s="151"/>
      <c r="I1235" s="15" t="s">
        <v>23</v>
      </c>
      <c r="J1235" s="14" t="s">
        <v>23</v>
      </c>
      <c r="K1235" s="14" t="s">
        <v>23</v>
      </c>
      <c r="L1235" s="5" t="s">
        <v>23</v>
      </c>
      <c r="M1235" s="5" t="s">
        <v>23</v>
      </c>
      <c r="N1235" s="5" t="s">
        <v>23</v>
      </c>
      <c r="O1235" s="13">
        <v>2337.85</v>
      </c>
      <c r="P1235" s="145"/>
      <c r="Q1235" s="11">
        <f t="shared" si="12"/>
        <v>1948.2083333333333</v>
      </c>
    </row>
    <row r="1236" spans="1:19" ht="18.95" customHeight="1" outlineLevel="1" x14ac:dyDescent="0.25">
      <c r="A1236" s="148"/>
      <c r="B1236" s="148" t="s">
        <v>543</v>
      </c>
      <c r="C1236" s="148"/>
      <c r="D1236" s="137">
        <v>43447</v>
      </c>
      <c r="E1236" s="137" t="s">
        <v>665</v>
      </c>
      <c r="F1236" s="12">
        <v>43466</v>
      </c>
      <c r="G1236" s="12">
        <v>43646</v>
      </c>
      <c r="H1236" s="146"/>
      <c r="I1236" s="13">
        <v>3822.11</v>
      </c>
      <c r="J1236" s="14" t="s">
        <v>23</v>
      </c>
      <c r="K1236" s="14" t="s">
        <v>23</v>
      </c>
      <c r="L1236" s="5" t="s">
        <v>23</v>
      </c>
      <c r="M1236" s="5" t="s">
        <v>23</v>
      </c>
      <c r="N1236" s="5" t="s">
        <v>23</v>
      </c>
      <c r="O1236" s="4" t="s">
        <v>23</v>
      </c>
      <c r="P1236" s="144"/>
      <c r="Q1236" s="11"/>
    </row>
    <row r="1237" spans="1:19" ht="18.95" customHeight="1" outlineLevel="1" x14ac:dyDescent="0.25">
      <c r="A1237" s="148"/>
      <c r="B1237" s="148"/>
      <c r="C1237" s="148"/>
      <c r="D1237" s="141"/>
      <c r="E1237" s="141"/>
      <c r="F1237" s="12">
        <v>43647</v>
      </c>
      <c r="G1237" s="12">
        <v>43830</v>
      </c>
      <c r="H1237" s="147"/>
      <c r="I1237" s="13">
        <v>3995.04</v>
      </c>
      <c r="J1237" s="14" t="s">
        <v>23</v>
      </c>
      <c r="K1237" s="14" t="s">
        <v>23</v>
      </c>
      <c r="L1237" s="5" t="s">
        <v>23</v>
      </c>
      <c r="M1237" s="5" t="s">
        <v>23</v>
      </c>
      <c r="N1237" s="5" t="s">
        <v>23</v>
      </c>
      <c r="O1237" s="4" t="s">
        <v>23</v>
      </c>
      <c r="P1237" s="145"/>
      <c r="Q1237" s="11"/>
    </row>
    <row r="1238" spans="1:19" ht="18.95" customHeight="1" outlineLevel="1" x14ac:dyDescent="0.25">
      <c r="A1238" s="148"/>
      <c r="B1238" s="148"/>
      <c r="C1238" s="148"/>
      <c r="D1238" s="137">
        <v>43454</v>
      </c>
      <c r="E1238" s="137" t="s">
        <v>654</v>
      </c>
      <c r="F1238" s="12">
        <v>43466</v>
      </c>
      <c r="G1238" s="12">
        <v>43646</v>
      </c>
      <c r="H1238" s="149"/>
      <c r="I1238" s="15" t="s">
        <v>23</v>
      </c>
      <c r="J1238" s="14" t="s">
        <v>23</v>
      </c>
      <c r="K1238" s="14" t="s">
        <v>23</v>
      </c>
      <c r="L1238" s="5" t="s">
        <v>23</v>
      </c>
      <c r="M1238" s="5" t="s">
        <v>23</v>
      </c>
      <c r="N1238" s="5" t="s">
        <v>23</v>
      </c>
      <c r="O1238" s="13">
        <v>2289.79</v>
      </c>
      <c r="P1238" s="144"/>
      <c r="Q1238" s="11">
        <f t="shared" si="12"/>
        <v>1908.1583333333333</v>
      </c>
      <c r="R1238" s="47">
        <f>I1236-Q1238</f>
        <v>1913.9516666666668</v>
      </c>
      <c r="S1238" s="2">
        <f>R1238*645.659</f>
        <v>1235760.1191483333</v>
      </c>
    </row>
    <row r="1239" spans="1:19" ht="18.95" customHeight="1" outlineLevel="1" x14ac:dyDescent="0.25">
      <c r="A1239" s="147"/>
      <c r="B1239" s="147"/>
      <c r="C1239" s="147"/>
      <c r="D1239" s="141"/>
      <c r="E1239" s="141"/>
      <c r="F1239" s="12">
        <v>43647</v>
      </c>
      <c r="G1239" s="12">
        <v>43830</v>
      </c>
      <c r="H1239" s="151"/>
      <c r="I1239" s="15" t="s">
        <v>23</v>
      </c>
      <c r="J1239" s="14" t="s">
        <v>23</v>
      </c>
      <c r="K1239" s="14" t="s">
        <v>23</v>
      </c>
      <c r="L1239" s="5" t="s">
        <v>23</v>
      </c>
      <c r="M1239" s="5" t="s">
        <v>23</v>
      </c>
      <c r="N1239" s="5" t="s">
        <v>23</v>
      </c>
      <c r="O1239" s="13">
        <v>2335.59</v>
      </c>
      <c r="P1239" s="145"/>
      <c r="Q1239" s="11">
        <f t="shared" si="12"/>
        <v>1946.3250000000003</v>
      </c>
    </row>
    <row r="1240" spans="1:19" ht="18.95" customHeight="1" outlineLevel="1" x14ac:dyDescent="0.25">
      <c r="A1240" s="146" t="s">
        <v>53</v>
      </c>
      <c r="B1240" s="146" t="s">
        <v>544</v>
      </c>
      <c r="C1240" s="146" t="s">
        <v>329</v>
      </c>
      <c r="D1240" s="137">
        <v>42692</v>
      </c>
      <c r="E1240" s="137" t="s">
        <v>661</v>
      </c>
      <c r="F1240" s="12">
        <v>43466</v>
      </c>
      <c r="G1240" s="12">
        <v>43646</v>
      </c>
      <c r="H1240" s="146" t="s">
        <v>660</v>
      </c>
      <c r="I1240" s="123">
        <v>2481.81</v>
      </c>
      <c r="J1240" s="14" t="s">
        <v>23</v>
      </c>
      <c r="K1240" s="14" t="s">
        <v>23</v>
      </c>
      <c r="L1240" s="5" t="s">
        <v>23</v>
      </c>
      <c r="M1240" s="5" t="s">
        <v>23</v>
      </c>
      <c r="N1240" s="5" t="s">
        <v>23</v>
      </c>
      <c r="O1240" s="4" t="s">
        <v>23</v>
      </c>
      <c r="P1240" s="153" t="s">
        <v>69</v>
      </c>
    </row>
    <row r="1241" spans="1:19" ht="18.95" customHeight="1" outlineLevel="1" x14ac:dyDescent="0.25">
      <c r="A1241" s="148"/>
      <c r="B1241" s="148"/>
      <c r="C1241" s="148"/>
      <c r="D1241" s="141"/>
      <c r="E1241" s="141"/>
      <c r="F1241" s="12">
        <v>43647</v>
      </c>
      <c r="G1241" s="12">
        <v>43830</v>
      </c>
      <c r="H1241" s="147"/>
      <c r="I1241" s="123">
        <v>3172.99</v>
      </c>
      <c r="J1241" s="14" t="s">
        <v>23</v>
      </c>
      <c r="K1241" s="14" t="s">
        <v>23</v>
      </c>
      <c r="L1241" s="5" t="s">
        <v>23</v>
      </c>
      <c r="M1241" s="5" t="s">
        <v>23</v>
      </c>
      <c r="N1241" s="5" t="s">
        <v>23</v>
      </c>
      <c r="O1241" s="4" t="s">
        <v>23</v>
      </c>
      <c r="P1241" s="169" t="s">
        <v>29</v>
      </c>
    </row>
    <row r="1242" spans="1:19" ht="18.95" customHeight="1" outlineLevel="1" x14ac:dyDescent="0.25">
      <c r="A1242" s="148"/>
      <c r="B1242" s="148"/>
      <c r="C1242" s="148"/>
      <c r="D1242" s="137">
        <v>43454</v>
      </c>
      <c r="E1242" s="137" t="s">
        <v>654</v>
      </c>
      <c r="F1242" s="12">
        <v>43466</v>
      </c>
      <c r="G1242" s="12">
        <v>43646</v>
      </c>
      <c r="H1242" s="149"/>
      <c r="I1242" s="15" t="s">
        <v>23</v>
      </c>
      <c r="J1242" s="14" t="s">
        <v>23</v>
      </c>
      <c r="K1242" s="14" t="s">
        <v>23</v>
      </c>
      <c r="L1242" s="5" t="s">
        <v>23</v>
      </c>
      <c r="M1242" s="5" t="s">
        <v>23</v>
      </c>
      <c r="N1242" s="5" t="s">
        <v>23</v>
      </c>
      <c r="O1242" s="13">
        <v>2145.87</v>
      </c>
      <c r="P1242" s="169"/>
      <c r="Q1242" s="1">
        <f>2481.81-2145.87</f>
        <v>335.94000000000005</v>
      </c>
      <c r="R1242" s="1">
        <f>Q1242*419.21</f>
        <v>140829.40740000003</v>
      </c>
    </row>
    <row r="1243" spans="1:19" ht="18.95" customHeight="1" outlineLevel="1" x14ac:dyDescent="0.25">
      <c r="A1243" s="148"/>
      <c r="B1243" s="148"/>
      <c r="C1243" s="148"/>
      <c r="D1243" s="141"/>
      <c r="E1243" s="141"/>
      <c r="F1243" s="12">
        <v>43647</v>
      </c>
      <c r="G1243" s="12">
        <v>43830</v>
      </c>
      <c r="H1243" s="151"/>
      <c r="I1243" s="15" t="s">
        <v>23</v>
      </c>
      <c r="J1243" s="14" t="s">
        <v>23</v>
      </c>
      <c r="K1243" s="14" t="s">
        <v>23</v>
      </c>
      <c r="L1243" s="5" t="s">
        <v>23</v>
      </c>
      <c r="M1243" s="5" t="s">
        <v>23</v>
      </c>
      <c r="N1243" s="5" t="s">
        <v>23</v>
      </c>
      <c r="O1243" s="13">
        <v>2188.79</v>
      </c>
      <c r="P1243" s="169"/>
    </row>
    <row r="1244" spans="1:19" ht="18.95" customHeight="1" outlineLevel="1" x14ac:dyDescent="0.25">
      <c r="A1244" s="146" t="s">
        <v>53</v>
      </c>
      <c r="B1244" s="146" t="s">
        <v>545</v>
      </c>
      <c r="C1244" s="146" t="s">
        <v>287</v>
      </c>
      <c r="D1244" s="137">
        <v>43447</v>
      </c>
      <c r="E1244" s="137" t="s">
        <v>657</v>
      </c>
      <c r="F1244" s="12">
        <v>43466</v>
      </c>
      <c r="G1244" s="12">
        <v>43646</v>
      </c>
      <c r="H1244" s="146"/>
      <c r="I1244" s="13">
        <v>3024.17</v>
      </c>
      <c r="J1244" s="14" t="s">
        <v>23</v>
      </c>
      <c r="K1244" s="14" t="s">
        <v>23</v>
      </c>
      <c r="L1244" s="5" t="s">
        <v>23</v>
      </c>
      <c r="M1244" s="5" t="s">
        <v>23</v>
      </c>
      <c r="N1244" s="5" t="s">
        <v>23</v>
      </c>
      <c r="O1244" s="4" t="s">
        <v>23</v>
      </c>
      <c r="P1244" s="153" t="s">
        <v>69</v>
      </c>
    </row>
    <row r="1245" spans="1:19" ht="18.95" customHeight="1" outlineLevel="1" x14ac:dyDescent="0.25">
      <c r="A1245" s="148"/>
      <c r="B1245" s="148"/>
      <c r="C1245" s="148"/>
      <c r="D1245" s="141"/>
      <c r="E1245" s="141"/>
      <c r="F1245" s="12">
        <v>43647</v>
      </c>
      <c r="G1245" s="12">
        <v>43830</v>
      </c>
      <c r="H1245" s="147"/>
      <c r="I1245" s="13">
        <v>4050.73</v>
      </c>
      <c r="J1245" s="14" t="s">
        <v>23</v>
      </c>
      <c r="K1245" s="14" t="s">
        <v>23</v>
      </c>
      <c r="L1245" s="5" t="s">
        <v>23</v>
      </c>
      <c r="M1245" s="5" t="s">
        <v>23</v>
      </c>
      <c r="N1245" s="5" t="s">
        <v>23</v>
      </c>
      <c r="O1245" s="4" t="s">
        <v>23</v>
      </c>
      <c r="P1245" s="169" t="s">
        <v>29</v>
      </c>
    </row>
    <row r="1246" spans="1:19" s="17" customFormat="1" ht="18.95" customHeight="1" outlineLevel="1" x14ac:dyDescent="0.25">
      <c r="A1246" s="148"/>
      <c r="B1246" s="148"/>
      <c r="C1246" s="148"/>
      <c r="D1246" s="137">
        <v>43454</v>
      </c>
      <c r="E1246" s="137" t="s">
        <v>654</v>
      </c>
      <c r="F1246" s="12">
        <v>43466</v>
      </c>
      <c r="G1246" s="12">
        <v>43646</v>
      </c>
      <c r="H1246" s="149"/>
      <c r="I1246" s="15" t="s">
        <v>23</v>
      </c>
      <c r="J1246" s="14" t="s">
        <v>23</v>
      </c>
      <c r="K1246" s="14" t="s">
        <v>23</v>
      </c>
      <c r="L1246" s="5" t="s">
        <v>23</v>
      </c>
      <c r="M1246" s="5" t="s">
        <v>23</v>
      </c>
      <c r="N1246" s="5" t="s">
        <v>23</v>
      </c>
      <c r="O1246" s="13">
        <v>2251.63</v>
      </c>
      <c r="P1246" s="169"/>
      <c r="Q1246" s="67">
        <f>I1244-O1246</f>
        <v>772.54</v>
      </c>
      <c r="R1246" s="17">
        <f>Q1246*440.463</f>
        <v>340275.28602</v>
      </c>
      <c r="S1246" s="18"/>
    </row>
    <row r="1247" spans="1:19" s="17" customFormat="1" ht="18.95" customHeight="1" outlineLevel="1" x14ac:dyDescent="0.25">
      <c r="A1247" s="147"/>
      <c r="B1247" s="147"/>
      <c r="C1247" s="147"/>
      <c r="D1247" s="141"/>
      <c r="E1247" s="141"/>
      <c r="F1247" s="12">
        <v>43647</v>
      </c>
      <c r="G1247" s="12">
        <v>43830</v>
      </c>
      <c r="H1247" s="151"/>
      <c r="I1247" s="15" t="s">
        <v>23</v>
      </c>
      <c r="J1247" s="14" t="s">
        <v>23</v>
      </c>
      <c r="K1247" s="14" t="s">
        <v>23</v>
      </c>
      <c r="L1247" s="5" t="s">
        <v>23</v>
      </c>
      <c r="M1247" s="5" t="s">
        <v>23</v>
      </c>
      <c r="N1247" s="5" t="s">
        <v>23</v>
      </c>
      <c r="O1247" s="13">
        <v>2296.66</v>
      </c>
      <c r="P1247" s="152"/>
      <c r="S1247" s="18"/>
    </row>
    <row r="1248" spans="1:19" s="17" customFormat="1" ht="18.95" customHeight="1" outlineLevel="1" x14ac:dyDescent="0.25">
      <c r="A1248" s="146" t="s">
        <v>53</v>
      </c>
      <c r="B1248" s="146" t="s">
        <v>511</v>
      </c>
      <c r="C1248" s="146" t="s">
        <v>288</v>
      </c>
      <c r="D1248" s="137">
        <v>43455</v>
      </c>
      <c r="E1248" s="156" t="s">
        <v>659</v>
      </c>
      <c r="F1248" s="12">
        <v>43466</v>
      </c>
      <c r="G1248" s="12">
        <v>43646</v>
      </c>
      <c r="H1248" s="157"/>
      <c r="I1248" s="13">
        <v>4530.5600000000004</v>
      </c>
      <c r="J1248" s="14" t="s">
        <v>23</v>
      </c>
      <c r="K1248" s="14" t="s">
        <v>23</v>
      </c>
      <c r="L1248" s="5" t="s">
        <v>23</v>
      </c>
      <c r="M1248" s="5" t="s">
        <v>23</v>
      </c>
      <c r="N1248" s="5" t="s">
        <v>23</v>
      </c>
      <c r="O1248" s="4" t="s">
        <v>23</v>
      </c>
      <c r="P1248" s="183"/>
      <c r="S1248" s="18"/>
    </row>
    <row r="1249" spans="1:19" s="17" customFormat="1" ht="18.95" customHeight="1" outlineLevel="1" x14ac:dyDescent="0.25">
      <c r="A1249" s="148"/>
      <c r="B1249" s="148"/>
      <c r="C1249" s="148"/>
      <c r="D1249" s="141"/>
      <c r="E1249" s="156"/>
      <c r="F1249" s="12">
        <v>43647</v>
      </c>
      <c r="G1249" s="12">
        <v>43830</v>
      </c>
      <c r="H1249" s="157"/>
      <c r="I1249" s="13">
        <v>4530.5600000000004</v>
      </c>
      <c r="J1249" s="14" t="s">
        <v>23</v>
      </c>
      <c r="K1249" s="14" t="s">
        <v>23</v>
      </c>
      <c r="L1249" s="5" t="s">
        <v>23</v>
      </c>
      <c r="M1249" s="5" t="s">
        <v>23</v>
      </c>
      <c r="N1249" s="5" t="s">
        <v>23</v>
      </c>
      <c r="O1249" s="4" t="s">
        <v>23</v>
      </c>
      <c r="P1249" s="183"/>
      <c r="S1249" s="18"/>
    </row>
    <row r="1250" spans="1:19" s="10" customFormat="1" ht="18.95" customHeight="1" x14ac:dyDescent="0.25">
      <c r="A1250" s="148"/>
      <c r="B1250" s="148"/>
      <c r="C1250" s="148"/>
      <c r="D1250" s="137">
        <v>43454</v>
      </c>
      <c r="E1250" s="137" t="s">
        <v>654</v>
      </c>
      <c r="F1250" s="12">
        <v>43466</v>
      </c>
      <c r="G1250" s="12">
        <v>43646</v>
      </c>
      <c r="H1250" s="45"/>
      <c r="I1250" s="15" t="s">
        <v>23</v>
      </c>
      <c r="J1250" s="14" t="s">
        <v>23</v>
      </c>
      <c r="K1250" s="14" t="s">
        <v>23</v>
      </c>
      <c r="L1250" s="5" t="s">
        <v>23</v>
      </c>
      <c r="M1250" s="5" t="s">
        <v>23</v>
      </c>
      <c r="N1250" s="5" t="s">
        <v>23</v>
      </c>
      <c r="O1250" s="13">
        <v>2289.79</v>
      </c>
      <c r="P1250" s="196" t="s">
        <v>444</v>
      </c>
      <c r="Q1250" s="10">
        <f>O1250/1.2</f>
        <v>1908.1583333333333</v>
      </c>
      <c r="R1250" s="64">
        <f>I1248-Q1250</f>
        <v>2622.4016666666671</v>
      </c>
      <c r="S1250" s="11">
        <f>R1250*984.712</f>
        <v>2582310.3899866669</v>
      </c>
    </row>
    <row r="1251" spans="1:19" s="17" customFormat="1" ht="18.95" customHeight="1" outlineLevel="1" x14ac:dyDescent="0.25">
      <c r="A1251" s="148"/>
      <c r="B1251" s="148"/>
      <c r="C1251" s="148"/>
      <c r="D1251" s="138"/>
      <c r="E1251" s="138"/>
      <c r="F1251" s="12">
        <v>43647</v>
      </c>
      <c r="G1251" s="12">
        <v>43830</v>
      </c>
      <c r="H1251" s="45"/>
      <c r="I1251" s="15" t="s">
        <v>23</v>
      </c>
      <c r="J1251" s="14" t="s">
        <v>23</v>
      </c>
      <c r="K1251" s="14" t="s">
        <v>23</v>
      </c>
      <c r="L1251" s="5" t="s">
        <v>23</v>
      </c>
      <c r="M1251" s="5" t="s">
        <v>23</v>
      </c>
      <c r="N1251" s="5" t="s">
        <v>23</v>
      </c>
      <c r="O1251" s="13">
        <v>2335.59</v>
      </c>
      <c r="P1251" s="198"/>
      <c r="S1251" s="18"/>
    </row>
    <row r="1252" spans="1:19" s="17" customFormat="1" ht="18.95" customHeight="1" outlineLevel="1" x14ac:dyDescent="0.25">
      <c r="A1252" s="148"/>
      <c r="B1252" s="148"/>
      <c r="C1252" s="148"/>
      <c r="D1252" s="138"/>
      <c r="E1252" s="138"/>
      <c r="F1252" s="12">
        <v>43466</v>
      </c>
      <c r="G1252" s="12">
        <v>43646</v>
      </c>
      <c r="H1252" s="77"/>
      <c r="I1252" s="79"/>
      <c r="J1252" s="78"/>
      <c r="K1252" s="78"/>
      <c r="L1252" s="80"/>
      <c r="M1252" s="80"/>
      <c r="N1252" s="80"/>
      <c r="O1252" s="26">
        <v>1750.28</v>
      </c>
      <c r="P1252" s="196" t="s">
        <v>446</v>
      </c>
      <c r="Q1252" s="17">
        <f>O1252/1.2</f>
        <v>1458.5666666666666</v>
      </c>
      <c r="R1252" s="67">
        <f>I1248-Q1252</f>
        <v>3071.9933333333338</v>
      </c>
      <c r="S1252" s="18">
        <f>R1252*21.632</f>
        <v>66453.359786666682</v>
      </c>
    </row>
    <row r="1253" spans="1:19" s="17" customFormat="1" ht="18.95" customHeight="1" outlineLevel="1" x14ac:dyDescent="0.25">
      <c r="A1253" s="147"/>
      <c r="B1253" s="147"/>
      <c r="C1253" s="147"/>
      <c r="D1253" s="141"/>
      <c r="E1253" s="141"/>
      <c r="F1253" s="12">
        <v>43647</v>
      </c>
      <c r="G1253" s="12">
        <v>43830</v>
      </c>
      <c r="H1253" s="77"/>
      <c r="I1253" s="79"/>
      <c r="J1253" s="78"/>
      <c r="K1253" s="78"/>
      <c r="L1253" s="80"/>
      <c r="M1253" s="80"/>
      <c r="N1253" s="80"/>
      <c r="O1253" s="26">
        <v>1785.29</v>
      </c>
      <c r="P1253" s="198"/>
      <c r="S1253" s="18"/>
    </row>
    <row r="1254" spans="1:19" s="17" customFormat="1" ht="18.95" customHeight="1" outlineLevel="1" x14ac:dyDescent="0.25">
      <c r="A1254" s="157" t="s">
        <v>53</v>
      </c>
      <c r="B1254" s="146" t="s">
        <v>546</v>
      </c>
      <c r="C1254" s="146" t="s">
        <v>117</v>
      </c>
      <c r="D1254" s="156">
        <v>43451</v>
      </c>
      <c r="E1254" s="156" t="s">
        <v>658</v>
      </c>
      <c r="F1254" s="12">
        <v>43466</v>
      </c>
      <c r="G1254" s="12">
        <v>43646</v>
      </c>
      <c r="H1254" s="44"/>
      <c r="I1254" s="13">
        <v>2543.34</v>
      </c>
      <c r="J1254" s="14" t="s">
        <v>23</v>
      </c>
      <c r="K1254" s="14" t="s">
        <v>23</v>
      </c>
      <c r="L1254" s="5" t="s">
        <v>23</v>
      </c>
      <c r="M1254" s="5" t="s">
        <v>23</v>
      </c>
      <c r="N1254" s="5" t="s">
        <v>23</v>
      </c>
      <c r="O1254" s="4" t="s">
        <v>23</v>
      </c>
      <c r="P1254" s="199" t="s">
        <v>375</v>
      </c>
      <c r="S1254" s="18"/>
    </row>
    <row r="1255" spans="1:19" s="17" customFormat="1" ht="18.95" customHeight="1" outlineLevel="1" x14ac:dyDescent="0.25">
      <c r="A1255" s="157"/>
      <c r="B1255" s="148"/>
      <c r="C1255" s="148"/>
      <c r="D1255" s="156"/>
      <c r="E1255" s="156"/>
      <c r="F1255" s="12">
        <v>43647</v>
      </c>
      <c r="G1255" s="12">
        <v>43830</v>
      </c>
      <c r="H1255" s="44"/>
      <c r="I1255" s="13">
        <v>2543.34</v>
      </c>
      <c r="J1255" s="14" t="s">
        <v>23</v>
      </c>
      <c r="K1255" s="14" t="s">
        <v>23</v>
      </c>
      <c r="L1255" s="5" t="s">
        <v>23</v>
      </c>
      <c r="M1255" s="5" t="s">
        <v>23</v>
      </c>
      <c r="N1255" s="5" t="s">
        <v>23</v>
      </c>
      <c r="O1255" s="4" t="s">
        <v>23</v>
      </c>
      <c r="P1255" s="200"/>
      <c r="S1255" s="18"/>
    </row>
    <row r="1256" spans="1:19" s="17" customFormat="1" ht="18.95" customHeight="1" outlineLevel="1" x14ac:dyDescent="0.25">
      <c r="A1256" s="157"/>
      <c r="B1256" s="148"/>
      <c r="C1256" s="148"/>
      <c r="D1256" s="156">
        <v>43454</v>
      </c>
      <c r="E1256" s="156" t="s">
        <v>654</v>
      </c>
      <c r="F1256" s="12">
        <v>43466</v>
      </c>
      <c r="G1256" s="12">
        <v>43646</v>
      </c>
      <c r="H1256" s="44"/>
      <c r="I1256" s="15" t="s">
        <v>23</v>
      </c>
      <c r="J1256" s="14" t="s">
        <v>23</v>
      </c>
      <c r="K1256" s="14" t="s">
        <v>23</v>
      </c>
      <c r="L1256" s="5" t="s">
        <v>23</v>
      </c>
      <c r="M1256" s="5" t="s">
        <v>23</v>
      </c>
      <c r="N1256" s="5" t="s">
        <v>23</v>
      </c>
      <c r="O1256" s="13">
        <v>2289.79</v>
      </c>
      <c r="P1256" s="200"/>
      <c r="Q1256" s="17">
        <f>O1256/1.2</f>
        <v>1908.1583333333333</v>
      </c>
      <c r="R1256" s="67">
        <f>I1254-Q1256</f>
        <v>635.18166666666684</v>
      </c>
      <c r="S1256" s="18">
        <f>R1256*1045.368</f>
        <v>663998.58852000011</v>
      </c>
    </row>
    <row r="1257" spans="1:19" s="17" customFormat="1" ht="18.95" customHeight="1" outlineLevel="1" x14ac:dyDescent="0.25">
      <c r="A1257" s="157"/>
      <c r="B1257" s="147"/>
      <c r="C1257" s="147"/>
      <c r="D1257" s="156"/>
      <c r="E1257" s="156"/>
      <c r="F1257" s="12">
        <v>43647</v>
      </c>
      <c r="G1257" s="12">
        <v>43830</v>
      </c>
      <c r="H1257" s="44"/>
      <c r="I1257" s="15" t="s">
        <v>23</v>
      </c>
      <c r="J1257" s="14" t="s">
        <v>23</v>
      </c>
      <c r="K1257" s="14" t="s">
        <v>23</v>
      </c>
      <c r="L1257" s="5" t="s">
        <v>23</v>
      </c>
      <c r="M1257" s="5" t="s">
        <v>23</v>
      </c>
      <c r="N1257" s="5" t="s">
        <v>23</v>
      </c>
      <c r="O1257" s="13">
        <v>2335.59</v>
      </c>
      <c r="P1257" s="201"/>
      <c r="S1257" s="18"/>
    </row>
    <row r="1258" spans="1:19" s="17" customFormat="1" ht="18.95" customHeight="1" outlineLevel="1" x14ac:dyDescent="0.25">
      <c r="A1258" s="6">
        <v>15</v>
      </c>
      <c r="B1258" s="6" t="s">
        <v>159</v>
      </c>
      <c r="C1258" s="7"/>
      <c r="D1258" s="7"/>
      <c r="E1258" s="7"/>
      <c r="F1258" s="7"/>
      <c r="G1258" s="7"/>
      <c r="H1258" s="7"/>
      <c r="I1258" s="8"/>
      <c r="J1258" s="31" t="s">
        <v>23</v>
      </c>
      <c r="K1258" s="31" t="s">
        <v>23</v>
      </c>
      <c r="L1258" s="32" t="s">
        <v>23</v>
      </c>
      <c r="M1258" s="32" t="s">
        <v>23</v>
      </c>
      <c r="N1258" s="32" t="s">
        <v>23</v>
      </c>
      <c r="O1258" s="8"/>
      <c r="P1258" s="9"/>
      <c r="S1258" s="18"/>
    </row>
    <row r="1259" spans="1:19" s="17" customFormat="1" ht="18.95" customHeight="1" outlineLevel="1" x14ac:dyDescent="0.25">
      <c r="A1259" s="146" t="s">
        <v>40</v>
      </c>
      <c r="B1259" s="146" t="s">
        <v>374</v>
      </c>
      <c r="C1259" s="146" t="s">
        <v>295</v>
      </c>
      <c r="D1259" s="156">
        <v>42723</v>
      </c>
      <c r="E1259" s="156" t="s">
        <v>695</v>
      </c>
      <c r="F1259" s="12">
        <v>43466</v>
      </c>
      <c r="G1259" s="12">
        <v>43646</v>
      </c>
      <c r="H1259" s="146" t="s">
        <v>797</v>
      </c>
      <c r="I1259" s="13">
        <v>2019.3</v>
      </c>
      <c r="J1259" s="14" t="s">
        <v>23</v>
      </c>
      <c r="K1259" s="14" t="s">
        <v>23</v>
      </c>
      <c r="L1259" s="5" t="s">
        <v>23</v>
      </c>
      <c r="M1259" s="5" t="s">
        <v>23</v>
      </c>
      <c r="N1259" s="5" t="s">
        <v>23</v>
      </c>
      <c r="O1259" s="4" t="s">
        <v>23</v>
      </c>
      <c r="P1259" s="144"/>
      <c r="S1259" s="18"/>
    </row>
    <row r="1260" spans="1:19" s="17" customFormat="1" ht="18.95" customHeight="1" outlineLevel="1" x14ac:dyDescent="0.25">
      <c r="A1260" s="148"/>
      <c r="B1260" s="148"/>
      <c r="C1260" s="148"/>
      <c r="D1260" s="156"/>
      <c r="E1260" s="156"/>
      <c r="F1260" s="12">
        <v>43647</v>
      </c>
      <c r="G1260" s="12">
        <v>43830</v>
      </c>
      <c r="H1260" s="147"/>
      <c r="I1260" s="13">
        <v>2069.86</v>
      </c>
      <c r="J1260" s="14" t="s">
        <v>23</v>
      </c>
      <c r="K1260" s="14" t="s">
        <v>23</v>
      </c>
      <c r="L1260" s="5" t="s">
        <v>23</v>
      </c>
      <c r="M1260" s="5" t="s">
        <v>23</v>
      </c>
      <c r="N1260" s="5" t="s">
        <v>23</v>
      </c>
      <c r="O1260" s="4" t="s">
        <v>23</v>
      </c>
      <c r="P1260" s="145"/>
      <c r="S1260" s="18"/>
    </row>
    <row r="1261" spans="1:19" s="10" customFormat="1" ht="18.95" customHeight="1" x14ac:dyDescent="0.25">
      <c r="A1261" s="148"/>
      <c r="B1261" s="148"/>
      <c r="C1261" s="148"/>
      <c r="D1261" s="156">
        <v>43454</v>
      </c>
      <c r="E1261" s="156" t="s">
        <v>796</v>
      </c>
      <c r="F1261" s="12">
        <v>43466</v>
      </c>
      <c r="G1261" s="12">
        <v>43646</v>
      </c>
      <c r="H1261" s="149"/>
      <c r="I1261" s="15" t="s">
        <v>23</v>
      </c>
      <c r="J1261" s="14" t="s">
        <v>23</v>
      </c>
      <c r="K1261" s="14" t="s">
        <v>23</v>
      </c>
      <c r="L1261" s="5" t="s">
        <v>23</v>
      </c>
      <c r="M1261" s="5" t="s">
        <v>23</v>
      </c>
      <c r="N1261" s="5" t="s">
        <v>23</v>
      </c>
      <c r="O1261" s="13">
        <v>2414.36</v>
      </c>
      <c r="P1261" s="144"/>
      <c r="S1261" s="11"/>
    </row>
    <row r="1262" spans="1:19" s="17" customFormat="1" ht="18.95" customHeight="1" outlineLevel="1" x14ac:dyDescent="0.25">
      <c r="A1262" s="147"/>
      <c r="B1262" s="147"/>
      <c r="C1262" s="148"/>
      <c r="D1262" s="156"/>
      <c r="E1262" s="156"/>
      <c r="F1262" s="12">
        <v>43647</v>
      </c>
      <c r="G1262" s="12">
        <v>43830</v>
      </c>
      <c r="H1262" s="151"/>
      <c r="I1262" s="15" t="s">
        <v>23</v>
      </c>
      <c r="J1262" s="14" t="s">
        <v>23</v>
      </c>
      <c r="K1262" s="14" t="s">
        <v>23</v>
      </c>
      <c r="L1262" s="5" t="s">
        <v>23</v>
      </c>
      <c r="M1262" s="5" t="s">
        <v>23</v>
      </c>
      <c r="N1262" s="5" t="s">
        <v>23</v>
      </c>
      <c r="O1262" s="13">
        <v>2462.65</v>
      </c>
      <c r="P1262" s="145"/>
      <c r="S1262" s="18"/>
    </row>
    <row r="1263" spans="1:19" s="17" customFormat="1" ht="18.95" customHeight="1" outlineLevel="1" x14ac:dyDescent="0.25">
      <c r="A1263" s="146" t="s">
        <v>40</v>
      </c>
      <c r="B1263" s="146" t="s">
        <v>343</v>
      </c>
      <c r="C1263" s="148"/>
      <c r="D1263" s="156">
        <v>42723</v>
      </c>
      <c r="E1263" s="156" t="s">
        <v>695</v>
      </c>
      <c r="F1263" s="12">
        <v>43466</v>
      </c>
      <c r="G1263" s="12">
        <v>43646</v>
      </c>
      <c r="H1263" s="146" t="s">
        <v>797</v>
      </c>
      <c r="I1263" s="13">
        <v>2019.3</v>
      </c>
      <c r="J1263" s="14" t="s">
        <v>23</v>
      </c>
      <c r="K1263" s="14" t="s">
        <v>23</v>
      </c>
      <c r="L1263" s="5" t="s">
        <v>23</v>
      </c>
      <c r="M1263" s="5" t="s">
        <v>23</v>
      </c>
      <c r="N1263" s="5" t="s">
        <v>23</v>
      </c>
      <c r="O1263" s="4" t="s">
        <v>23</v>
      </c>
      <c r="P1263" s="144"/>
      <c r="S1263" s="18"/>
    </row>
    <row r="1264" spans="1:19" s="17" customFormat="1" ht="18.95" customHeight="1" outlineLevel="1" x14ac:dyDescent="0.25">
      <c r="A1264" s="148"/>
      <c r="B1264" s="148"/>
      <c r="C1264" s="148"/>
      <c r="D1264" s="156"/>
      <c r="E1264" s="156"/>
      <c r="F1264" s="12">
        <v>43647</v>
      </c>
      <c r="G1264" s="12">
        <v>43830</v>
      </c>
      <c r="H1264" s="147"/>
      <c r="I1264" s="13">
        <v>2069.86</v>
      </c>
      <c r="J1264" s="14" t="s">
        <v>23</v>
      </c>
      <c r="K1264" s="14" t="s">
        <v>23</v>
      </c>
      <c r="L1264" s="5" t="s">
        <v>23</v>
      </c>
      <c r="M1264" s="5" t="s">
        <v>23</v>
      </c>
      <c r="N1264" s="5" t="s">
        <v>23</v>
      </c>
      <c r="O1264" s="4" t="s">
        <v>23</v>
      </c>
      <c r="P1264" s="145"/>
      <c r="S1264" s="18"/>
    </row>
    <row r="1265" spans="1:19" s="17" customFormat="1" ht="18.95" customHeight="1" outlineLevel="1" x14ac:dyDescent="0.25">
      <c r="A1265" s="148"/>
      <c r="B1265" s="148"/>
      <c r="C1265" s="148"/>
      <c r="D1265" s="156">
        <v>43454</v>
      </c>
      <c r="E1265" s="156" t="s">
        <v>796</v>
      </c>
      <c r="F1265" s="12">
        <v>43466</v>
      </c>
      <c r="G1265" s="12">
        <v>43646</v>
      </c>
      <c r="H1265" s="149"/>
      <c r="I1265" s="15" t="s">
        <v>23</v>
      </c>
      <c r="J1265" s="14" t="s">
        <v>23</v>
      </c>
      <c r="K1265" s="14" t="s">
        <v>23</v>
      </c>
      <c r="L1265" s="5" t="s">
        <v>23</v>
      </c>
      <c r="M1265" s="5" t="s">
        <v>23</v>
      </c>
      <c r="N1265" s="5" t="s">
        <v>23</v>
      </c>
      <c r="O1265" s="13">
        <v>2092.4499999999998</v>
      </c>
      <c r="P1265" s="144"/>
      <c r="S1265" s="18"/>
    </row>
    <row r="1266" spans="1:19" s="17" customFormat="1" ht="18.95" customHeight="1" outlineLevel="1" x14ac:dyDescent="0.25">
      <c r="A1266" s="147"/>
      <c r="B1266" s="147"/>
      <c r="C1266" s="147"/>
      <c r="D1266" s="156"/>
      <c r="E1266" s="156"/>
      <c r="F1266" s="12">
        <v>43647</v>
      </c>
      <c r="G1266" s="12">
        <v>43830</v>
      </c>
      <c r="H1266" s="151"/>
      <c r="I1266" s="15" t="s">
        <v>23</v>
      </c>
      <c r="J1266" s="14" t="s">
        <v>23</v>
      </c>
      <c r="K1266" s="14" t="s">
        <v>23</v>
      </c>
      <c r="L1266" s="5" t="s">
        <v>23</v>
      </c>
      <c r="M1266" s="5" t="s">
        <v>23</v>
      </c>
      <c r="N1266" s="5" t="s">
        <v>23</v>
      </c>
      <c r="O1266" s="13">
        <v>2134.3000000000002</v>
      </c>
      <c r="P1266" s="145"/>
      <c r="S1266" s="18"/>
    </row>
    <row r="1267" spans="1:19" s="17" customFormat="1" ht="18.95" customHeight="1" outlineLevel="1" x14ac:dyDescent="0.25">
      <c r="A1267" s="146" t="s">
        <v>40</v>
      </c>
      <c r="B1267" s="146" t="s">
        <v>41</v>
      </c>
      <c r="C1267" s="146" t="s">
        <v>198</v>
      </c>
      <c r="D1267" s="156">
        <v>43448</v>
      </c>
      <c r="E1267" s="156" t="s">
        <v>803</v>
      </c>
      <c r="F1267" s="12">
        <v>43466</v>
      </c>
      <c r="G1267" s="12">
        <v>43646</v>
      </c>
      <c r="H1267" s="146"/>
      <c r="I1267" s="13">
        <v>2112.13</v>
      </c>
      <c r="J1267" s="14" t="s">
        <v>23</v>
      </c>
      <c r="K1267" s="14" t="s">
        <v>23</v>
      </c>
      <c r="L1267" s="5" t="s">
        <v>23</v>
      </c>
      <c r="M1267" s="5" t="s">
        <v>23</v>
      </c>
      <c r="N1267" s="5" t="s">
        <v>23</v>
      </c>
      <c r="O1267" s="15" t="s">
        <v>23</v>
      </c>
      <c r="P1267" s="144"/>
      <c r="S1267" s="18"/>
    </row>
    <row r="1268" spans="1:19" s="17" customFormat="1" ht="18.95" customHeight="1" outlineLevel="1" x14ac:dyDescent="0.25">
      <c r="A1268" s="148"/>
      <c r="B1268" s="148"/>
      <c r="C1268" s="148"/>
      <c r="D1268" s="156"/>
      <c r="E1268" s="156"/>
      <c r="F1268" s="12">
        <v>43647</v>
      </c>
      <c r="G1268" s="12">
        <v>43830</v>
      </c>
      <c r="H1268" s="147"/>
      <c r="I1268" s="13">
        <v>2151.5300000000002</v>
      </c>
      <c r="J1268" s="14" t="s">
        <v>23</v>
      </c>
      <c r="K1268" s="14" t="s">
        <v>23</v>
      </c>
      <c r="L1268" s="5" t="s">
        <v>23</v>
      </c>
      <c r="M1268" s="5" t="s">
        <v>23</v>
      </c>
      <c r="N1268" s="5" t="s">
        <v>23</v>
      </c>
      <c r="O1268" s="15" t="s">
        <v>23</v>
      </c>
      <c r="P1268" s="145"/>
      <c r="S1268" s="18"/>
    </row>
    <row r="1269" spans="1:19" s="17" customFormat="1" ht="18.95" customHeight="1" outlineLevel="1" x14ac:dyDescent="0.25">
      <c r="A1269" s="148"/>
      <c r="B1269" s="148"/>
      <c r="C1269" s="148"/>
      <c r="D1269" s="137">
        <v>43454</v>
      </c>
      <c r="E1269" s="137" t="s">
        <v>806</v>
      </c>
      <c r="F1269" s="12">
        <v>43466</v>
      </c>
      <c r="G1269" s="12">
        <v>43646</v>
      </c>
      <c r="H1269" s="149"/>
      <c r="I1269" s="15" t="s">
        <v>23</v>
      </c>
      <c r="J1269" s="14" t="s">
        <v>23</v>
      </c>
      <c r="K1269" s="14" t="s">
        <v>23</v>
      </c>
      <c r="L1269" s="5" t="s">
        <v>23</v>
      </c>
      <c r="M1269" s="5" t="s">
        <v>23</v>
      </c>
      <c r="N1269" s="5" t="s">
        <v>23</v>
      </c>
      <c r="O1269" s="13">
        <v>2534.5500000000002</v>
      </c>
      <c r="P1269" s="144" t="s">
        <v>444</v>
      </c>
      <c r="S1269" s="18"/>
    </row>
    <row r="1270" spans="1:19" s="17" customFormat="1" ht="18.95" customHeight="1" outlineLevel="1" x14ac:dyDescent="0.25">
      <c r="A1270" s="148"/>
      <c r="B1270" s="148"/>
      <c r="C1270" s="148"/>
      <c r="D1270" s="138"/>
      <c r="E1270" s="138"/>
      <c r="F1270" s="12">
        <v>43647</v>
      </c>
      <c r="G1270" s="12">
        <v>43830</v>
      </c>
      <c r="H1270" s="150"/>
      <c r="I1270" s="15" t="s">
        <v>23</v>
      </c>
      <c r="J1270" s="14" t="s">
        <v>23</v>
      </c>
      <c r="K1270" s="14" t="s">
        <v>23</v>
      </c>
      <c r="L1270" s="5" t="s">
        <v>23</v>
      </c>
      <c r="M1270" s="5" t="s">
        <v>23</v>
      </c>
      <c r="N1270" s="5" t="s">
        <v>23</v>
      </c>
      <c r="O1270" s="13">
        <v>2534.5500000000002</v>
      </c>
      <c r="P1270" s="145"/>
      <c r="S1270" s="18"/>
    </row>
    <row r="1271" spans="1:19" s="17" customFormat="1" ht="18.95" customHeight="1" outlineLevel="1" x14ac:dyDescent="0.25">
      <c r="A1271" s="148"/>
      <c r="B1271" s="148"/>
      <c r="C1271" s="148"/>
      <c r="D1271" s="138"/>
      <c r="E1271" s="138"/>
      <c r="F1271" s="12">
        <v>43466</v>
      </c>
      <c r="G1271" s="12">
        <v>43646</v>
      </c>
      <c r="H1271" s="150"/>
      <c r="I1271" s="15" t="s">
        <v>23</v>
      </c>
      <c r="J1271" s="14" t="s">
        <v>23</v>
      </c>
      <c r="K1271" s="14" t="s">
        <v>23</v>
      </c>
      <c r="L1271" s="5" t="s">
        <v>23</v>
      </c>
      <c r="M1271" s="5" t="s">
        <v>23</v>
      </c>
      <c r="N1271" s="5" t="s">
        <v>23</v>
      </c>
      <c r="O1271" s="13">
        <v>1561.16</v>
      </c>
      <c r="P1271" s="144" t="s">
        <v>446</v>
      </c>
      <c r="Q1271" s="17">
        <f>O1271/1.2</f>
        <v>1300.9666666666667</v>
      </c>
      <c r="R1271" s="67">
        <f>I1267-Q1271</f>
        <v>811.16333333333341</v>
      </c>
      <c r="S1271" s="18">
        <f>R1271*2905.364</f>
        <v>2356724.746786667</v>
      </c>
    </row>
    <row r="1272" spans="1:19" s="17" customFormat="1" ht="18.95" customHeight="1" outlineLevel="1" x14ac:dyDescent="0.25">
      <c r="A1272" s="147"/>
      <c r="B1272" s="147"/>
      <c r="C1272" s="147"/>
      <c r="D1272" s="141"/>
      <c r="E1272" s="141"/>
      <c r="F1272" s="12">
        <v>43647</v>
      </c>
      <c r="G1272" s="12">
        <v>43830</v>
      </c>
      <c r="H1272" s="151"/>
      <c r="I1272" s="15" t="s">
        <v>23</v>
      </c>
      <c r="J1272" s="14" t="s">
        <v>23</v>
      </c>
      <c r="K1272" s="14" t="s">
        <v>23</v>
      </c>
      <c r="L1272" s="5" t="s">
        <v>23</v>
      </c>
      <c r="M1272" s="5" t="s">
        <v>23</v>
      </c>
      <c r="N1272" s="5" t="s">
        <v>23</v>
      </c>
      <c r="O1272" s="13">
        <v>1592.38</v>
      </c>
      <c r="P1272" s="145"/>
      <c r="S1272" s="18"/>
    </row>
    <row r="1273" spans="1:19" s="17" customFormat="1" ht="18.95" customHeight="1" outlineLevel="1" x14ac:dyDescent="0.25">
      <c r="A1273" s="146" t="s">
        <v>40</v>
      </c>
      <c r="B1273" s="146" t="s">
        <v>42</v>
      </c>
      <c r="C1273" s="146" t="s">
        <v>28</v>
      </c>
      <c r="D1273" s="156">
        <v>42713</v>
      </c>
      <c r="E1273" s="156" t="s">
        <v>804</v>
      </c>
      <c r="F1273" s="12">
        <v>43466</v>
      </c>
      <c r="G1273" s="12">
        <v>43646</v>
      </c>
      <c r="H1273" s="146" t="s">
        <v>805</v>
      </c>
      <c r="I1273" s="13">
        <v>7153.29</v>
      </c>
      <c r="J1273" s="14" t="s">
        <v>23</v>
      </c>
      <c r="K1273" s="14" t="s">
        <v>23</v>
      </c>
      <c r="L1273" s="5" t="s">
        <v>23</v>
      </c>
      <c r="M1273" s="5" t="s">
        <v>23</v>
      </c>
      <c r="N1273" s="5" t="s">
        <v>23</v>
      </c>
      <c r="O1273" s="4" t="s">
        <v>23</v>
      </c>
      <c r="P1273" s="153" t="s">
        <v>29</v>
      </c>
      <c r="S1273" s="18"/>
    </row>
    <row r="1274" spans="1:19" s="17" customFormat="1" ht="18.95" customHeight="1" outlineLevel="1" x14ac:dyDescent="0.25">
      <c r="A1274" s="148"/>
      <c r="B1274" s="148"/>
      <c r="C1274" s="148"/>
      <c r="D1274" s="156"/>
      <c r="E1274" s="156"/>
      <c r="F1274" s="12">
        <v>43647</v>
      </c>
      <c r="G1274" s="12">
        <v>43830</v>
      </c>
      <c r="H1274" s="147"/>
      <c r="I1274" s="13">
        <v>9428.98</v>
      </c>
      <c r="J1274" s="14" t="s">
        <v>23</v>
      </c>
      <c r="K1274" s="14" t="s">
        <v>23</v>
      </c>
      <c r="L1274" s="5" t="s">
        <v>23</v>
      </c>
      <c r="M1274" s="5" t="s">
        <v>23</v>
      </c>
      <c r="N1274" s="5" t="s">
        <v>23</v>
      </c>
      <c r="O1274" s="4" t="s">
        <v>23</v>
      </c>
      <c r="P1274" s="152" t="s">
        <v>29</v>
      </c>
      <c r="S1274" s="18"/>
    </row>
    <row r="1275" spans="1:19" s="17" customFormat="1" ht="18.95" customHeight="1" outlineLevel="1" x14ac:dyDescent="0.25">
      <c r="A1275" s="148"/>
      <c r="B1275" s="148"/>
      <c r="C1275" s="148"/>
      <c r="D1275" s="156">
        <v>43454</v>
      </c>
      <c r="E1275" s="156" t="s">
        <v>806</v>
      </c>
      <c r="F1275" s="12">
        <v>43466</v>
      </c>
      <c r="G1275" s="12">
        <v>43646</v>
      </c>
      <c r="H1275" s="149"/>
      <c r="I1275" s="15" t="s">
        <v>23</v>
      </c>
      <c r="J1275" s="14" t="s">
        <v>23</v>
      </c>
      <c r="K1275" s="14" t="s">
        <v>23</v>
      </c>
      <c r="L1275" s="5" t="s">
        <v>23</v>
      </c>
      <c r="M1275" s="5" t="s">
        <v>23</v>
      </c>
      <c r="N1275" s="5" t="s">
        <v>23</v>
      </c>
      <c r="O1275" s="13">
        <v>2304.14</v>
      </c>
      <c r="P1275" s="144"/>
      <c r="S1275" s="18"/>
    </row>
    <row r="1276" spans="1:19" s="17" customFormat="1" ht="18.95" customHeight="1" outlineLevel="1" x14ac:dyDescent="0.25">
      <c r="A1276" s="147"/>
      <c r="B1276" s="147"/>
      <c r="C1276" s="148"/>
      <c r="D1276" s="156"/>
      <c r="E1276" s="156"/>
      <c r="F1276" s="12">
        <v>43647</v>
      </c>
      <c r="G1276" s="12">
        <v>43830</v>
      </c>
      <c r="H1276" s="151"/>
      <c r="I1276" s="15" t="s">
        <v>23</v>
      </c>
      <c r="J1276" s="14" t="s">
        <v>23</v>
      </c>
      <c r="K1276" s="14" t="s">
        <v>23</v>
      </c>
      <c r="L1276" s="5" t="s">
        <v>23</v>
      </c>
      <c r="M1276" s="5" t="s">
        <v>23</v>
      </c>
      <c r="N1276" s="5" t="s">
        <v>23</v>
      </c>
      <c r="O1276" s="13">
        <v>2350.2199999999998</v>
      </c>
      <c r="P1276" s="145"/>
      <c r="S1276" s="18"/>
    </row>
    <row r="1277" spans="1:19" s="17" customFormat="1" ht="18.95" customHeight="1" outlineLevel="1" x14ac:dyDescent="0.25">
      <c r="A1277" s="146" t="s">
        <v>40</v>
      </c>
      <c r="B1277" s="146" t="s">
        <v>43</v>
      </c>
      <c r="C1277" s="148"/>
      <c r="D1277" s="156">
        <v>42713</v>
      </c>
      <c r="E1277" s="156" t="s">
        <v>804</v>
      </c>
      <c r="F1277" s="12">
        <v>43466</v>
      </c>
      <c r="G1277" s="12">
        <v>43646</v>
      </c>
      <c r="H1277" s="146" t="s">
        <v>805</v>
      </c>
      <c r="I1277" s="13">
        <v>7153.29</v>
      </c>
      <c r="J1277" s="14" t="s">
        <v>23</v>
      </c>
      <c r="K1277" s="14" t="s">
        <v>23</v>
      </c>
      <c r="L1277" s="5" t="s">
        <v>23</v>
      </c>
      <c r="M1277" s="5" t="s">
        <v>23</v>
      </c>
      <c r="N1277" s="5" t="s">
        <v>23</v>
      </c>
      <c r="O1277" s="4" t="s">
        <v>23</v>
      </c>
      <c r="P1277" s="153" t="s">
        <v>29</v>
      </c>
      <c r="S1277" s="18"/>
    </row>
    <row r="1278" spans="1:19" s="17" customFormat="1" ht="18.95" customHeight="1" outlineLevel="1" x14ac:dyDescent="0.25">
      <c r="A1278" s="148"/>
      <c r="B1278" s="148"/>
      <c r="C1278" s="148"/>
      <c r="D1278" s="156"/>
      <c r="E1278" s="156"/>
      <c r="F1278" s="12">
        <v>43647</v>
      </c>
      <c r="G1278" s="12">
        <v>43830</v>
      </c>
      <c r="H1278" s="147"/>
      <c r="I1278" s="13">
        <v>9428.98</v>
      </c>
      <c r="J1278" s="14" t="s">
        <v>23</v>
      </c>
      <c r="K1278" s="14" t="s">
        <v>23</v>
      </c>
      <c r="L1278" s="5" t="s">
        <v>23</v>
      </c>
      <c r="M1278" s="5" t="s">
        <v>23</v>
      </c>
      <c r="N1278" s="5" t="s">
        <v>23</v>
      </c>
      <c r="O1278" s="4" t="s">
        <v>23</v>
      </c>
      <c r="P1278" s="152" t="s">
        <v>29</v>
      </c>
      <c r="S1278" s="18"/>
    </row>
    <row r="1279" spans="1:19" s="17" customFormat="1" ht="18.95" customHeight="1" outlineLevel="1" x14ac:dyDescent="0.25">
      <c r="A1279" s="148"/>
      <c r="B1279" s="148"/>
      <c r="C1279" s="148"/>
      <c r="D1279" s="156">
        <v>43454</v>
      </c>
      <c r="E1279" s="156" t="s">
        <v>806</v>
      </c>
      <c r="F1279" s="12">
        <v>43466</v>
      </c>
      <c r="G1279" s="12">
        <v>43646</v>
      </c>
      <c r="H1279" s="149"/>
      <c r="I1279" s="15" t="s">
        <v>23</v>
      </c>
      <c r="J1279" s="14" t="s">
        <v>23</v>
      </c>
      <c r="K1279" s="14" t="s">
        <v>23</v>
      </c>
      <c r="L1279" s="5" t="s">
        <v>23</v>
      </c>
      <c r="M1279" s="5" t="s">
        <v>23</v>
      </c>
      <c r="N1279" s="5" t="s">
        <v>23</v>
      </c>
      <c r="O1279" s="13">
        <v>2046.69</v>
      </c>
      <c r="P1279" s="144"/>
      <c r="S1279" s="18"/>
    </row>
    <row r="1280" spans="1:19" s="17" customFormat="1" ht="18.95" customHeight="1" outlineLevel="1" x14ac:dyDescent="0.25">
      <c r="A1280" s="147"/>
      <c r="B1280" s="147"/>
      <c r="C1280" s="147"/>
      <c r="D1280" s="156"/>
      <c r="E1280" s="156"/>
      <c r="F1280" s="12">
        <v>43647</v>
      </c>
      <c r="G1280" s="12">
        <v>43830</v>
      </c>
      <c r="H1280" s="151"/>
      <c r="I1280" s="15" t="s">
        <v>23</v>
      </c>
      <c r="J1280" s="14" t="s">
        <v>23</v>
      </c>
      <c r="K1280" s="14" t="s">
        <v>23</v>
      </c>
      <c r="L1280" s="5" t="s">
        <v>23</v>
      </c>
      <c r="M1280" s="5" t="s">
        <v>23</v>
      </c>
      <c r="N1280" s="5" t="s">
        <v>23</v>
      </c>
      <c r="O1280" s="13">
        <v>2087.62</v>
      </c>
      <c r="P1280" s="145"/>
      <c r="S1280" s="18"/>
    </row>
    <row r="1281" spans="1:19" s="17" customFormat="1" ht="18.95" customHeight="1" outlineLevel="1" x14ac:dyDescent="0.25">
      <c r="A1281" s="146" t="s">
        <v>40</v>
      </c>
      <c r="B1281" s="146" t="s">
        <v>44</v>
      </c>
      <c r="C1281" s="146" t="s">
        <v>45</v>
      </c>
      <c r="D1281" s="156">
        <v>42713</v>
      </c>
      <c r="E1281" s="156" t="s">
        <v>801</v>
      </c>
      <c r="F1281" s="12">
        <v>43466</v>
      </c>
      <c r="G1281" s="12">
        <v>43646</v>
      </c>
      <c r="H1281" s="146" t="s">
        <v>802</v>
      </c>
      <c r="I1281" s="13">
        <v>5967.25</v>
      </c>
      <c r="J1281" s="14" t="s">
        <v>23</v>
      </c>
      <c r="K1281" s="14" t="s">
        <v>23</v>
      </c>
      <c r="L1281" s="5" t="s">
        <v>23</v>
      </c>
      <c r="M1281" s="5" t="s">
        <v>23</v>
      </c>
      <c r="N1281" s="5" t="s">
        <v>23</v>
      </c>
      <c r="O1281" s="4" t="s">
        <v>23</v>
      </c>
      <c r="P1281" s="144"/>
      <c r="S1281" s="18"/>
    </row>
    <row r="1282" spans="1:19" s="17" customFormat="1" ht="18.95" customHeight="1" outlineLevel="1" x14ac:dyDescent="0.25">
      <c r="A1282" s="148"/>
      <c r="B1282" s="148"/>
      <c r="C1282" s="148"/>
      <c r="D1282" s="156"/>
      <c r="E1282" s="156"/>
      <c r="F1282" s="12">
        <v>43647</v>
      </c>
      <c r="G1282" s="12">
        <v>43830</v>
      </c>
      <c r="H1282" s="147"/>
      <c r="I1282" s="13">
        <v>5967.25</v>
      </c>
      <c r="J1282" s="14" t="s">
        <v>23</v>
      </c>
      <c r="K1282" s="14" t="s">
        <v>23</v>
      </c>
      <c r="L1282" s="5" t="s">
        <v>23</v>
      </c>
      <c r="M1282" s="5" t="s">
        <v>23</v>
      </c>
      <c r="N1282" s="5" t="s">
        <v>23</v>
      </c>
      <c r="O1282" s="4" t="s">
        <v>23</v>
      </c>
      <c r="P1282" s="145"/>
      <c r="S1282" s="18"/>
    </row>
    <row r="1283" spans="1:19" s="17" customFormat="1" ht="18.95" customHeight="1" outlineLevel="1" x14ac:dyDescent="0.25">
      <c r="A1283" s="148"/>
      <c r="B1283" s="148"/>
      <c r="C1283" s="148"/>
      <c r="D1283" s="156">
        <v>43454</v>
      </c>
      <c r="E1283" s="156" t="s">
        <v>806</v>
      </c>
      <c r="F1283" s="12">
        <v>43466</v>
      </c>
      <c r="G1283" s="12">
        <v>43646</v>
      </c>
      <c r="H1283" s="149"/>
      <c r="I1283" s="15" t="s">
        <v>23</v>
      </c>
      <c r="J1283" s="14" t="s">
        <v>23</v>
      </c>
      <c r="K1283" s="14" t="s">
        <v>23</v>
      </c>
      <c r="L1283" s="5" t="s">
        <v>23</v>
      </c>
      <c r="M1283" s="5" t="s">
        <v>23</v>
      </c>
      <c r="N1283" s="5" t="s">
        <v>23</v>
      </c>
      <c r="O1283" s="13">
        <v>2371.9899999999998</v>
      </c>
      <c r="P1283" s="144"/>
      <c r="S1283" s="18"/>
    </row>
    <row r="1284" spans="1:19" s="17" customFormat="1" ht="18.95" customHeight="1" outlineLevel="1" x14ac:dyDescent="0.25">
      <c r="A1284" s="147"/>
      <c r="B1284" s="147"/>
      <c r="C1284" s="148"/>
      <c r="D1284" s="156"/>
      <c r="E1284" s="156"/>
      <c r="F1284" s="12">
        <v>43647</v>
      </c>
      <c r="G1284" s="12">
        <v>43830</v>
      </c>
      <c r="H1284" s="151"/>
      <c r="I1284" s="15" t="s">
        <v>23</v>
      </c>
      <c r="J1284" s="14" t="s">
        <v>23</v>
      </c>
      <c r="K1284" s="14" t="s">
        <v>23</v>
      </c>
      <c r="L1284" s="5" t="s">
        <v>23</v>
      </c>
      <c r="M1284" s="5" t="s">
        <v>23</v>
      </c>
      <c r="N1284" s="5" t="s">
        <v>23</v>
      </c>
      <c r="O1284" s="13">
        <v>2419.4299999999998</v>
      </c>
      <c r="P1284" s="145"/>
      <c r="S1284" s="18"/>
    </row>
    <row r="1285" spans="1:19" s="17" customFormat="1" ht="18.95" customHeight="1" outlineLevel="1" x14ac:dyDescent="0.25">
      <c r="A1285" s="146" t="s">
        <v>313</v>
      </c>
      <c r="B1285" s="146" t="s">
        <v>185</v>
      </c>
      <c r="C1285" s="146" t="s">
        <v>322</v>
      </c>
      <c r="D1285" s="137">
        <v>43454</v>
      </c>
      <c r="E1285" s="137" t="s">
        <v>793</v>
      </c>
      <c r="F1285" s="12">
        <v>43466</v>
      </c>
      <c r="G1285" s="12">
        <v>43646</v>
      </c>
      <c r="H1285" s="146"/>
      <c r="I1285" s="40">
        <v>940.27</v>
      </c>
      <c r="J1285" s="14" t="s">
        <v>23</v>
      </c>
      <c r="K1285" s="14" t="s">
        <v>23</v>
      </c>
      <c r="L1285" s="5" t="s">
        <v>23</v>
      </c>
      <c r="M1285" s="5" t="s">
        <v>23</v>
      </c>
      <c r="N1285" s="5" t="s">
        <v>23</v>
      </c>
      <c r="O1285" s="15" t="s">
        <v>85</v>
      </c>
      <c r="P1285" s="144"/>
      <c r="S1285" s="18"/>
    </row>
    <row r="1286" spans="1:19" s="17" customFormat="1" ht="18.95" customHeight="1" outlineLevel="1" x14ac:dyDescent="0.25">
      <c r="A1286" s="148"/>
      <c r="B1286" s="148"/>
      <c r="C1286" s="148"/>
      <c r="D1286" s="138"/>
      <c r="E1286" s="138"/>
      <c r="F1286" s="12">
        <v>43647</v>
      </c>
      <c r="G1286" s="12">
        <v>43830</v>
      </c>
      <c r="H1286" s="148"/>
      <c r="I1286" s="40">
        <v>959.07</v>
      </c>
      <c r="J1286" s="14" t="s">
        <v>23</v>
      </c>
      <c r="K1286" s="14" t="s">
        <v>23</v>
      </c>
      <c r="L1286" s="5" t="s">
        <v>23</v>
      </c>
      <c r="M1286" s="5" t="s">
        <v>23</v>
      </c>
      <c r="N1286" s="5" t="s">
        <v>23</v>
      </c>
      <c r="O1286" s="15" t="s">
        <v>85</v>
      </c>
      <c r="P1286" s="145"/>
      <c r="S1286" s="18"/>
    </row>
    <row r="1287" spans="1:19" s="17" customFormat="1" ht="18.95" customHeight="1" outlineLevel="1" x14ac:dyDescent="0.25">
      <c r="A1287" s="6">
        <v>16</v>
      </c>
      <c r="B1287" s="6" t="s">
        <v>119</v>
      </c>
      <c r="C1287" s="7"/>
      <c r="D1287" s="7"/>
      <c r="E1287" s="7"/>
      <c r="F1287" s="7"/>
      <c r="G1287" s="7"/>
      <c r="H1287" s="7"/>
      <c r="I1287" s="8"/>
      <c r="J1287" s="31"/>
      <c r="K1287" s="31"/>
      <c r="L1287" s="32"/>
      <c r="M1287" s="32"/>
      <c r="N1287" s="32"/>
      <c r="O1287" s="8"/>
      <c r="P1287" s="9"/>
      <c r="S1287" s="18"/>
    </row>
    <row r="1288" spans="1:19" s="17" customFormat="1" ht="18.95" customHeight="1" outlineLevel="1" x14ac:dyDescent="0.25">
      <c r="A1288" s="146" t="s">
        <v>119</v>
      </c>
      <c r="B1288" s="146" t="s">
        <v>119</v>
      </c>
      <c r="C1288" s="146" t="s">
        <v>292</v>
      </c>
      <c r="D1288" s="156">
        <v>42717</v>
      </c>
      <c r="E1288" s="156" t="s">
        <v>759</v>
      </c>
      <c r="F1288" s="12">
        <v>43466</v>
      </c>
      <c r="G1288" s="12">
        <v>43646</v>
      </c>
      <c r="H1288" s="146" t="s">
        <v>758</v>
      </c>
      <c r="I1288" s="13">
        <v>296.25</v>
      </c>
      <c r="J1288" s="14" t="s">
        <v>23</v>
      </c>
      <c r="K1288" s="14" t="s">
        <v>23</v>
      </c>
      <c r="L1288" s="5" t="s">
        <v>23</v>
      </c>
      <c r="M1288" s="5" t="s">
        <v>23</v>
      </c>
      <c r="N1288" s="5" t="s">
        <v>23</v>
      </c>
      <c r="O1288" s="15" t="s">
        <v>23</v>
      </c>
      <c r="P1288" s="144" t="s">
        <v>460</v>
      </c>
      <c r="S1288" s="18"/>
    </row>
    <row r="1289" spans="1:19" s="17" customFormat="1" ht="18.95" customHeight="1" outlineLevel="1" x14ac:dyDescent="0.25">
      <c r="A1289" s="147"/>
      <c r="B1289" s="147"/>
      <c r="C1289" s="147"/>
      <c r="D1289" s="156"/>
      <c r="E1289" s="156"/>
      <c r="F1289" s="12">
        <v>43647</v>
      </c>
      <c r="G1289" s="12">
        <v>43830</v>
      </c>
      <c r="H1289" s="147"/>
      <c r="I1289" s="13">
        <v>302.20999999999998</v>
      </c>
      <c r="J1289" s="14" t="s">
        <v>23</v>
      </c>
      <c r="K1289" s="14" t="s">
        <v>23</v>
      </c>
      <c r="L1289" s="5" t="s">
        <v>23</v>
      </c>
      <c r="M1289" s="5" t="s">
        <v>23</v>
      </c>
      <c r="N1289" s="5" t="s">
        <v>23</v>
      </c>
      <c r="O1289" s="15" t="s">
        <v>23</v>
      </c>
      <c r="P1289" s="145"/>
      <c r="S1289" s="18"/>
    </row>
    <row r="1290" spans="1:19" s="17" customFormat="1" ht="18.95" customHeight="1" outlineLevel="1" x14ac:dyDescent="0.25">
      <c r="A1290" s="146" t="s">
        <v>119</v>
      </c>
      <c r="B1290" s="146" t="s">
        <v>119</v>
      </c>
      <c r="C1290" s="146" t="s">
        <v>184</v>
      </c>
      <c r="D1290" s="156">
        <v>43453</v>
      </c>
      <c r="E1290" s="156" t="s">
        <v>761</v>
      </c>
      <c r="F1290" s="12">
        <v>43466</v>
      </c>
      <c r="G1290" s="12">
        <v>43646</v>
      </c>
      <c r="H1290" s="146"/>
      <c r="I1290" s="13">
        <v>631.11</v>
      </c>
      <c r="J1290" s="14" t="s">
        <v>23</v>
      </c>
      <c r="K1290" s="14" t="s">
        <v>23</v>
      </c>
      <c r="L1290" s="5" t="s">
        <v>23</v>
      </c>
      <c r="M1290" s="5" t="s">
        <v>23</v>
      </c>
      <c r="N1290" s="5" t="s">
        <v>23</v>
      </c>
      <c r="O1290" s="15" t="s">
        <v>23</v>
      </c>
      <c r="P1290" s="144"/>
      <c r="S1290" s="18"/>
    </row>
    <row r="1291" spans="1:19" s="17" customFormat="1" ht="18.95" customHeight="1" outlineLevel="1" x14ac:dyDescent="0.25">
      <c r="A1291" s="148"/>
      <c r="B1291" s="148"/>
      <c r="C1291" s="148"/>
      <c r="D1291" s="156"/>
      <c r="E1291" s="156"/>
      <c r="F1291" s="12">
        <v>43647</v>
      </c>
      <c r="G1291" s="12">
        <v>43830</v>
      </c>
      <c r="H1291" s="148"/>
      <c r="I1291" s="13">
        <v>638.91</v>
      </c>
      <c r="J1291" s="14" t="s">
        <v>23</v>
      </c>
      <c r="K1291" s="14" t="s">
        <v>23</v>
      </c>
      <c r="L1291" s="5" t="s">
        <v>23</v>
      </c>
      <c r="M1291" s="5" t="s">
        <v>23</v>
      </c>
      <c r="N1291" s="5" t="s">
        <v>23</v>
      </c>
      <c r="O1291" s="15" t="s">
        <v>23</v>
      </c>
      <c r="P1291" s="145"/>
      <c r="S1291" s="18"/>
    </row>
    <row r="1292" spans="1:19" s="17" customFormat="1" ht="18.95" customHeight="1" outlineLevel="1" x14ac:dyDescent="0.25">
      <c r="A1292" s="148"/>
      <c r="B1292" s="148"/>
      <c r="C1292" s="148"/>
      <c r="D1292" s="156">
        <v>43453</v>
      </c>
      <c r="E1292" s="156" t="s">
        <v>761</v>
      </c>
      <c r="F1292" s="12">
        <v>43466</v>
      </c>
      <c r="G1292" s="12">
        <v>43646</v>
      </c>
      <c r="H1292" s="148"/>
      <c r="I1292" s="13">
        <v>927.36</v>
      </c>
      <c r="J1292" s="14" t="s">
        <v>23</v>
      </c>
      <c r="K1292" s="14" t="s">
        <v>23</v>
      </c>
      <c r="L1292" s="5" t="s">
        <v>23</v>
      </c>
      <c r="M1292" s="5" t="s">
        <v>23</v>
      </c>
      <c r="N1292" s="5" t="s">
        <v>23</v>
      </c>
      <c r="O1292" s="15" t="s">
        <v>23</v>
      </c>
      <c r="P1292" s="153" t="s">
        <v>359</v>
      </c>
      <c r="S1292" s="18"/>
    </row>
    <row r="1293" spans="1:19" s="17" customFormat="1" ht="18.95" customHeight="1" outlineLevel="1" x14ac:dyDescent="0.25">
      <c r="A1293" s="148"/>
      <c r="B1293" s="148"/>
      <c r="C1293" s="148"/>
      <c r="D1293" s="156"/>
      <c r="E1293" s="156"/>
      <c r="F1293" s="12">
        <v>43647</v>
      </c>
      <c r="G1293" s="12">
        <v>43830</v>
      </c>
      <c r="H1293" s="147"/>
      <c r="I1293" s="13">
        <v>941.12</v>
      </c>
      <c r="J1293" s="14" t="s">
        <v>23</v>
      </c>
      <c r="K1293" s="14" t="s">
        <v>23</v>
      </c>
      <c r="L1293" s="5" t="s">
        <v>23</v>
      </c>
      <c r="M1293" s="5" t="s">
        <v>23</v>
      </c>
      <c r="N1293" s="5" t="s">
        <v>23</v>
      </c>
      <c r="O1293" s="15" t="s">
        <v>23</v>
      </c>
      <c r="P1293" s="152"/>
      <c r="S1293" s="18"/>
    </row>
    <row r="1294" spans="1:19" s="17" customFormat="1" ht="18.95" customHeight="1" outlineLevel="1" x14ac:dyDescent="0.25">
      <c r="A1294" s="148"/>
      <c r="B1294" s="148"/>
      <c r="C1294" s="148"/>
      <c r="D1294" s="156">
        <v>43454</v>
      </c>
      <c r="E1294" s="156" t="s">
        <v>760</v>
      </c>
      <c r="F1294" s="12">
        <v>43466</v>
      </c>
      <c r="G1294" s="12">
        <v>43646</v>
      </c>
      <c r="H1294" s="149"/>
      <c r="I1294" s="15" t="s">
        <v>23</v>
      </c>
      <c r="J1294" s="14" t="s">
        <v>23</v>
      </c>
      <c r="K1294" s="14" t="s">
        <v>23</v>
      </c>
      <c r="L1294" s="5" t="s">
        <v>23</v>
      </c>
      <c r="M1294" s="5" t="s">
        <v>23</v>
      </c>
      <c r="N1294" s="5" t="s">
        <v>23</v>
      </c>
      <c r="O1294" s="13">
        <v>757.33</v>
      </c>
      <c r="P1294" s="144"/>
      <c r="S1294" s="18"/>
    </row>
    <row r="1295" spans="1:19" s="17" customFormat="1" ht="18.95" customHeight="1" outlineLevel="1" x14ac:dyDescent="0.25">
      <c r="A1295" s="147"/>
      <c r="B1295" s="147"/>
      <c r="C1295" s="147"/>
      <c r="D1295" s="156"/>
      <c r="E1295" s="156"/>
      <c r="F1295" s="12">
        <v>43647</v>
      </c>
      <c r="G1295" s="12">
        <v>43830</v>
      </c>
      <c r="H1295" s="151"/>
      <c r="I1295" s="15" t="s">
        <v>23</v>
      </c>
      <c r="J1295" s="14" t="s">
        <v>23</v>
      </c>
      <c r="K1295" s="14" t="s">
        <v>23</v>
      </c>
      <c r="L1295" s="5" t="s">
        <v>23</v>
      </c>
      <c r="M1295" s="5" t="s">
        <v>23</v>
      </c>
      <c r="N1295" s="5" t="s">
        <v>23</v>
      </c>
      <c r="O1295" s="13">
        <v>766.69</v>
      </c>
      <c r="P1295" s="145"/>
      <c r="S1295" s="18"/>
    </row>
    <row r="1296" spans="1:19" s="17" customFormat="1" ht="40.5" customHeight="1" outlineLevel="1" x14ac:dyDescent="0.25">
      <c r="A1296" s="146" t="s">
        <v>119</v>
      </c>
      <c r="B1296" s="146" t="s">
        <v>119</v>
      </c>
      <c r="C1296" s="146" t="s">
        <v>323</v>
      </c>
      <c r="D1296" s="156">
        <v>43454</v>
      </c>
      <c r="E1296" s="156" t="s">
        <v>794</v>
      </c>
      <c r="F1296" s="12">
        <v>43466</v>
      </c>
      <c r="G1296" s="12">
        <v>43646</v>
      </c>
      <c r="H1296" s="146"/>
      <c r="I1296" s="40">
        <v>317.26</v>
      </c>
      <c r="J1296" s="14" t="s">
        <v>23</v>
      </c>
      <c r="K1296" s="14" t="s">
        <v>23</v>
      </c>
      <c r="L1296" s="5" t="s">
        <v>23</v>
      </c>
      <c r="M1296" s="5" t="s">
        <v>23</v>
      </c>
      <c r="N1296" s="5" t="s">
        <v>23</v>
      </c>
      <c r="O1296" s="15" t="s">
        <v>85</v>
      </c>
      <c r="P1296" s="144"/>
      <c r="S1296" s="18"/>
    </row>
    <row r="1297" spans="1:19" s="17" customFormat="1" ht="42" customHeight="1" outlineLevel="1" x14ac:dyDescent="0.25">
      <c r="A1297" s="147"/>
      <c r="B1297" s="147"/>
      <c r="C1297" s="147"/>
      <c r="D1297" s="156"/>
      <c r="E1297" s="156"/>
      <c r="F1297" s="12">
        <v>43647</v>
      </c>
      <c r="G1297" s="12">
        <v>43830</v>
      </c>
      <c r="H1297" s="147"/>
      <c r="I1297" s="40">
        <v>323.60000000000002</v>
      </c>
      <c r="J1297" s="14" t="s">
        <v>23</v>
      </c>
      <c r="K1297" s="14" t="s">
        <v>23</v>
      </c>
      <c r="L1297" s="5" t="s">
        <v>23</v>
      </c>
      <c r="M1297" s="5" t="s">
        <v>23</v>
      </c>
      <c r="N1297" s="5" t="s">
        <v>23</v>
      </c>
      <c r="O1297" s="15" t="s">
        <v>85</v>
      </c>
      <c r="P1297" s="145"/>
      <c r="S1297" s="18"/>
    </row>
    <row r="1298" spans="1:19" s="17" customFormat="1" ht="18.95" customHeight="1" outlineLevel="1" x14ac:dyDescent="0.25">
      <c r="A1298" s="6">
        <v>17</v>
      </c>
      <c r="B1298" s="6" t="s">
        <v>547</v>
      </c>
      <c r="C1298" s="7"/>
      <c r="D1298" s="7"/>
      <c r="E1298" s="7"/>
      <c r="F1298" s="7"/>
      <c r="G1298" s="7"/>
      <c r="H1298" s="7"/>
      <c r="I1298" s="8"/>
      <c r="J1298" s="31"/>
      <c r="K1298" s="31"/>
      <c r="L1298" s="32"/>
      <c r="M1298" s="32"/>
      <c r="N1298" s="32"/>
      <c r="O1298" s="8"/>
      <c r="P1298" s="9"/>
      <c r="S1298" s="18"/>
    </row>
    <row r="1299" spans="1:19" s="17" customFormat="1" ht="18.95" customHeight="1" outlineLevel="1" x14ac:dyDescent="0.25">
      <c r="A1299" s="146" t="s">
        <v>61</v>
      </c>
      <c r="B1299" s="146" t="s">
        <v>548</v>
      </c>
      <c r="C1299" s="146" t="s">
        <v>120</v>
      </c>
      <c r="D1299" s="156">
        <v>42723</v>
      </c>
      <c r="E1299" s="156" t="s">
        <v>674</v>
      </c>
      <c r="F1299" s="12">
        <v>43466</v>
      </c>
      <c r="G1299" s="12">
        <v>43646</v>
      </c>
      <c r="H1299" s="146" t="s">
        <v>675</v>
      </c>
      <c r="I1299" s="13">
        <v>5349.7</v>
      </c>
      <c r="J1299" s="14" t="s">
        <v>23</v>
      </c>
      <c r="K1299" s="14" t="s">
        <v>23</v>
      </c>
      <c r="L1299" s="5" t="s">
        <v>23</v>
      </c>
      <c r="M1299" s="5" t="s">
        <v>23</v>
      </c>
      <c r="N1299" s="5" t="s">
        <v>23</v>
      </c>
      <c r="O1299" s="15" t="s">
        <v>23</v>
      </c>
      <c r="P1299" s="144"/>
      <c r="Q1299" s="17" t="e">
        <f t="shared" ref="Q1299:Q1330" si="13">O1299/1.2</f>
        <v>#VALUE!</v>
      </c>
      <c r="S1299" s="18"/>
    </row>
    <row r="1300" spans="1:19" s="17" customFormat="1" ht="18.95" customHeight="1" outlineLevel="1" x14ac:dyDescent="0.25">
      <c r="A1300" s="148"/>
      <c r="B1300" s="148"/>
      <c r="C1300" s="148"/>
      <c r="D1300" s="156"/>
      <c r="E1300" s="156"/>
      <c r="F1300" s="12">
        <v>43647</v>
      </c>
      <c r="G1300" s="12">
        <v>43830</v>
      </c>
      <c r="H1300" s="147"/>
      <c r="I1300" s="13">
        <v>7602.14</v>
      </c>
      <c r="J1300" s="14" t="s">
        <v>23</v>
      </c>
      <c r="K1300" s="14" t="s">
        <v>23</v>
      </c>
      <c r="L1300" s="5" t="s">
        <v>23</v>
      </c>
      <c r="M1300" s="5" t="s">
        <v>23</v>
      </c>
      <c r="N1300" s="5" t="s">
        <v>23</v>
      </c>
      <c r="O1300" s="15" t="s">
        <v>23</v>
      </c>
      <c r="P1300" s="145"/>
      <c r="Q1300" s="17" t="e">
        <f t="shared" si="13"/>
        <v>#VALUE!</v>
      </c>
      <c r="S1300" s="18"/>
    </row>
    <row r="1301" spans="1:19" s="17" customFormat="1" ht="18.95" customHeight="1" outlineLevel="1" x14ac:dyDescent="0.25">
      <c r="A1301" s="148"/>
      <c r="B1301" s="148"/>
      <c r="C1301" s="148"/>
      <c r="D1301" s="156">
        <v>43454</v>
      </c>
      <c r="E1301" s="156" t="s">
        <v>673</v>
      </c>
      <c r="F1301" s="12">
        <v>43466</v>
      </c>
      <c r="G1301" s="12">
        <v>43646</v>
      </c>
      <c r="H1301" s="149"/>
      <c r="I1301" s="15" t="s">
        <v>23</v>
      </c>
      <c r="J1301" s="14" t="s">
        <v>23</v>
      </c>
      <c r="K1301" s="14" t="s">
        <v>23</v>
      </c>
      <c r="L1301" s="5" t="s">
        <v>23</v>
      </c>
      <c r="M1301" s="5" t="s">
        <v>23</v>
      </c>
      <c r="N1301" s="5" t="s">
        <v>23</v>
      </c>
      <c r="O1301" s="13">
        <v>2769.11</v>
      </c>
      <c r="P1301" s="144"/>
      <c r="Q1301" s="17">
        <f t="shared" si="13"/>
        <v>2307.5916666666667</v>
      </c>
      <c r="R1301" s="67">
        <f>I1299-Q1301</f>
        <v>3042.1083333333331</v>
      </c>
      <c r="S1301" s="18">
        <f>R1301*396.589</f>
        <v>1206466.7018083332</v>
      </c>
    </row>
    <row r="1302" spans="1:19" s="17" customFormat="1" ht="18.95" customHeight="1" outlineLevel="1" x14ac:dyDescent="0.25">
      <c r="A1302" s="147"/>
      <c r="B1302" s="147"/>
      <c r="C1302" s="148"/>
      <c r="D1302" s="156"/>
      <c r="E1302" s="156"/>
      <c r="F1302" s="12">
        <v>43647</v>
      </c>
      <c r="G1302" s="12">
        <v>43830</v>
      </c>
      <c r="H1302" s="151"/>
      <c r="I1302" s="15" t="s">
        <v>23</v>
      </c>
      <c r="J1302" s="14" t="s">
        <v>23</v>
      </c>
      <c r="K1302" s="14" t="s">
        <v>23</v>
      </c>
      <c r="L1302" s="5" t="s">
        <v>23</v>
      </c>
      <c r="M1302" s="5" t="s">
        <v>23</v>
      </c>
      <c r="N1302" s="5" t="s">
        <v>23</v>
      </c>
      <c r="O1302" s="13">
        <v>2769.11</v>
      </c>
      <c r="P1302" s="145"/>
      <c r="Q1302" s="17">
        <f t="shared" si="13"/>
        <v>2307.5916666666667</v>
      </c>
      <c r="S1302" s="18"/>
    </row>
    <row r="1303" spans="1:19" s="17" customFormat="1" ht="18.95" customHeight="1" outlineLevel="1" x14ac:dyDescent="0.25">
      <c r="A1303" s="146" t="s">
        <v>61</v>
      </c>
      <c r="B1303" s="146" t="s">
        <v>549</v>
      </c>
      <c r="C1303" s="148"/>
      <c r="D1303" s="156">
        <v>42723</v>
      </c>
      <c r="E1303" s="156" t="s">
        <v>674</v>
      </c>
      <c r="F1303" s="12">
        <v>43466</v>
      </c>
      <c r="G1303" s="12">
        <v>43646</v>
      </c>
      <c r="H1303" s="146" t="s">
        <v>675</v>
      </c>
      <c r="I1303" s="13">
        <v>5349.7</v>
      </c>
      <c r="J1303" s="14" t="s">
        <v>23</v>
      </c>
      <c r="K1303" s="14" t="s">
        <v>23</v>
      </c>
      <c r="L1303" s="5" t="s">
        <v>23</v>
      </c>
      <c r="M1303" s="5" t="s">
        <v>23</v>
      </c>
      <c r="N1303" s="5" t="s">
        <v>23</v>
      </c>
      <c r="O1303" s="15" t="s">
        <v>23</v>
      </c>
      <c r="P1303" s="144"/>
      <c r="Q1303" s="17" t="e">
        <f t="shared" si="13"/>
        <v>#VALUE!</v>
      </c>
      <c r="S1303" s="18"/>
    </row>
    <row r="1304" spans="1:19" s="10" customFormat="1" ht="18.95" customHeight="1" x14ac:dyDescent="0.25">
      <c r="A1304" s="148"/>
      <c r="B1304" s="148"/>
      <c r="C1304" s="148"/>
      <c r="D1304" s="156"/>
      <c r="E1304" s="156"/>
      <c r="F1304" s="12">
        <v>43647</v>
      </c>
      <c r="G1304" s="12">
        <v>43830</v>
      </c>
      <c r="H1304" s="147"/>
      <c r="I1304" s="13">
        <v>7602.14</v>
      </c>
      <c r="J1304" s="14" t="s">
        <v>23</v>
      </c>
      <c r="K1304" s="14" t="s">
        <v>23</v>
      </c>
      <c r="L1304" s="5" t="s">
        <v>23</v>
      </c>
      <c r="M1304" s="5" t="s">
        <v>23</v>
      </c>
      <c r="N1304" s="5" t="s">
        <v>23</v>
      </c>
      <c r="O1304" s="15" t="s">
        <v>23</v>
      </c>
      <c r="P1304" s="145"/>
      <c r="Q1304" s="17" t="e">
        <f t="shared" si="13"/>
        <v>#VALUE!</v>
      </c>
      <c r="S1304" s="11"/>
    </row>
    <row r="1305" spans="1:19" s="17" customFormat="1" ht="18.95" customHeight="1" outlineLevel="1" x14ac:dyDescent="0.25">
      <c r="A1305" s="148"/>
      <c r="B1305" s="148"/>
      <c r="C1305" s="148"/>
      <c r="D1305" s="156">
        <v>43454</v>
      </c>
      <c r="E1305" s="156" t="s">
        <v>673</v>
      </c>
      <c r="F1305" s="12">
        <v>43466</v>
      </c>
      <c r="G1305" s="12">
        <v>43646</v>
      </c>
      <c r="H1305" s="149"/>
      <c r="I1305" s="15" t="s">
        <v>23</v>
      </c>
      <c r="J1305" s="14" t="s">
        <v>23</v>
      </c>
      <c r="K1305" s="14" t="s">
        <v>23</v>
      </c>
      <c r="L1305" s="5" t="s">
        <v>23</v>
      </c>
      <c r="M1305" s="5" t="s">
        <v>23</v>
      </c>
      <c r="N1305" s="5" t="s">
        <v>23</v>
      </c>
      <c r="O1305" s="13">
        <v>3002.06</v>
      </c>
      <c r="P1305" s="144"/>
      <c r="Q1305" s="17">
        <f t="shared" si="13"/>
        <v>2501.7166666666667</v>
      </c>
      <c r="R1305" s="67">
        <f>I1303-Q1305</f>
        <v>2847.9833333333331</v>
      </c>
      <c r="S1305" s="18">
        <f>R1305*184.387</f>
        <v>525131.10288333334</v>
      </c>
    </row>
    <row r="1306" spans="1:19" s="17" customFormat="1" ht="18.95" customHeight="1" outlineLevel="1" x14ac:dyDescent="0.25">
      <c r="A1306" s="147"/>
      <c r="B1306" s="147"/>
      <c r="C1306" s="148"/>
      <c r="D1306" s="156"/>
      <c r="E1306" s="156"/>
      <c r="F1306" s="12">
        <v>43647</v>
      </c>
      <c r="G1306" s="12">
        <v>43830</v>
      </c>
      <c r="H1306" s="151"/>
      <c r="I1306" s="15" t="s">
        <v>23</v>
      </c>
      <c r="J1306" s="14" t="s">
        <v>23</v>
      </c>
      <c r="K1306" s="14" t="s">
        <v>23</v>
      </c>
      <c r="L1306" s="5" t="s">
        <v>23</v>
      </c>
      <c r="M1306" s="5" t="s">
        <v>23</v>
      </c>
      <c r="N1306" s="5" t="s">
        <v>23</v>
      </c>
      <c r="O1306" s="13">
        <v>3002.06</v>
      </c>
      <c r="P1306" s="145"/>
      <c r="Q1306" s="17">
        <f t="shared" si="13"/>
        <v>2501.7166666666667</v>
      </c>
      <c r="S1306" s="18"/>
    </row>
    <row r="1307" spans="1:19" s="17" customFormat="1" ht="18.95" customHeight="1" outlineLevel="1" x14ac:dyDescent="0.25">
      <c r="A1307" s="146" t="s">
        <v>61</v>
      </c>
      <c r="B1307" s="146" t="s">
        <v>550</v>
      </c>
      <c r="C1307" s="148"/>
      <c r="D1307" s="156">
        <v>42723</v>
      </c>
      <c r="E1307" s="156" t="s">
        <v>674</v>
      </c>
      <c r="F1307" s="12">
        <v>43466</v>
      </c>
      <c r="G1307" s="12">
        <v>43646</v>
      </c>
      <c r="H1307" s="146" t="s">
        <v>675</v>
      </c>
      <c r="I1307" s="13">
        <v>5349.7</v>
      </c>
      <c r="J1307" s="14" t="s">
        <v>23</v>
      </c>
      <c r="K1307" s="14" t="s">
        <v>23</v>
      </c>
      <c r="L1307" s="5" t="s">
        <v>23</v>
      </c>
      <c r="M1307" s="5" t="s">
        <v>23</v>
      </c>
      <c r="N1307" s="5" t="s">
        <v>23</v>
      </c>
      <c r="O1307" s="15" t="s">
        <v>23</v>
      </c>
      <c r="P1307" s="144"/>
      <c r="Q1307" s="17" t="e">
        <f t="shared" si="13"/>
        <v>#VALUE!</v>
      </c>
      <c r="S1307" s="18"/>
    </row>
    <row r="1308" spans="1:19" s="17" customFormat="1" ht="18.95" customHeight="1" outlineLevel="1" x14ac:dyDescent="0.25">
      <c r="A1308" s="148"/>
      <c r="B1308" s="148"/>
      <c r="C1308" s="148"/>
      <c r="D1308" s="156"/>
      <c r="E1308" s="156"/>
      <c r="F1308" s="12">
        <v>43647</v>
      </c>
      <c r="G1308" s="12">
        <v>43830</v>
      </c>
      <c r="H1308" s="147"/>
      <c r="I1308" s="13">
        <v>7602.14</v>
      </c>
      <c r="J1308" s="14" t="s">
        <v>23</v>
      </c>
      <c r="K1308" s="14" t="s">
        <v>23</v>
      </c>
      <c r="L1308" s="5" t="s">
        <v>23</v>
      </c>
      <c r="M1308" s="5" t="s">
        <v>23</v>
      </c>
      <c r="N1308" s="5" t="s">
        <v>23</v>
      </c>
      <c r="O1308" s="15" t="s">
        <v>23</v>
      </c>
      <c r="P1308" s="145"/>
      <c r="Q1308" s="17" t="e">
        <f t="shared" si="13"/>
        <v>#VALUE!</v>
      </c>
      <c r="S1308" s="18"/>
    </row>
    <row r="1309" spans="1:19" s="17" customFormat="1" ht="18.95" customHeight="1" outlineLevel="1" x14ac:dyDescent="0.25">
      <c r="A1309" s="148"/>
      <c r="B1309" s="148"/>
      <c r="C1309" s="148"/>
      <c r="D1309" s="156">
        <v>43454</v>
      </c>
      <c r="E1309" s="156" t="s">
        <v>673</v>
      </c>
      <c r="F1309" s="12">
        <v>43466</v>
      </c>
      <c r="G1309" s="12">
        <v>43646</v>
      </c>
      <c r="H1309" s="149"/>
      <c r="I1309" s="15" t="s">
        <v>23</v>
      </c>
      <c r="J1309" s="14" t="s">
        <v>23</v>
      </c>
      <c r="K1309" s="14" t="s">
        <v>23</v>
      </c>
      <c r="L1309" s="5" t="s">
        <v>23</v>
      </c>
      <c r="M1309" s="5" t="s">
        <v>23</v>
      </c>
      <c r="N1309" s="5" t="s">
        <v>23</v>
      </c>
      <c r="O1309" s="13">
        <v>2857.97</v>
      </c>
      <c r="P1309" s="144"/>
      <c r="Q1309" s="17">
        <f t="shared" si="13"/>
        <v>2381.6416666666664</v>
      </c>
      <c r="R1309" s="67">
        <f>I1307-Q1309</f>
        <v>2968.0583333333334</v>
      </c>
      <c r="S1309" s="18">
        <f>R1309*242.554</f>
        <v>719914.42098333337</v>
      </c>
    </row>
    <row r="1310" spans="1:19" s="17" customFormat="1" ht="18.95" customHeight="1" outlineLevel="1" x14ac:dyDescent="0.25">
      <c r="A1310" s="147"/>
      <c r="B1310" s="147"/>
      <c r="C1310" s="148"/>
      <c r="D1310" s="156"/>
      <c r="E1310" s="156"/>
      <c r="F1310" s="12">
        <v>43647</v>
      </c>
      <c r="G1310" s="12">
        <v>43830</v>
      </c>
      <c r="H1310" s="151"/>
      <c r="I1310" s="15" t="s">
        <v>23</v>
      </c>
      <c r="J1310" s="14" t="s">
        <v>23</v>
      </c>
      <c r="K1310" s="14" t="s">
        <v>23</v>
      </c>
      <c r="L1310" s="5" t="s">
        <v>23</v>
      </c>
      <c r="M1310" s="5" t="s">
        <v>23</v>
      </c>
      <c r="N1310" s="5" t="s">
        <v>23</v>
      </c>
      <c r="O1310" s="13">
        <v>2857.97</v>
      </c>
      <c r="P1310" s="145"/>
      <c r="Q1310" s="17">
        <f t="shared" si="13"/>
        <v>2381.6416666666664</v>
      </c>
      <c r="S1310" s="18"/>
    </row>
    <row r="1311" spans="1:19" s="17" customFormat="1" ht="18.95" customHeight="1" outlineLevel="1" x14ac:dyDescent="0.25">
      <c r="A1311" s="146" t="s">
        <v>61</v>
      </c>
      <c r="B1311" s="146" t="s">
        <v>551</v>
      </c>
      <c r="C1311" s="148"/>
      <c r="D1311" s="156">
        <v>42723</v>
      </c>
      <c r="E1311" s="156" t="s">
        <v>674</v>
      </c>
      <c r="F1311" s="12">
        <v>43466</v>
      </c>
      <c r="G1311" s="12">
        <v>43646</v>
      </c>
      <c r="H1311" s="146" t="s">
        <v>675</v>
      </c>
      <c r="I1311" s="13">
        <v>5349.7</v>
      </c>
      <c r="J1311" s="14" t="s">
        <v>23</v>
      </c>
      <c r="K1311" s="14" t="s">
        <v>23</v>
      </c>
      <c r="L1311" s="5" t="s">
        <v>23</v>
      </c>
      <c r="M1311" s="5" t="s">
        <v>23</v>
      </c>
      <c r="N1311" s="5" t="s">
        <v>23</v>
      </c>
      <c r="O1311" s="15" t="s">
        <v>23</v>
      </c>
      <c r="P1311" s="144"/>
      <c r="Q1311" s="17" t="e">
        <f t="shared" si="13"/>
        <v>#VALUE!</v>
      </c>
      <c r="S1311" s="18"/>
    </row>
    <row r="1312" spans="1:19" s="17" customFormat="1" ht="18.95" customHeight="1" outlineLevel="1" x14ac:dyDescent="0.25">
      <c r="A1312" s="148"/>
      <c r="B1312" s="148"/>
      <c r="C1312" s="148"/>
      <c r="D1312" s="156"/>
      <c r="E1312" s="156"/>
      <c r="F1312" s="12">
        <v>43647</v>
      </c>
      <c r="G1312" s="12">
        <v>43830</v>
      </c>
      <c r="H1312" s="147"/>
      <c r="I1312" s="13">
        <v>7602.14</v>
      </c>
      <c r="J1312" s="14" t="s">
        <v>23</v>
      </c>
      <c r="K1312" s="14" t="s">
        <v>23</v>
      </c>
      <c r="L1312" s="5" t="s">
        <v>23</v>
      </c>
      <c r="M1312" s="5" t="s">
        <v>23</v>
      </c>
      <c r="N1312" s="5" t="s">
        <v>23</v>
      </c>
      <c r="O1312" s="15" t="s">
        <v>23</v>
      </c>
      <c r="P1312" s="145"/>
      <c r="Q1312" s="17" t="e">
        <f t="shared" si="13"/>
        <v>#VALUE!</v>
      </c>
      <c r="S1312" s="18"/>
    </row>
    <row r="1313" spans="1:19" s="17" customFormat="1" ht="18.95" customHeight="1" outlineLevel="1" x14ac:dyDescent="0.25">
      <c r="A1313" s="148"/>
      <c r="B1313" s="148"/>
      <c r="C1313" s="148"/>
      <c r="D1313" s="156">
        <v>43454</v>
      </c>
      <c r="E1313" s="156" t="s">
        <v>673</v>
      </c>
      <c r="F1313" s="12">
        <v>43466</v>
      </c>
      <c r="G1313" s="12">
        <v>43646</v>
      </c>
      <c r="H1313" s="149"/>
      <c r="I1313" s="15" t="s">
        <v>23</v>
      </c>
      <c r="J1313" s="14" t="s">
        <v>23</v>
      </c>
      <c r="K1313" s="14" t="s">
        <v>23</v>
      </c>
      <c r="L1313" s="5" t="s">
        <v>23</v>
      </c>
      <c r="M1313" s="5" t="s">
        <v>23</v>
      </c>
      <c r="N1313" s="5" t="s">
        <v>23</v>
      </c>
      <c r="O1313" s="13">
        <v>2821.8</v>
      </c>
      <c r="P1313" s="144"/>
      <c r="Q1313" s="17">
        <f t="shared" si="13"/>
        <v>2351.5000000000005</v>
      </c>
      <c r="R1313" s="67">
        <f>I1311-Q1313</f>
        <v>2998.1999999999994</v>
      </c>
      <c r="S1313" s="18">
        <f>R1313*126.512</f>
        <v>379308.27839999989</v>
      </c>
    </row>
    <row r="1314" spans="1:19" s="17" customFormat="1" ht="18.95" customHeight="1" outlineLevel="1" x14ac:dyDescent="0.25">
      <c r="A1314" s="147"/>
      <c r="B1314" s="147"/>
      <c r="C1314" s="148"/>
      <c r="D1314" s="156"/>
      <c r="E1314" s="156"/>
      <c r="F1314" s="12">
        <v>43647</v>
      </c>
      <c r="G1314" s="12">
        <v>43830</v>
      </c>
      <c r="H1314" s="151"/>
      <c r="I1314" s="15" t="s">
        <v>23</v>
      </c>
      <c r="J1314" s="14" t="s">
        <v>23</v>
      </c>
      <c r="K1314" s="14" t="s">
        <v>23</v>
      </c>
      <c r="L1314" s="5" t="s">
        <v>23</v>
      </c>
      <c r="M1314" s="5" t="s">
        <v>23</v>
      </c>
      <c r="N1314" s="5" t="s">
        <v>23</v>
      </c>
      <c r="O1314" s="13">
        <v>2821.8</v>
      </c>
      <c r="P1314" s="145"/>
      <c r="Q1314" s="17">
        <f t="shared" si="13"/>
        <v>2351.5000000000005</v>
      </c>
      <c r="S1314" s="18"/>
    </row>
    <row r="1315" spans="1:19" s="17" customFormat="1" ht="18.95" customHeight="1" outlineLevel="1" x14ac:dyDescent="0.25">
      <c r="A1315" s="146" t="s">
        <v>61</v>
      </c>
      <c r="B1315" s="146" t="s">
        <v>552</v>
      </c>
      <c r="C1315" s="148"/>
      <c r="D1315" s="156">
        <v>42723</v>
      </c>
      <c r="E1315" s="156" t="s">
        <v>674</v>
      </c>
      <c r="F1315" s="12">
        <v>43466</v>
      </c>
      <c r="G1315" s="12">
        <v>43646</v>
      </c>
      <c r="H1315" s="146" t="s">
        <v>675</v>
      </c>
      <c r="I1315" s="13">
        <v>5349.7</v>
      </c>
      <c r="J1315" s="14" t="s">
        <v>23</v>
      </c>
      <c r="K1315" s="14" t="s">
        <v>23</v>
      </c>
      <c r="L1315" s="5" t="s">
        <v>23</v>
      </c>
      <c r="M1315" s="5" t="s">
        <v>23</v>
      </c>
      <c r="N1315" s="5" t="s">
        <v>23</v>
      </c>
      <c r="O1315" s="15" t="s">
        <v>23</v>
      </c>
      <c r="P1315" s="144"/>
      <c r="Q1315" s="17" t="e">
        <f t="shared" si="13"/>
        <v>#VALUE!</v>
      </c>
      <c r="S1315" s="18"/>
    </row>
    <row r="1316" spans="1:19" s="17" customFormat="1" ht="18.95" customHeight="1" outlineLevel="1" x14ac:dyDescent="0.25">
      <c r="A1316" s="148"/>
      <c r="B1316" s="148"/>
      <c r="C1316" s="148"/>
      <c r="D1316" s="156"/>
      <c r="E1316" s="156"/>
      <c r="F1316" s="12">
        <v>43647</v>
      </c>
      <c r="G1316" s="12">
        <v>43830</v>
      </c>
      <c r="H1316" s="147"/>
      <c r="I1316" s="13">
        <v>7602.14</v>
      </c>
      <c r="J1316" s="14" t="s">
        <v>23</v>
      </c>
      <c r="K1316" s="14" t="s">
        <v>23</v>
      </c>
      <c r="L1316" s="5" t="s">
        <v>23</v>
      </c>
      <c r="M1316" s="5" t="s">
        <v>23</v>
      </c>
      <c r="N1316" s="5" t="s">
        <v>23</v>
      </c>
      <c r="O1316" s="15" t="s">
        <v>23</v>
      </c>
      <c r="P1316" s="145"/>
      <c r="Q1316" s="17" t="e">
        <f t="shared" si="13"/>
        <v>#VALUE!</v>
      </c>
      <c r="S1316" s="18"/>
    </row>
    <row r="1317" spans="1:19" s="17" customFormat="1" ht="18.95" customHeight="1" outlineLevel="1" x14ac:dyDescent="0.25">
      <c r="A1317" s="148"/>
      <c r="B1317" s="148"/>
      <c r="C1317" s="148"/>
      <c r="D1317" s="156">
        <v>43454</v>
      </c>
      <c r="E1317" s="156" t="s">
        <v>673</v>
      </c>
      <c r="F1317" s="12">
        <v>43466</v>
      </c>
      <c r="G1317" s="12">
        <v>43646</v>
      </c>
      <c r="H1317" s="149"/>
      <c r="I1317" s="15" t="s">
        <v>23</v>
      </c>
      <c r="J1317" s="14" t="s">
        <v>23</v>
      </c>
      <c r="K1317" s="14" t="s">
        <v>23</v>
      </c>
      <c r="L1317" s="5" t="s">
        <v>23</v>
      </c>
      <c r="M1317" s="5" t="s">
        <v>23</v>
      </c>
      <c r="N1317" s="5" t="s">
        <v>23</v>
      </c>
      <c r="O1317" s="13">
        <v>2710.33</v>
      </c>
      <c r="P1317" s="144"/>
      <c r="Q1317" s="17">
        <f t="shared" si="13"/>
        <v>2258.6083333333336</v>
      </c>
      <c r="R1317" s="67">
        <f>I1315-Q1317</f>
        <v>3091.0916666666662</v>
      </c>
      <c r="S1317" s="18">
        <f>R1317*258.527</f>
        <v>799130.65530833323</v>
      </c>
    </row>
    <row r="1318" spans="1:19" s="17" customFormat="1" ht="18.95" customHeight="1" outlineLevel="1" x14ac:dyDescent="0.25">
      <c r="A1318" s="147"/>
      <c r="B1318" s="147"/>
      <c r="C1318" s="148"/>
      <c r="D1318" s="156"/>
      <c r="E1318" s="156"/>
      <c r="F1318" s="12">
        <v>43647</v>
      </c>
      <c r="G1318" s="12">
        <v>43830</v>
      </c>
      <c r="H1318" s="151"/>
      <c r="I1318" s="15" t="s">
        <v>23</v>
      </c>
      <c r="J1318" s="14" t="s">
        <v>23</v>
      </c>
      <c r="K1318" s="14" t="s">
        <v>23</v>
      </c>
      <c r="L1318" s="5" t="s">
        <v>23</v>
      </c>
      <c r="M1318" s="5" t="s">
        <v>23</v>
      </c>
      <c r="N1318" s="5" t="s">
        <v>23</v>
      </c>
      <c r="O1318" s="13">
        <v>2710.33</v>
      </c>
      <c r="P1318" s="145"/>
      <c r="Q1318" s="17">
        <f t="shared" si="13"/>
        <v>2258.6083333333336</v>
      </c>
      <c r="S1318" s="18"/>
    </row>
    <row r="1319" spans="1:19" s="17" customFormat="1" ht="18.95" customHeight="1" outlineLevel="1" x14ac:dyDescent="0.25">
      <c r="A1319" s="146" t="s">
        <v>61</v>
      </c>
      <c r="B1319" s="146" t="s">
        <v>553</v>
      </c>
      <c r="C1319" s="148"/>
      <c r="D1319" s="156">
        <v>42723</v>
      </c>
      <c r="E1319" s="156" t="s">
        <v>674</v>
      </c>
      <c r="F1319" s="12">
        <v>43466</v>
      </c>
      <c r="G1319" s="12">
        <v>43646</v>
      </c>
      <c r="H1319" s="146" t="s">
        <v>675</v>
      </c>
      <c r="I1319" s="13">
        <v>5349.7</v>
      </c>
      <c r="J1319" s="14" t="s">
        <v>23</v>
      </c>
      <c r="K1319" s="14" t="s">
        <v>23</v>
      </c>
      <c r="L1319" s="5" t="s">
        <v>23</v>
      </c>
      <c r="M1319" s="5" t="s">
        <v>23</v>
      </c>
      <c r="N1319" s="5" t="s">
        <v>23</v>
      </c>
      <c r="O1319" s="15" t="s">
        <v>23</v>
      </c>
      <c r="P1319" s="144"/>
      <c r="Q1319" s="17" t="e">
        <f t="shared" si="13"/>
        <v>#VALUE!</v>
      </c>
      <c r="S1319" s="18"/>
    </row>
    <row r="1320" spans="1:19" s="17" customFormat="1" ht="18.95" customHeight="1" outlineLevel="1" x14ac:dyDescent="0.25">
      <c r="A1320" s="148"/>
      <c r="B1320" s="148"/>
      <c r="C1320" s="148"/>
      <c r="D1320" s="156"/>
      <c r="E1320" s="156"/>
      <c r="F1320" s="12">
        <v>43647</v>
      </c>
      <c r="G1320" s="12">
        <v>43830</v>
      </c>
      <c r="H1320" s="147"/>
      <c r="I1320" s="13">
        <v>7602.14</v>
      </c>
      <c r="J1320" s="14" t="s">
        <v>23</v>
      </c>
      <c r="K1320" s="14" t="s">
        <v>23</v>
      </c>
      <c r="L1320" s="5" t="s">
        <v>23</v>
      </c>
      <c r="M1320" s="5" t="s">
        <v>23</v>
      </c>
      <c r="N1320" s="5" t="s">
        <v>23</v>
      </c>
      <c r="O1320" s="15" t="s">
        <v>23</v>
      </c>
      <c r="P1320" s="145"/>
      <c r="Q1320" s="17" t="e">
        <f t="shared" si="13"/>
        <v>#VALUE!</v>
      </c>
      <c r="S1320" s="18"/>
    </row>
    <row r="1321" spans="1:19" s="17" customFormat="1" ht="18.95" customHeight="1" outlineLevel="1" x14ac:dyDescent="0.25">
      <c r="A1321" s="148"/>
      <c r="B1321" s="148"/>
      <c r="C1321" s="148"/>
      <c r="D1321" s="156">
        <v>43454</v>
      </c>
      <c r="E1321" s="156" t="s">
        <v>673</v>
      </c>
      <c r="F1321" s="12">
        <v>43466</v>
      </c>
      <c r="G1321" s="12">
        <v>43646</v>
      </c>
      <c r="H1321" s="149"/>
      <c r="I1321" s="15" t="s">
        <v>23</v>
      </c>
      <c r="J1321" s="14" t="s">
        <v>23</v>
      </c>
      <c r="K1321" s="14" t="s">
        <v>23</v>
      </c>
      <c r="L1321" s="5" t="s">
        <v>23</v>
      </c>
      <c r="M1321" s="5" t="s">
        <v>23</v>
      </c>
      <c r="N1321" s="5" t="s">
        <v>23</v>
      </c>
      <c r="O1321" s="13">
        <v>2772.71</v>
      </c>
      <c r="P1321" s="144"/>
      <c r="Q1321" s="17">
        <f t="shared" si="13"/>
        <v>2310.5916666666667</v>
      </c>
      <c r="R1321" s="67">
        <f>I1319-Q1321</f>
        <v>3039.1083333333331</v>
      </c>
      <c r="S1321" s="18">
        <f>R1321*152.156</f>
        <v>462418.56756666664</v>
      </c>
    </row>
    <row r="1322" spans="1:19" s="17" customFormat="1" ht="18.95" customHeight="1" outlineLevel="1" x14ac:dyDescent="0.25">
      <c r="A1322" s="147"/>
      <c r="B1322" s="147"/>
      <c r="C1322" s="148"/>
      <c r="D1322" s="156"/>
      <c r="E1322" s="156"/>
      <c r="F1322" s="12">
        <v>43647</v>
      </c>
      <c r="G1322" s="12">
        <v>43830</v>
      </c>
      <c r="H1322" s="151"/>
      <c r="I1322" s="15" t="s">
        <v>23</v>
      </c>
      <c r="J1322" s="14" t="s">
        <v>23</v>
      </c>
      <c r="K1322" s="14" t="s">
        <v>23</v>
      </c>
      <c r="L1322" s="5" t="s">
        <v>23</v>
      </c>
      <c r="M1322" s="5" t="s">
        <v>23</v>
      </c>
      <c r="N1322" s="5" t="s">
        <v>23</v>
      </c>
      <c r="O1322" s="13">
        <v>2772.71</v>
      </c>
      <c r="P1322" s="145"/>
      <c r="Q1322" s="17">
        <f t="shared" si="13"/>
        <v>2310.5916666666667</v>
      </c>
      <c r="S1322" s="18"/>
    </row>
    <row r="1323" spans="1:19" s="17" customFormat="1" ht="18.95" customHeight="1" outlineLevel="1" x14ac:dyDescent="0.25">
      <c r="A1323" s="146" t="s">
        <v>61</v>
      </c>
      <c r="B1323" s="146" t="s">
        <v>554</v>
      </c>
      <c r="C1323" s="148"/>
      <c r="D1323" s="156">
        <v>42723</v>
      </c>
      <c r="E1323" s="156" t="s">
        <v>674</v>
      </c>
      <c r="F1323" s="12">
        <v>43466</v>
      </c>
      <c r="G1323" s="12">
        <v>43646</v>
      </c>
      <c r="H1323" s="146" t="s">
        <v>675</v>
      </c>
      <c r="I1323" s="13">
        <v>5349.7</v>
      </c>
      <c r="J1323" s="14" t="s">
        <v>23</v>
      </c>
      <c r="K1323" s="14" t="s">
        <v>23</v>
      </c>
      <c r="L1323" s="5" t="s">
        <v>23</v>
      </c>
      <c r="M1323" s="5" t="s">
        <v>23</v>
      </c>
      <c r="N1323" s="5" t="s">
        <v>23</v>
      </c>
      <c r="O1323" s="15" t="s">
        <v>23</v>
      </c>
      <c r="P1323" s="144"/>
      <c r="Q1323" s="17" t="e">
        <f t="shared" si="13"/>
        <v>#VALUE!</v>
      </c>
      <c r="S1323" s="18"/>
    </row>
    <row r="1324" spans="1:19" s="17" customFormat="1" ht="18.95" customHeight="1" outlineLevel="1" x14ac:dyDescent="0.25">
      <c r="A1324" s="148"/>
      <c r="B1324" s="148"/>
      <c r="C1324" s="148"/>
      <c r="D1324" s="156"/>
      <c r="E1324" s="156"/>
      <c r="F1324" s="12">
        <v>43647</v>
      </c>
      <c r="G1324" s="12">
        <v>43830</v>
      </c>
      <c r="H1324" s="147"/>
      <c r="I1324" s="13">
        <v>7602.14</v>
      </c>
      <c r="J1324" s="14" t="s">
        <v>23</v>
      </c>
      <c r="K1324" s="14" t="s">
        <v>23</v>
      </c>
      <c r="L1324" s="5" t="s">
        <v>23</v>
      </c>
      <c r="M1324" s="5" t="s">
        <v>23</v>
      </c>
      <c r="N1324" s="5" t="s">
        <v>23</v>
      </c>
      <c r="O1324" s="15" t="s">
        <v>23</v>
      </c>
      <c r="P1324" s="145"/>
      <c r="Q1324" s="17" t="e">
        <f t="shared" si="13"/>
        <v>#VALUE!</v>
      </c>
      <c r="S1324" s="18"/>
    </row>
    <row r="1325" spans="1:19" s="17" customFormat="1" ht="18.95" customHeight="1" outlineLevel="1" x14ac:dyDescent="0.25">
      <c r="A1325" s="148"/>
      <c r="B1325" s="148"/>
      <c r="C1325" s="148"/>
      <c r="D1325" s="156">
        <v>43454</v>
      </c>
      <c r="E1325" s="156" t="s">
        <v>673</v>
      </c>
      <c r="F1325" s="12">
        <v>43466</v>
      </c>
      <c r="G1325" s="12">
        <v>43646</v>
      </c>
      <c r="H1325" s="149"/>
      <c r="I1325" s="15" t="s">
        <v>23</v>
      </c>
      <c r="J1325" s="14" t="s">
        <v>23</v>
      </c>
      <c r="K1325" s="14" t="s">
        <v>23</v>
      </c>
      <c r="L1325" s="5" t="s">
        <v>23</v>
      </c>
      <c r="M1325" s="5" t="s">
        <v>23</v>
      </c>
      <c r="N1325" s="5" t="s">
        <v>23</v>
      </c>
      <c r="O1325" s="13">
        <v>3038.09</v>
      </c>
      <c r="P1325" s="144"/>
      <c r="Q1325" s="17">
        <f t="shared" si="13"/>
        <v>2531.7416666666668</v>
      </c>
      <c r="R1325" s="67">
        <f>I1323-Q1325</f>
        <v>2817.958333333333</v>
      </c>
      <c r="S1325" s="18">
        <f>R1325*347.284</f>
        <v>978631.84183333325</v>
      </c>
    </row>
    <row r="1326" spans="1:19" s="17" customFormat="1" ht="18.95" customHeight="1" outlineLevel="1" x14ac:dyDescent="0.25">
      <c r="A1326" s="147"/>
      <c r="B1326" s="147"/>
      <c r="C1326" s="148"/>
      <c r="D1326" s="156"/>
      <c r="E1326" s="156"/>
      <c r="F1326" s="12">
        <v>43647</v>
      </c>
      <c r="G1326" s="12">
        <v>43830</v>
      </c>
      <c r="H1326" s="151"/>
      <c r="I1326" s="15" t="s">
        <v>23</v>
      </c>
      <c r="J1326" s="14" t="s">
        <v>23</v>
      </c>
      <c r="K1326" s="14" t="s">
        <v>23</v>
      </c>
      <c r="L1326" s="5" t="s">
        <v>23</v>
      </c>
      <c r="M1326" s="5" t="s">
        <v>23</v>
      </c>
      <c r="N1326" s="5" t="s">
        <v>23</v>
      </c>
      <c r="O1326" s="13">
        <v>3038.09</v>
      </c>
      <c r="P1326" s="145"/>
      <c r="Q1326" s="17">
        <f t="shared" si="13"/>
        <v>2531.7416666666668</v>
      </c>
      <c r="S1326" s="18"/>
    </row>
    <row r="1327" spans="1:19" s="17" customFormat="1" ht="18.95" customHeight="1" outlineLevel="1" x14ac:dyDescent="0.25">
      <c r="A1327" s="146" t="s">
        <v>61</v>
      </c>
      <c r="B1327" s="146" t="s">
        <v>555</v>
      </c>
      <c r="C1327" s="148"/>
      <c r="D1327" s="156">
        <v>42723</v>
      </c>
      <c r="E1327" s="156" t="s">
        <v>674</v>
      </c>
      <c r="F1327" s="12">
        <v>43466</v>
      </c>
      <c r="G1327" s="12">
        <v>43646</v>
      </c>
      <c r="H1327" s="146" t="s">
        <v>675</v>
      </c>
      <c r="I1327" s="13">
        <v>5349.7</v>
      </c>
      <c r="J1327" s="14" t="s">
        <v>23</v>
      </c>
      <c r="K1327" s="14" t="s">
        <v>23</v>
      </c>
      <c r="L1327" s="5" t="s">
        <v>23</v>
      </c>
      <c r="M1327" s="5" t="s">
        <v>23</v>
      </c>
      <c r="N1327" s="5" t="s">
        <v>23</v>
      </c>
      <c r="O1327" s="15" t="s">
        <v>23</v>
      </c>
      <c r="P1327" s="144"/>
      <c r="Q1327" s="17" t="e">
        <f t="shared" si="13"/>
        <v>#VALUE!</v>
      </c>
      <c r="S1327" s="18"/>
    </row>
    <row r="1328" spans="1:19" s="17" customFormat="1" ht="18.95" customHeight="1" outlineLevel="1" x14ac:dyDescent="0.25">
      <c r="A1328" s="148"/>
      <c r="B1328" s="148"/>
      <c r="C1328" s="148"/>
      <c r="D1328" s="156"/>
      <c r="E1328" s="156"/>
      <c r="F1328" s="12">
        <v>43647</v>
      </c>
      <c r="G1328" s="12">
        <v>43830</v>
      </c>
      <c r="H1328" s="147"/>
      <c r="I1328" s="13">
        <v>7602.14</v>
      </c>
      <c r="J1328" s="14" t="s">
        <v>23</v>
      </c>
      <c r="K1328" s="14" t="s">
        <v>23</v>
      </c>
      <c r="L1328" s="5" t="s">
        <v>23</v>
      </c>
      <c r="M1328" s="5" t="s">
        <v>23</v>
      </c>
      <c r="N1328" s="5" t="s">
        <v>23</v>
      </c>
      <c r="O1328" s="15" t="s">
        <v>23</v>
      </c>
      <c r="P1328" s="145"/>
      <c r="Q1328" s="17" t="e">
        <f t="shared" si="13"/>
        <v>#VALUE!</v>
      </c>
      <c r="S1328" s="18"/>
    </row>
    <row r="1329" spans="1:19" s="17" customFormat="1" ht="18.95" customHeight="1" outlineLevel="1" x14ac:dyDescent="0.25">
      <c r="A1329" s="148"/>
      <c r="B1329" s="148"/>
      <c r="C1329" s="148"/>
      <c r="D1329" s="156">
        <v>43454</v>
      </c>
      <c r="E1329" s="156" t="s">
        <v>673</v>
      </c>
      <c r="F1329" s="12">
        <v>43466</v>
      </c>
      <c r="G1329" s="12">
        <v>43646</v>
      </c>
      <c r="H1329" s="149"/>
      <c r="I1329" s="15" t="s">
        <v>23</v>
      </c>
      <c r="J1329" s="14" t="s">
        <v>23</v>
      </c>
      <c r="K1329" s="14" t="s">
        <v>23</v>
      </c>
      <c r="L1329" s="5" t="s">
        <v>23</v>
      </c>
      <c r="M1329" s="5" t="s">
        <v>23</v>
      </c>
      <c r="N1329" s="5" t="s">
        <v>23</v>
      </c>
      <c r="O1329" s="13">
        <v>2601.23</v>
      </c>
      <c r="P1329" s="144"/>
      <c r="Q1329" s="17">
        <f>O1329/1.2</f>
        <v>2167.6916666666666</v>
      </c>
      <c r="R1329" s="67">
        <f>I1327-Q1329</f>
        <v>3182.0083333333332</v>
      </c>
      <c r="S1329" s="18">
        <f>R1329*521.027</f>
        <v>1657912.2558916667</v>
      </c>
    </row>
    <row r="1330" spans="1:19" s="17" customFormat="1" ht="18.95" customHeight="1" outlineLevel="1" x14ac:dyDescent="0.25">
      <c r="A1330" s="147"/>
      <c r="B1330" s="147"/>
      <c r="C1330" s="147"/>
      <c r="D1330" s="156"/>
      <c r="E1330" s="156"/>
      <c r="F1330" s="12">
        <v>43647</v>
      </c>
      <c r="G1330" s="12">
        <v>43830</v>
      </c>
      <c r="H1330" s="151"/>
      <c r="I1330" s="15" t="s">
        <v>23</v>
      </c>
      <c r="J1330" s="14" t="s">
        <v>23</v>
      </c>
      <c r="K1330" s="14" t="s">
        <v>23</v>
      </c>
      <c r="L1330" s="5" t="s">
        <v>23</v>
      </c>
      <c r="M1330" s="5" t="s">
        <v>23</v>
      </c>
      <c r="N1330" s="5" t="s">
        <v>23</v>
      </c>
      <c r="O1330" s="13">
        <v>2601.23</v>
      </c>
      <c r="P1330" s="145"/>
      <c r="Q1330" s="17">
        <f t="shared" si="13"/>
        <v>2167.6916666666666</v>
      </c>
      <c r="S1330" s="18"/>
    </row>
    <row r="1331" spans="1:19" s="17" customFormat="1" ht="18.95" customHeight="1" outlineLevel="1" x14ac:dyDescent="0.25">
      <c r="A1331" s="146" t="s">
        <v>61</v>
      </c>
      <c r="B1331" s="146" t="s">
        <v>556</v>
      </c>
      <c r="C1331" s="146" t="s">
        <v>295</v>
      </c>
      <c r="D1331" s="156">
        <v>43453</v>
      </c>
      <c r="E1331" s="156" t="s">
        <v>800</v>
      </c>
      <c r="F1331" s="12">
        <v>43466</v>
      </c>
      <c r="G1331" s="12">
        <v>43646</v>
      </c>
      <c r="H1331" s="149"/>
      <c r="I1331" s="13">
        <v>1951.23</v>
      </c>
      <c r="J1331" s="14" t="s">
        <v>23</v>
      </c>
      <c r="K1331" s="14" t="s">
        <v>23</v>
      </c>
      <c r="L1331" s="5" t="s">
        <v>23</v>
      </c>
      <c r="M1331" s="5" t="s">
        <v>23</v>
      </c>
      <c r="N1331" s="5" t="s">
        <v>23</v>
      </c>
      <c r="O1331" s="4" t="s">
        <v>23</v>
      </c>
      <c r="P1331" s="144"/>
      <c r="S1331" s="18"/>
    </row>
    <row r="1332" spans="1:19" s="17" customFormat="1" ht="18.95" customHeight="1" outlineLevel="1" x14ac:dyDescent="0.25">
      <c r="A1332" s="148"/>
      <c r="B1332" s="148"/>
      <c r="C1332" s="148"/>
      <c r="D1332" s="156"/>
      <c r="E1332" s="156"/>
      <c r="F1332" s="12">
        <v>43647</v>
      </c>
      <c r="G1332" s="12">
        <v>43830</v>
      </c>
      <c r="H1332" s="151"/>
      <c r="I1332" s="13">
        <v>2148.6799999999998</v>
      </c>
      <c r="J1332" s="14" t="s">
        <v>23</v>
      </c>
      <c r="K1332" s="14" t="s">
        <v>23</v>
      </c>
      <c r="L1332" s="5" t="s">
        <v>23</v>
      </c>
      <c r="M1332" s="5" t="s">
        <v>23</v>
      </c>
      <c r="N1332" s="5" t="s">
        <v>23</v>
      </c>
      <c r="O1332" s="4" t="s">
        <v>23</v>
      </c>
      <c r="P1332" s="145"/>
      <c r="S1332" s="18"/>
    </row>
    <row r="1333" spans="1:19" s="17" customFormat="1" ht="18.95" customHeight="1" outlineLevel="1" x14ac:dyDescent="0.25">
      <c r="A1333" s="148"/>
      <c r="B1333" s="148"/>
      <c r="C1333" s="148"/>
      <c r="D1333" s="137">
        <v>43454</v>
      </c>
      <c r="E1333" s="137" t="s">
        <v>796</v>
      </c>
      <c r="F1333" s="12">
        <v>43466</v>
      </c>
      <c r="G1333" s="12">
        <v>43646</v>
      </c>
      <c r="H1333" s="149"/>
      <c r="I1333" s="15" t="s">
        <v>23</v>
      </c>
      <c r="J1333" s="14" t="s">
        <v>23</v>
      </c>
      <c r="K1333" s="14" t="s">
        <v>23</v>
      </c>
      <c r="L1333" s="5" t="s">
        <v>23</v>
      </c>
      <c r="M1333" s="5" t="s">
        <v>23</v>
      </c>
      <c r="N1333" s="5" t="s">
        <v>23</v>
      </c>
      <c r="O1333" s="13">
        <v>2056.56</v>
      </c>
      <c r="P1333" s="144" t="s">
        <v>444</v>
      </c>
      <c r="S1333" s="18"/>
    </row>
    <row r="1334" spans="1:19" s="17" customFormat="1" ht="18.95" customHeight="1" outlineLevel="1" x14ac:dyDescent="0.25">
      <c r="A1334" s="148"/>
      <c r="B1334" s="148"/>
      <c r="C1334" s="148"/>
      <c r="D1334" s="138"/>
      <c r="E1334" s="138"/>
      <c r="F1334" s="12">
        <v>43647</v>
      </c>
      <c r="G1334" s="12">
        <v>43830</v>
      </c>
      <c r="H1334" s="150"/>
      <c r="I1334" s="15" t="s">
        <v>23</v>
      </c>
      <c r="J1334" s="14" t="s">
        <v>23</v>
      </c>
      <c r="K1334" s="14" t="s">
        <v>23</v>
      </c>
      <c r="L1334" s="5" t="s">
        <v>23</v>
      </c>
      <c r="M1334" s="5" t="s">
        <v>23</v>
      </c>
      <c r="N1334" s="5" t="s">
        <v>23</v>
      </c>
      <c r="O1334" s="13">
        <v>2097.69</v>
      </c>
      <c r="P1334" s="145"/>
      <c r="S1334" s="18"/>
    </row>
    <row r="1335" spans="1:19" s="17" customFormat="1" ht="18.95" customHeight="1" outlineLevel="1" x14ac:dyDescent="0.25">
      <c r="A1335" s="148"/>
      <c r="B1335" s="148"/>
      <c r="C1335" s="148"/>
      <c r="D1335" s="138"/>
      <c r="E1335" s="138"/>
      <c r="F1335" s="12">
        <v>43466</v>
      </c>
      <c r="G1335" s="12">
        <v>43646</v>
      </c>
      <c r="H1335" s="150"/>
      <c r="I1335" s="15" t="s">
        <v>23</v>
      </c>
      <c r="J1335" s="14" t="s">
        <v>23</v>
      </c>
      <c r="K1335" s="14" t="s">
        <v>23</v>
      </c>
      <c r="L1335" s="5" t="s">
        <v>23</v>
      </c>
      <c r="M1335" s="5" t="s">
        <v>23</v>
      </c>
      <c r="N1335" s="5" t="s">
        <v>23</v>
      </c>
      <c r="O1335" s="13">
        <v>1556.22</v>
      </c>
      <c r="P1335" s="144" t="s">
        <v>446</v>
      </c>
      <c r="S1335" s="18"/>
    </row>
    <row r="1336" spans="1:19" s="17" customFormat="1" ht="18.95" customHeight="1" outlineLevel="1" x14ac:dyDescent="0.25">
      <c r="A1336" s="147"/>
      <c r="B1336" s="147"/>
      <c r="C1336" s="147"/>
      <c r="D1336" s="141"/>
      <c r="E1336" s="141"/>
      <c r="F1336" s="12">
        <v>43647</v>
      </c>
      <c r="G1336" s="12">
        <v>43830</v>
      </c>
      <c r="H1336" s="151"/>
      <c r="I1336" s="15" t="s">
        <v>23</v>
      </c>
      <c r="J1336" s="14" t="s">
        <v>23</v>
      </c>
      <c r="K1336" s="14" t="s">
        <v>23</v>
      </c>
      <c r="L1336" s="5" t="s">
        <v>23</v>
      </c>
      <c r="M1336" s="5" t="s">
        <v>23</v>
      </c>
      <c r="N1336" s="5" t="s">
        <v>23</v>
      </c>
      <c r="O1336" s="13">
        <v>1587.34</v>
      </c>
      <c r="P1336" s="145"/>
      <c r="S1336" s="18"/>
    </row>
    <row r="1337" spans="1:19" s="17" customFormat="1" ht="18.95" customHeight="1" outlineLevel="1" x14ac:dyDescent="0.25">
      <c r="A1337" s="146" t="s">
        <v>61</v>
      </c>
      <c r="B1337" s="146" t="s">
        <v>556</v>
      </c>
      <c r="C1337" s="146" t="s">
        <v>121</v>
      </c>
      <c r="D1337" s="156">
        <v>43434</v>
      </c>
      <c r="E1337" s="156" t="s">
        <v>672</v>
      </c>
      <c r="F1337" s="12">
        <v>43466</v>
      </c>
      <c r="G1337" s="12">
        <v>43646</v>
      </c>
      <c r="H1337" s="146"/>
      <c r="I1337" s="13">
        <v>1783.06</v>
      </c>
      <c r="J1337" s="14" t="s">
        <v>23</v>
      </c>
      <c r="K1337" s="14" t="s">
        <v>23</v>
      </c>
      <c r="L1337" s="5" t="s">
        <v>23</v>
      </c>
      <c r="M1337" s="5" t="s">
        <v>23</v>
      </c>
      <c r="N1337" s="5" t="s">
        <v>23</v>
      </c>
      <c r="O1337" s="4" t="s">
        <v>23</v>
      </c>
      <c r="P1337" s="153" t="s">
        <v>373</v>
      </c>
      <c r="S1337" s="18"/>
    </row>
    <row r="1338" spans="1:19" s="17" customFormat="1" ht="18.95" customHeight="1" outlineLevel="1" x14ac:dyDescent="0.25">
      <c r="A1338" s="148"/>
      <c r="B1338" s="148"/>
      <c r="C1338" s="148"/>
      <c r="D1338" s="156"/>
      <c r="E1338" s="156"/>
      <c r="F1338" s="12">
        <v>43647</v>
      </c>
      <c r="G1338" s="12">
        <v>43830</v>
      </c>
      <c r="H1338" s="147"/>
      <c r="I1338" s="13">
        <v>1790.36</v>
      </c>
      <c r="J1338" s="14" t="s">
        <v>23</v>
      </c>
      <c r="K1338" s="14" t="s">
        <v>23</v>
      </c>
      <c r="L1338" s="5" t="s">
        <v>23</v>
      </c>
      <c r="M1338" s="5" t="s">
        <v>23</v>
      </c>
      <c r="N1338" s="5" t="s">
        <v>23</v>
      </c>
      <c r="O1338" s="4" t="s">
        <v>23</v>
      </c>
      <c r="P1338" s="152"/>
      <c r="S1338" s="18"/>
    </row>
    <row r="1339" spans="1:19" s="17" customFormat="1" ht="18.95" customHeight="1" outlineLevel="1" x14ac:dyDescent="0.25">
      <c r="A1339" s="148"/>
      <c r="B1339" s="148"/>
      <c r="C1339" s="148"/>
      <c r="D1339" s="137">
        <v>43454</v>
      </c>
      <c r="E1339" s="137" t="s">
        <v>673</v>
      </c>
      <c r="F1339" s="12">
        <v>43466</v>
      </c>
      <c r="G1339" s="12">
        <v>43646</v>
      </c>
      <c r="H1339" s="149"/>
      <c r="I1339" s="15" t="s">
        <v>23</v>
      </c>
      <c r="J1339" s="14" t="s">
        <v>23</v>
      </c>
      <c r="K1339" s="14" t="s">
        <v>23</v>
      </c>
      <c r="L1339" s="5" t="s">
        <v>23</v>
      </c>
      <c r="M1339" s="5" t="s">
        <v>23</v>
      </c>
      <c r="N1339" s="5" t="s">
        <v>23</v>
      </c>
      <c r="O1339" s="13">
        <v>1244.52</v>
      </c>
      <c r="P1339" s="144" t="s">
        <v>444</v>
      </c>
      <c r="S1339" s="18"/>
    </row>
    <row r="1340" spans="1:19" s="17" customFormat="1" ht="18.95" customHeight="1" outlineLevel="1" x14ac:dyDescent="0.25">
      <c r="A1340" s="148"/>
      <c r="B1340" s="148"/>
      <c r="C1340" s="148"/>
      <c r="D1340" s="138"/>
      <c r="E1340" s="138"/>
      <c r="F1340" s="12">
        <v>43647</v>
      </c>
      <c r="G1340" s="12">
        <v>43830</v>
      </c>
      <c r="H1340" s="150"/>
      <c r="I1340" s="15" t="s">
        <v>23</v>
      </c>
      <c r="J1340" s="14" t="s">
        <v>23</v>
      </c>
      <c r="K1340" s="14" t="s">
        <v>23</v>
      </c>
      <c r="L1340" s="5" t="s">
        <v>23</v>
      </c>
      <c r="M1340" s="5" t="s">
        <v>23</v>
      </c>
      <c r="N1340" s="5" t="s">
        <v>23</v>
      </c>
      <c r="O1340" s="13">
        <v>1269.4100000000001</v>
      </c>
      <c r="P1340" s="145"/>
      <c r="S1340" s="18"/>
    </row>
    <row r="1341" spans="1:19" s="17" customFormat="1" ht="18.95" customHeight="1" outlineLevel="1" x14ac:dyDescent="0.25">
      <c r="A1341" s="148"/>
      <c r="B1341" s="148"/>
      <c r="C1341" s="148"/>
      <c r="D1341" s="138"/>
      <c r="E1341" s="138"/>
      <c r="F1341" s="12">
        <v>43466</v>
      </c>
      <c r="G1341" s="12">
        <v>43646</v>
      </c>
      <c r="H1341" s="150"/>
      <c r="I1341" s="15" t="s">
        <v>23</v>
      </c>
      <c r="J1341" s="14" t="s">
        <v>23</v>
      </c>
      <c r="K1341" s="14" t="s">
        <v>23</v>
      </c>
      <c r="L1341" s="5" t="s">
        <v>23</v>
      </c>
      <c r="M1341" s="5" t="s">
        <v>23</v>
      </c>
      <c r="N1341" s="5" t="s">
        <v>23</v>
      </c>
      <c r="O1341" s="13">
        <v>680</v>
      </c>
      <c r="P1341" s="144" t="s">
        <v>446</v>
      </c>
      <c r="S1341" s="18"/>
    </row>
    <row r="1342" spans="1:19" s="17" customFormat="1" ht="18.95" customHeight="1" outlineLevel="1" x14ac:dyDescent="0.25">
      <c r="A1342" s="147"/>
      <c r="B1342" s="147"/>
      <c r="C1342" s="147"/>
      <c r="D1342" s="141"/>
      <c r="E1342" s="141"/>
      <c r="F1342" s="12">
        <v>43647</v>
      </c>
      <c r="G1342" s="12">
        <v>43830</v>
      </c>
      <c r="H1342" s="151"/>
      <c r="I1342" s="15" t="s">
        <v>23</v>
      </c>
      <c r="J1342" s="14" t="s">
        <v>23</v>
      </c>
      <c r="K1342" s="14" t="s">
        <v>23</v>
      </c>
      <c r="L1342" s="5" t="s">
        <v>23</v>
      </c>
      <c r="M1342" s="5" t="s">
        <v>23</v>
      </c>
      <c r="N1342" s="5" t="s">
        <v>23</v>
      </c>
      <c r="O1342" s="13">
        <v>693.6</v>
      </c>
      <c r="P1342" s="145"/>
      <c r="S1342" s="18"/>
    </row>
    <row r="1343" spans="1:19" s="10" customFormat="1" ht="18.95" customHeight="1" x14ac:dyDescent="0.25">
      <c r="A1343" s="6">
        <v>18</v>
      </c>
      <c r="B1343" s="6" t="s">
        <v>160</v>
      </c>
      <c r="C1343" s="7"/>
      <c r="D1343" s="7"/>
      <c r="E1343" s="7"/>
      <c r="F1343" s="7"/>
      <c r="G1343" s="7"/>
      <c r="H1343" s="7"/>
      <c r="I1343" s="8"/>
      <c r="J1343" s="31"/>
      <c r="K1343" s="31"/>
      <c r="L1343" s="32"/>
      <c r="M1343" s="32"/>
      <c r="N1343" s="32"/>
      <c r="O1343" s="8"/>
      <c r="P1343" s="9"/>
      <c r="S1343" s="11"/>
    </row>
    <row r="1344" spans="1:19" s="17" customFormat="1" ht="18.95" customHeight="1" outlineLevel="1" x14ac:dyDescent="0.25">
      <c r="A1344" s="146" t="s">
        <v>59</v>
      </c>
      <c r="B1344" s="146" t="s">
        <v>122</v>
      </c>
      <c r="C1344" s="146" t="s">
        <v>123</v>
      </c>
      <c r="D1344" s="156">
        <v>43427</v>
      </c>
      <c r="E1344" s="156" t="s">
        <v>732</v>
      </c>
      <c r="F1344" s="12">
        <v>43466</v>
      </c>
      <c r="G1344" s="12">
        <v>43646</v>
      </c>
      <c r="H1344" s="146"/>
      <c r="I1344" s="13">
        <v>2103.15</v>
      </c>
      <c r="J1344" s="95" t="s">
        <v>23</v>
      </c>
      <c r="K1344" s="95" t="s">
        <v>23</v>
      </c>
      <c r="L1344" s="97" t="s">
        <v>23</v>
      </c>
      <c r="M1344" s="97" t="s">
        <v>23</v>
      </c>
      <c r="N1344" s="97" t="s">
        <v>23</v>
      </c>
      <c r="O1344" s="4" t="s">
        <v>23</v>
      </c>
      <c r="P1344" s="144" t="s">
        <v>161</v>
      </c>
      <c r="S1344" s="18"/>
    </row>
    <row r="1345" spans="1:19" s="17" customFormat="1" ht="18.95" customHeight="1" outlineLevel="1" x14ac:dyDescent="0.25">
      <c r="A1345" s="148"/>
      <c r="B1345" s="148"/>
      <c r="C1345" s="148"/>
      <c r="D1345" s="156"/>
      <c r="E1345" s="156"/>
      <c r="F1345" s="12">
        <v>43647</v>
      </c>
      <c r="G1345" s="12">
        <v>43830</v>
      </c>
      <c r="H1345" s="147"/>
      <c r="I1345" s="13">
        <v>2136.71</v>
      </c>
      <c r="J1345" s="95" t="s">
        <v>23</v>
      </c>
      <c r="K1345" s="95" t="s">
        <v>23</v>
      </c>
      <c r="L1345" s="97" t="s">
        <v>23</v>
      </c>
      <c r="M1345" s="97" t="s">
        <v>23</v>
      </c>
      <c r="N1345" s="97" t="s">
        <v>23</v>
      </c>
      <c r="O1345" s="4" t="s">
        <v>23</v>
      </c>
      <c r="P1345" s="158"/>
      <c r="S1345" s="18"/>
    </row>
    <row r="1346" spans="1:19" s="17" customFormat="1" ht="18.95" customHeight="1" outlineLevel="1" x14ac:dyDescent="0.25">
      <c r="A1346" s="148"/>
      <c r="B1346" s="148"/>
      <c r="C1346" s="148"/>
      <c r="D1346" s="156">
        <v>43454</v>
      </c>
      <c r="E1346" s="156" t="s">
        <v>733</v>
      </c>
      <c r="F1346" s="12">
        <v>43466</v>
      </c>
      <c r="G1346" s="12">
        <v>43646</v>
      </c>
      <c r="H1346" s="149"/>
      <c r="I1346" s="96" t="s">
        <v>23</v>
      </c>
      <c r="J1346" s="95" t="s">
        <v>23</v>
      </c>
      <c r="K1346" s="95" t="s">
        <v>23</v>
      </c>
      <c r="L1346" s="97" t="s">
        <v>23</v>
      </c>
      <c r="M1346" s="97" t="s">
        <v>23</v>
      </c>
      <c r="N1346" s="97" t="s">
        <v>23</v>
      </c>
      <c r="O1346" s="13">
        <v>2103.15</v>
      </c>
      <c r="P1346" s="158"/>
      <c r="S1346" s="18"/>
    </row>
    <row r="1347" spans="1:19" s="17" customFormat="1" ht="18.95" customHeight="1" outlineLevel="1" x14ac:dyDescent="0.25">
      <c r="A1347" s="147"/>
      <c r="B1347" s="147"/>
      <c r="C1347" s="147"/>
      <c r="D1347" s="156"/>
      <c r="E1347" s="156"/>
      <c r="F1347" s="12">
        <v>43647</v>
      </c>
      <c r="G1347" s="12">
        <v>43830</v>
      </c>
      <c r="H1347" s="151"/>
      <c r="I1347" s="96" t="s">
        <v>23</v>
      </c>
      <c r="J1347" s="95" t="s">
        <v>23</v>
      </c>
      <c r="K1347" s="95" t="s">
        <v>23</v>
      </c>
      <c r="L1347" s="97" t="s">
        <v>23</v>
      </c>
      <c r="M1347" s="97" t="s">
        <v>23</v>
      </c>
      <c r="N1347" s="97" t="s">
        <v>23</v>
      </c>
      <c r="O1347" s="13">
        <v>2136.71</v>
      </c>
      <c r="P1347" s="145"/>
      <c r="S1347" s="18"/>
    </row>
    <row r="1348" spans="1:19" s="17" customFormat="1" ht="18.95" customHeight="1" outlineLevel="1" x14ac:dyDescent="0.25">
      <c r="A1348" s="146" t="s">
        <v>59</v>
      </c>
      <c r="B1348" s="146" t="s">
        <v>124</v>
      </c>
      <c r="C1348" s="146" t="s">
        <v>125</v>
      </c>
      <c r="D1348" s="156">
        <v>43453</v>
      </c>
      <c r="E1348" s="156" t="s">
        <v>734</v>
      </c>
      <c r="F1348" s="12">
        <v>43466</v>
      </c>
      <c r="G1348" s="12">
        <v>43646</v>
      </c>
      <c r="H1348" s="146"/>
      <c r="I1348" s="13">
        <v>1540.2</v>
      </c>
      <c r="J1348" s="95" t="s">
        <v>23</v>
      </c>
      <c r="K1348" s="95" t="s">
        <v>23</v>
      </c>
      <c r="L1348" s="97" t="s">
        <v>23</v>
      </c>
      <c r="M1348" s="97" t="s">
        <v>23</v>
      </c>
      <c r="N1348" s="97" t="s">
        <v>23</v>
      </c>
      <c r="O1348" s="4" t="s">
        <v>23</v>
      </c>
      <c r="P1348" s="213" t="s">
        <v>444</v>
      </c>
      <c r="S1348" s="18"/>
    </row>
    <row r="1349" spans="1:19" s="17" customFormat="1" ht="18.95" customHeight="1" outlineLevel="1" x14ac:dyDescent="0.25">
      <c r="A1349" s="148"/>
      <c r="B1349" s="148"/>
      <c r="C1349" s="148"/>
      <c r="D1349" s="156"/>
      <c r="E1349" s="156"/>
      <c r="F1349" s="12">
        <v>43647</v>
      </c>
      <c r="G1349" s="12">
        <v>43830</v>
      </c>
      <c r="H1349" s="147"/>
      <c r="I1349" s="13">
        <v>1571</v>
      </c>
      <c r="J1349" s="95" t="s">
        <v>23</v>
      </c>
      <c r="K1349" s="95" t="s">
        <v>23</v>
      </c>
      <c r="L1349" s="97" t="s">
        <v>23</v>
      </c>
      <c r="M1349" s="97" t="s">
        <v>23</v>
      </c>
      <c r="N1349" s="97" t="s">
        <v>23</v>
      </c>
      <c r="O1349" s="4" t="s">
        <v>23</v>
      </c>
      <c r="P1349" s="213"/>
      <c r="S1349" s="18"/>
    </row>
    <row r="1350" spans="1:19" s="17" customFormat="1" ht="18.95" customHeight="1" outlineLevel="1" x14ac:dyDescent="0.25">
      <c r="A1350" s="148"/>
      <c r="B1350" s="148"/>
      <c r="C1350" s="148"/>
      <c r="D1350" s="156">
        <v>43454</v>
      </c>
      <c r="E1350" s="156" t="s">
        <v>733</v>
      </c>
      <c r="F1350" s="12">
        <v>43466</v>
      </c>
      <c r="G1350" s="12">
        <v>43646</v>
      </c>
      <c r="H1350" s="149"/>
      <c r="I1350" s="96" t="s">
        <v>23</v>
      </c>
      <c r="J1350" s="95" t="s">
        <v>23</v>
      </c>
      <c r="K1350" s="95" t="s">
        <v>23</v>
      </c>
      <c r="L1350" s="97" t="s">
        <v>23</v>
      </c>
      <c r="M1350" s="97" t="s">
        <v>23</v>
      </c>
      <c r="N1350" s="97" t="s">
        <v>23</v>
      </c>
      <c r="O1350" s="13">
        <v>1276.128813559322</v>
      </c>
      <c r="P1350" s="213" t="s">
        <v>446</v>
      </c>
      <c r="S1350" s="18"/>
    </row>
    <row r="1351" spans="1:19" s="17" customFormat="1" ht="18.95" customHeight="1" outlineLevel="1" x14ac:dyDescent="0.25">
      <c r="A1351" s="148"/>
      <c r="B1351" s="148"/>
      <c r="C1351" s="148"/>
      <c r="D1351" s="156"/>
      <c r="E1351" s="156"/>
      <c r="F1351" s="12">
        <v>43647</v>
      </c>
      <c r="G1351" s="12">
        <v>43830</v>
      </c>
      <c r="H1351" s="151"/>
      <c r="I1351" s="96" t="s">
        <v>23</v>
      </c>
      <c r="J1351" s="95" t="s">
        <v>23</v>
      </c>
      <c r="K1351" s="95" t="s">
        <v>23</v>
      </c>
      <c r="L1351" s="97" t="s">
        <v>23</v>
      </c>
      <c r="M1351" s="97" t="s">
        <v>23</v>
      </c>
      <c r="N1351" s="97" t="s">
        <v>23</v>
      </c>
      <c r="O1351" s="13">
        <v>1301.6513898305084</v>
      </c>
      <c r="P1351" s="214"/>
      <c r="S1351" s="18"/>
    </row>
    <row r="1352" spans="1:19" s="17" customFormat="1" ht="18.95" customHeight="1" outlineLevel="1" x14ac:dyDescent="0.25">
      <c r="A1352" s="146" t="s">
        <v>59</v>
      </c>
      <c r="B1352" s="146" t="s">
        <v>557</v>
      </c>
      <c r="C1352" s="146" t="s">
        <v>83</v>
      </c>
      <c r="D1352" s="156">
        <v>43434</v>
      </c>
      <c r="E1352" s="156" t="s">
        <v>352</v>
      </c>
      <c r="F1352" s="12">
        <v>43466</v>
      </c>
      <c r="G1352" s="12">
        <v>43646</v>
      </c>
      <c r="H1352" s="146"/>
      <c r="I1352" s="13">
        <v>2373.8000000000002</v>
      </c>
      <c r="J1352" s="95" t="s">
        <v>23</v>
      </c>
      <c r="K1352" s="95" t="s">
        <v>23</v>
      </c>
      <c r="L1352" s="97" t="s">
        <v>23</v>
      </c>
      <c r="M1352" s="97" t="s">
        <v>23</v>
      </c>
      <c r="N1352" s="97" t="s">
        <v>23</v>
      </c>
      <c r="O1352" s="4" t="s">
        <v>23</v>
      </c>
      <c r="P1352" s="144"/>
      <c r="S1352" s="18"/>
    </row>
    <row r="1353" spans="1:19" s="17" customFormat="1" ht="18.95" customHeight="1" outlineLevel="1" x14ac:dyDescent="0.25">
      <c r="A1353" s="148"/>
      <c r="B1353" s="147"/>
      <c r="C1353" s="148"/>
      <c r="D1353" s="156"/>
      <c r="E1353" s="156"/>
      <c r="F1353" s="12">
        <v>43647</v>
      </c>
      <c r="G1353" s="12">
        <v>43830</v>
      </c>
      <c r="H1353" s="147"/>
      <c r="I1353" s="13">
        <v>2465.2211765981283</v>
      </c>
      <c r="J1353" s="95" t="s">
        <v>23</v>
      </c>
      <c r="K1353" s="95" t="s">
        <v>23</v>
      </c>
      <c r="L1353" s="97" t="s">
        <v>23</v>
      </c>
      <c r="M1353" s="97" t="s">
        <v>23</v>
      </c>
      <c r="N1353" s="97" t="s">
        <v>23</v>
      </c>
      <c r="O1353" s="4" t="s">
        <v>23</v>
      </c>
      <c r="P1353" s="145"/>
      <c r="S1353" s="18"/>
    </row>
    <row r="1354" spans="1:19" s="17" customFormat="1" ht="18.95" customHeight="1" outlineLevel="1" x14ac:dyDescent="0.25">
      <c r="A1354" s="148"/>
      <c r="B1354" s="146" t="s">
        <v>126</v>
      </c>
      <c r="C1354" s="148"/>
      <c r="D1354" s="156">
        <v>43454</v>
      </c>
      <c r="E1354" s="156" t="s">
        <v>733</v>
      </c>
      <c r="F1354" s="12">
        <v>43466</v>
      </c>
      <c r="G1354" s="12">
        <v>43646</v>
      </c>
      <c r="H1354" s="149"/>
      <c r="I1354" s="96" t="s">
        <v>23</v>
      </c>
      <c r="J1354" s="95" t="s">
        <v>23</v>
      </c>
      <c r="K1354" s="95" t="s">
        <v>23</v>
      </c>
      <c r="L1354" s="97" t="s">
        <v>23</v>
      </c>
      <c r="M1354" s="97" t="s">
        <v>23</v>
      </c>
      <c r="N1354" s="97" t="s">
        <v>23</v>
      </c>
      <c r="O1354" s="13">
        <v>2695.4440677966099</v>
      </c>
      <c r="P1354" s="144"/>
      <c r="S1354" s="18"/>
    </row>
    <row r="1355" spans="1:19" s="17" customFormat="1" ht="18.95" customHeight="1" outlineLevel="1" x14ac:dyDescent="0.25">
      <c r="A1355" s="147"/>
      <c r="B1355" s="147"/>
      <c r="C1355" s="147"/>
      <c r="D1355" s="156"/>
      <c r="E1355" s="156"/>
      <c r="F1355" s="12">
        <v>43647</v>
      </c>
      <c r="G1355" s="12">
        <v>43830</v>
      </c>
      <c r="H1355" s="151"/>
      <c r="I1355" s="96" t="s">
        <v>23</v>
      </c>
      <c r="J1355" s="95" t="s">
        <v>23</v>
      </c>
      <c r="K1355" s="95" t="s">
        <v>23</v>
      </c>
      <c r="L1355" s="97" t="s">
        <v>23</v>
      </c>
      <c r="M1355" s="97" t="s">
        <v>23</v>
      </c>
      <c r="N1355" s="97" t="s">
        <v>23</v>
      </c>
      <c r="O1355" s="13">
        <v>2695.44</v>
      </c>
      <c r="P1355" s="145"/>
      <c r="S1355" s="18"/>
    </row>
    <row r="1356" spans="1:19" s="17" customFormat="1" ht="18.95" customHeight="1" outlineLevel="1" x14ac:dyDescent="0.25">
      <c r="A1356" s="146" t="s">
        <v>59</v>
      </c>
      <c r="B1356" s="146" t="s">
        <v>127</v>
      </c>
      <c r="C1356" s="146" t="s">
        <v>118</v>
      </c>
      <c r="D1356" s="156">
        <v>43453</v>
      </c>
      <c r="E1356" s="156" t="s">
        <v>735</v>
      </c>
      <c r="F1356" s="12">
        <v>43466</v>
      </c>
      <c r="G1356" s="12">
        <v>43496</v>
      </c>
      <c r="H1356" s="146" t="s">
        <v>828</v>
      </c>
      <c r="I1356" s="13">
        <v>2310.25</v>
      </c>
      <c r="J1356" s="95" t="s">
        <v>23</v>
      </c>
      <c r="K1356" s="95" t="s">
        <v>23</v>
      </c>
      <c r="L1356" s="97" t="s">
        <v>23</v>
      </c>
      <c r="M1356" s="97" t="s">
        <v>23</v>
      </c>
      <c r="N1356" s="97" t="s">
        <v>23</v>
      </c>
      <c r="O1356" s="4" t="s">
        <v>23</v>
      </c>
      <c r="P1356" s="144" t="s">
        <v>371</v>
      </c>
      <c r="S1356" s="18"/>
    </row>
    <row r="1357" spans="1:19" s="17" customFormat="1" ht="18.95" customHeight="1" outlineLevel="1" x14ac:dyDescent="0.25">
      <c r="A1357" s="148"/>
      <c r="B1357" s="148"/>
      <c r="C1357" s="148"/>
      <c r="D1357" s="156"/>
      <c r="E1357" s="156"/>
      <c r="F1357" s="12">
        <v>43497</v>
      </c>
      <c r="G1357" s="12">
        <v>43830</v>
      </c>
      <c r="H1357" s="147"/>
      <c r="I1357" s="13">
        <v>1957.4</v>
      </c>
      <c r="J1357" s="95" t="s">
        <v>23</v>
      </c>
      <c r="K1357" s="95" t="s">
        <v>23</v>
      </c>
      <c r="L1357" s="97" t="s">
        <v>23</v>
      </c>
      <c r="M1357" s="97" t="s">
        <v>23</v>
      </c>
      <c r="N1357" s="97" t="s">
        <v>23</v>
      </c>
      <c r="O1357" s="4" t="s">
        <v>23</v>
      </c>
      <c r="P1357" s="145"/>
      <c r="S1357" s="18"/>
    </row>
    <row r="1358" spans="1:19" s="17" customFormat="1" ht="18.95" customHeight="1" outlineLevel="1" x14ac:dyDescent="0.25">
      <c r="A1358" s="148"/>
      <c r="B1358" s="148"/>
      <c r="C1358" s="148"/>
      <c r="D1358" s="156">
        <v>43454</v>
      </c>
      <c r="E1358" s="156" t="s">
        <v>733</v>
      </c>
      <c r="F1358" s="12">
        <v>43466</v>
      </c>
      <c r="G1358" s="12">
        <v>43646</v>
      </c>
      <c r="H1358" s="149"/>
      <c r="I1358" s="96" t="s">
        <v>23</v>
      </c>
      <c r="J1358" s="95" t="s">
        <v>23</v>
      </c>
      <c r="K1358" s="95" t="s">
        <v>23</v>
      </c>
      <c r="L1358" s="97" t="s">
        <v>23</v>
      </c>
      <c r="M1358" s="97" t="s">
        <v>23</v>
      </c>
      <c r="N1358" s="97" t="s">
        <v>23</v>
      </c>
      <c r="O1358" s="13">
        <v>2457.2847457627117</v>
      </c>
      <c r="P1358" s="144" t="s">
        <v>444</v>
      </c>
      <c r="S1358" s="18"/>
    </row>
    <row r="1359" spans="1:19" s="17" customFormat="1" ht="18.95" customHeight="1" outlineLevel="1" x14ac:dyDescent="0.25">
      <c r="A1359" s="148"/>
      <c r="B1359" s="148"/>
      <c r="C1359" s="148"/>
      <c r="D1359" s="156"/>
      <c r="E1359" s="156"/>
      <c r="F1359" s="12">
        <v>43647</v>
      </c>
      <c r="G1359" s="12">
        <v>43830</v>
      </c>
      <c r="H1359" s="150"/>
      <c r="I1359" s="96" t="s">
        <v>23</v>
      </c>
      <c r="J1359" s="95" t="s">
        <v>23</v>
      </c>
      <c r="K1359" s="95" t="s">
        <v>23</v>
      </c>
      <c r="L1359" s="97" t="s">
        <v>23</v>
      </c>
      <c r="M1359" s="97" t="s">
        <v>23</v>
      </c>
      <c r="N1359" s="97" t="s">
        <v>23</v>
      </c>
      <c r="O1359" s="13">
        <v>2348.88</v>
      </c>
      <c r="P1359" s="145"/>
      <c r="S1359" s="18"/>
    </row>
    <row r="1360" spans="1:19" s="17" customFormat="1" ht="18.95" customHeight="1" outlineLevel="1" x14ac:dyDescent="0.25">
      <c r="A1360" s="148"/>
      <c r="B1360" s="148"/>
      <c r="C1360" s="148"/>
      <c r="D1360" s="156">
        <v>43454</v>
      </c>
      <c r="E1360" s="156" t="s">
        <v>733</v>
      </c>
      <c r="F1360" s="12">
        <v>43466</v>
      </c>
      <c r="G1360" s="12">
        <v>43646</v>
      </c>
      <c r="H1360" s="150"/>
      <c r="I1360" s="96" t="s">
        <v>23</v>
      </c>
      <c r="J1360" s="95" t="s">
        <v>23</v>
      </c>
      <c r="K1360" s="95" t="s">
        <v>23</v>
      </c>
      <c r="L1360" s="97" t="s">
        <v>23</v>
      </c>
      <c r="M1360" s="97" t="s">
        <v>23</v>
      </c>
      <c r="N1360" s="97" t="s">
        <v>23</v>
      </c>
      <c r="O1360" s="13">
        <v>1558.4745762711866</v>
      </c>
      <c r="P1360" s="213" t="s">
        <v>711</v>
      </c>
      <c r="S1360" s="18"/>
    </row>
    <row r="1361" spans="1:19" s="17" customFormat="1" ht="18.95" customHeight="1" outlineLevel="1" x14ac:dyDescent="0.25">
      <c r="A1361" s="148"/>
      <c r="B1361" s="148"/>
      <c r="C1361" s="148"/>
      <c r="D1361" s="156"/>
      <c r="E1361" s="156"/>
      <c r="F1361" s="12">
        <v>43647</v>
      </c>
      <c r="G1361" s="12">
        <v>43830</v>
      </c>
      <c r="H1361" s="150"/>
      <c r="I1361" s="96" t="s">
        <v>23</v>
      </c>
      <c r="J1361" s="95" t="s">
        <v>23</v>
      </c>
      <c r="K1361" s="95" t="s">
        <v>23</v>
      </c>
      <c r="L1361" s="97" t="s">
        <v>23</v>
      </c>
      <c r="M1361" s="97" t="s">
        <v>23</v>
      </c>
      <c r="N1361" s="97" t="s">
        <v>23</v>
      </c>
      <c r="O1361" s="13">
        <v>1589.6440677966104</v>
      </c>
      <c r="P1361" s="213"/>
      <c r="S1361" s="18"/>
    </row>
    <row r="1362" spans="1:19" s="17" customFormat="1" ht="18.95" customHeight="1" outlineLevel="1" x14ac:dyDescent="0.25">
      <c r="A1362" s="148"/>
      <c r="B1362" s="148"/>
      <c r="C1362" s="148"/>
      <c r="D1362" s="156">
        <v>43454</v>
      </c>
      <c r="E1362" s="156" t="s">
        <v>733</v>
      </c>
      <c r="F1362" s="12">
        <v>43466</v>
      </c>
      <c r="G1362" s="12">
        <v>43646</v>
      </c>
      <c r="H1362" s="150"/>
      <c r="I1362" s="96" t="s">
        <v>23</v>
      </c>
      <c r="J1362" s="95" t="s">
        <v>23</v>
      </c>
      <c r="K1362" s="95" t="s">
        <v>23</v>
      </c>
      <c r="L1362" s="97" t="s">
        <v>23</v>
      </c>
      <c r="M1362" s="97" t="s">
        <v>23</v>
      </c>
      <c r="N1362" s="97" t="s">
        <v>23</v>
      </c>
      <c r="O1362" s="13">
        <v>1700.1559322033897</v>
      </c>
      <c r="P1362" s="213" t="s">
        <v>471</v>
      </c>
      <c r="S1362" s="18"/>
    </row>
    <row r="1363" spans="1:19" s="17" customFormat="1" ht="18.95" customHeight="1" outlineLevel="1" x14ac:dyDescent="0.25">
      <c r="A1363" s="147"/>
      <c r="B1363" s="147"/>
      <c r="C1363" s="148"/>
      <c r="D1363" s="156"/>
      <c r="E1363" s="156"/>
      <c r="F1363" s="12">
        <v>43647</v>
      </c>
      <c r="G1363" s="12">
        <v>43830</v>
      </c>
      <c r="H1363" s="151"/>
      <c r="I1363" s="96" t="s">
        <v>23</v>
      </c>
      <c r="J1363" s="95" t="s">
        <v>23</v>
      </c>
      <c r="K1363" s="95" t="s">
        <v>23</v>
      </c>
      <c r="L1363" s="97" t="s">
        <v>23</v>
      </c>
      <c r="M1363" s="97" t="s">
        <v>23</v>
      </c>
      <c r="N1363" s="97" t="s">
        <v>23</v>
      </c>
      <c r="O1363" s="13">
        <v>1734.1590508474576</v>
      </c>
      <c r="P1363" s="214"/>
      <c r="S1363" s="18"/>
    </row>
    <row r="1364" spans="1:19" s="17" customFormat="1" ht="18.95" customHeight="1" outlineLevel="1" x14ac:dyDescent="0.25">
      <c r="A1364" s="146" t="s">
        <v>59</v>
      </c>
      <c r="B1364" s="146" t="s">
        <v>128</v>
      </c>
      <c r="C1364" s="148"/>
      <c r="D1364" s="156">
        <v>43453</v>
      </c>
      <c r="E1364" s="156" t="s">
        <v>735</v>
      </c>
      <c r="F1364" s="12">
        <v>43466</v>
      </c>
      <c r="G1364" s="12">
        <v>43646</v>
      </c>
      <c r="H1364" s="146" t="s">
        <v>828</v>
      </c>
      <c r="I1364" s="13">
        <v>2310.25</v>
      </c>
      <c r="J1364" s="95" t="s">
        <v>23</v>
      </c>
      <c r="K1364" s="95" t="s">
        <v>23</v>
      </c>
      <c r="L1364" s="97" t="s">
        <v>23</v>
      </c>
      <c r="M1364" s="97" t="s">
        <v>23</v>
      </c>
      <c r="N1364" s="97" t="s">
        <v>23</v>
      </c>
      <c r="O1364" s="4" t="s">
        <v>23</v>
      </c>
      <c r="P1364" s="144" t="s">
        <v>371</v>
      </c>
      <c r="S1364" s="18"/>
    </row>
    <row r="1365" spans="1:19" s="17" customFormat="1" ht="18.95" customHeight="1" outlineLevel="1" x14ac:dyDescent="0.25">
      <c r="A1365" s="148"/>
      <c r="B1365" s="148"/>
      <c r="C1365" s="148"/>
      <c r="D1365" s="156"/>
      <c r="E1365" s="156"/>
      <c r="F1365" s="12">
        <v>43647</v>
      </c>
      <c r="G1365" s="12">
        <v>43830</v>
      </c>
      <c r="H1365" s="147"/>
      <c r="I1365" s="13">
        <v>1957.4</v>
      </c>
      <c r="J1365" s="95" t="s">
        <v>23</v>
      </c>
      <c r="K1365" s="95" t="s">
        <v>23</v>
      </c>
      <c r="L1365" s="97" t="s">
        <v>23</v>
      </c>
      <c r="M1365" s="97" t="s">
        <v>23</v>
      </c>
      <c r="N1365" s="97" t="s">
        <v>23</v>
      </c>
      <c r="O1365" s="4" t="s">
        <v>23</v>
      </c>
      <c r="P1365" s="145"/>
      <c r="S1365" s="18"/>
    </row>
    <row r="1366" spans="1:19" s="17" customFormat="1" ht="18.95" customHeight="1" outlineLevel="1" x14ac:dyDescent="0.25">
      <c r="A1366" s="148"/>
      <c r="B1366" s="148"/>
      <c r="C1366" s="148"/>
      <c r="D1366" s="156">
        <v>43454</v>
      </c>
      <c r="E1366" s="156" t="s">
        <v>733</v>
      </c>
      <c r="F1366" s="12">
        <v>43466</v>
      </c>
      <c r="G1366" s="12">
        <v>43646</v>
      </c>
      <c r="H1366" s="149"/>
      <c r="I1366" s="96" t="s">
        <v>23</v>
      </c>
      <c r="J1366" s="95" t="s">
        <v>23</v>
      </c>
      <c r="K1366" s="95" t="s">
        <v>23</v>
      </c>
      <c r="L1366" s="97" t="s">
        <v>23</v>
      </c>
      <c r="M1366" s="97" t="s">
        <v>23</v>
      </c>
      <c r="N1366" s="97" t="s">
        <v>23</v>
      </c>
      <c r="O1366" s="13">
        <v>2457.2847457627117</v>
      </c>
      <c r="P1366" s="144" t="s">
        <v>444</v>
      </c>
      <c r="S1366" s="18"/>
    </row>
    <row r="1367" spans="1:19" s="17" customFormat="1" ht="18.95" customHeight="1" outlineLevel="1" x14ac:dyDescent="0.25">
      <c r="A1367" s="148"/>
      <c r="B1367" s="148"/>
      <c r="C1367" s="148"/>
      <c r="D1367" s="156"/>
      <c r="E1367" s="156"/>
      <c r="F1367" s="12">
        <v>43647</v>
      </c>
      <c r="G1367" s="12">
        <v>43830</v>
      </c>
      <c r="H1367" s="150"/>
      <c r="I1367" s="96" t="s">
        <v>23</v>
      </c>
      <c r="J1367" s="95" t="s">
        <v>23</v>
      </c>
      <c r="K1367" s="95" t="s">
        <v>23</v>
      </c>
      <c r="L1367" s="97" t="s">
        <v>23</v>
      </c>
      <c r="M1367" s="97" t="s">
        <v>23</v>
      </c>
      <c r="N1367" s="97" t="s">
        <v>23</v>
      </c>
      <c r="O1367" s="13">
        <v>2348.88</v>
      </c>
      <c r="P1367" s="145"/>
      <c r="S1367" s="18"/>
    </row>
    <row r="1368" spans="1:19" s="17" customFormat="1" ht="18.95" customHeight="1" outlineLevel="1" x14ac:dyDescent="0.25">
      <c r="A1368" s="148"/>
      <c r="B1368" s="148"/>
      <c r="C1368" s="148"/>
      <c r="D1368" s="156">
        <v>43454</v>
      </c>
      <c r="E1368" s="156" t="s">
        <v>733</v>
      </c>
      <c r="F1368" s="12">
        <v>43466</v>
      </c>
      <c r="G1368" s="12">
        <v>43646</v>
      </c>
      <c r="H1368" s="150"/>
      <c r="I1368" s="96" t="s">
        <v>23</v>
      </c>
      <c r="J1368" s="95" t="s">
        <v>23</v>
      </c>
      <c r="K1368" s="95" t="s">
        <v>23</v>
      </c>
      <c r="L1368" s="97" t="s">
        <v>23</v>
      </c>
      <c r="M1368" s="97" t="s">
        <v>23</v>
      </c>
      <c r="N1368" s="97" t="s">
        <v>23</v>
      </c>
      <c r="O1368" s="13">
        <v>1558.4745762711866</v>
      </c>
      <c r="P1368" s="213" t="s">
        <v>711</v>
      </c>
      <c r="S1368" s="18"/>
    </row>
    <row r="1369" spans="1:19" s="17" customFormat="1" ht="18.95" customHeight="1" outlineLevel="1" x14ac:dyDescent="0.25">
      <c r="A1369" s="148"/>
      <c r="B1369" s="148"/>
      <c r="C1369" s="148"/>
      <c r="D1369" s="156"/>
      <c r="E1369" s="156"/>
      <c r="F1369" s="12">
        <v>43647</v>
      </c>
      <c r="G1369" s="12">
        <v>43830</v>
      </c>
      <c r="H1369" s="150"/>
      <c r="I1369" s="96" t="s">
        <v>23</v>
      </c>
      <c r="J1369" s="95" t="s">
        <v>23</v>
      </c>
      <c r="K1369" s="95" t="s">
        <v>23</v>
      </c>
      <c r="L1369" s="97" t="s">
        <v>23</v>
      </c>
      <c r="M1369" s="97" t="s">
        <v>23</v>
      </c>
      <c r="N1369" s="97" t="s">
        <v>23</v>
      </c>
      <c r="O1369" s="13">
        <v>1589.6440677966104</v>
      </c>
      <c r="P1369" s="213"/>
      <c r="S1369" s="18"/>
    </row>
    <row r="1370" spans="1:19" s="17" customFormat="1" ht="18.95" customHeight="1" outlineLevel="1" x14ac:dyDescent="0.25">
      <c r="A1370" s="148"/>
      <c r="B1370" s="148"/>
      <c r="C1370" s="148"/>
      <c r="D1370" s="156">
        <v>43454</v>
      </c>
      <c r="E1370" s="156" t="s">
        <v>733</v>
      </c>
      <c r="F1370" s="12">
        <v>43466</v>
      </c>
      <c r="G1370" s="12">
        <v>43646</v>
      </c>
      <c r="H1370" s="150"/>
      <c r="I1370" s="96" t="s">
        <v>23</v>
      </c>
      <c r="J1370" s="95" t="s">
        <v>23</v>
      </c>
      <c r="K1370" s="95" t="s">
        <v>23</v>
      </c>
      <c r="L1370" s="97" t="s">
        <v>23</v>
      </c>
      <c r="M1370" s="97" t="s">
        <v>23</v>
      </c>
      <c r="N1370" s="97" t="s">
        <v>23</v>
      </c>
      <c r="O1370" s="13">
        <v>1700.1559322033897</v>
      </c>
      <c r="P1370" s="213" t="s">
        <v>471</v>
      </c>
      <c r="S1370" s="18"/>
    </row>
    <row r="1371" spans="1:19" s="17" customFormat="1" ht="18.95" customHeight="1" outlineLevel="1" x14ac:dyDescent="0.25">
      <c r="A1371" s="147"/>
      <c r="B1371" s="147"/>
      <c r="C1371" s="148"/>
      <c r="D1371" s="156"/>
      <c r="E1371" s="156"/>
      <c r="F1371" s="12">
        <v>43647</v>
      </c>
      <c r="G1371" s="12">
        <v>43830</v>
      </c>
      <c r="H1371" s="151"/>
      <c r="I1371" s="96" t="s">
        <v>23</v>
      </c>
      <c r="J1371" s="95" t="s">
        <v>23</v>
      </c>
      <c r="K1371" s="95" t="s">
        <v>23</v>
      </c>
      <c r="L1371" s="97" t="s">
        <v>23</v>
      </c>
      <c r="M1371" s="97" t="s">
        <v>23</v>
      </c>
      <c r="N1371" s="97" t="s">
        <v>23</v>
      </c>
      <c r="O1371" s="13">
        <v>1734.1590508474576</v>
      </c>
      <c r="P1371" s="214"/>
      <c r="S1371" s="18"/>
    </row>
    <row r="1372" spans="1:19" s="17" customFormat="1" ht="18.95" customHeight="1" outlineLevel="1" x14ac:dyDescent="0.25">
      <c r="A1372" s="146" t="s">
        <v>59</v>
      </c>
      <c r="B1372" s="146" t="s">
        <v>126</v>
      </c>
      <c r="C1372" s="148"/>
      <c r="D1372" s="156">
        <v>43453</v>
      </c>
      <c r="E1372" s="156" t="s">
        <v>735</v>
      </c>
      <c r="F1372" s="12">
        <v>43466</v>
      </c>
      <c r="G1372" s="12">
        <v>43646</v>
      </c>
      <c r="H1372" s="146" t="s">
        <v>828</v>
      </c>
      <c r="I1372" s="13">
        <v>2310.25</v>
      </c>
      <c r="J1372" s="95" t="s">
        <v>23</v>
      </c>
      <c r="K1372" s="95" t="s">
        <v>23</v>
      </c>
      <c r="L1372" s="97" t="s">
        <v>23</v>
      </c>
      <c r="M1372" s="97" t="s">
        <v>23</v>
      </c>
      <c r="N1372" s="97" t="s">
        <v>23</v>
      </c>
      <c r="O1372" s="4" t="s">
        <v>23</v>
      </c>
      <c r="P1372" s="144" t="s">
        <v>371</v>
      </c>
      <c r="S1372" s="18"/>
    </row>
    <row r="1373" spans="1:19" s="17" customFormat="1" ht="18.95" customHeight="1" outlineLevel="1" x14ac:dyDescent="0.25">
      <c r="A1373" s="148"/>
      <c r="B1373" s="148"/>
      <c r="C1373" s="148"/>
      <c r="D1373" s="156"/>
      <c r="E1373" s="156"/>
      <c r="F1373" s="12">
        <v>43647</v>
      </c>
      <c r="G1373" s="12">
        <v>43830</v>
      </c>
      <c r="H1373" s="147"/>
      <c r="I1373" s="13">
        <v>1957.4</v>
      </c>
      <c r="J1373" s="95" t="s">
        <v>23</v>
      </c>
      <c r="K1373" s="95" t="s">
        <v>23</v>
      </c>
      <c r="L1373" s="97" t="s">
        <v>23</v>
      </c>
      <c r="M1373" s="97" t="s">
        <v>23</v>
      </c>
      <c r="N1373" s="97" t="s">
        <v>23</v>
      </c>
      <c r="O1373" s="4" t="s">
        <v>23</v>
      </c>
      <c r="P1373" s="145"/>
      <c r="S1373" s="18"/>
    </row>
    <row r="1374" spans="1:19" s="17" customFormat="1" ht="18.95" customHeight="1" outlineLevel="1" x14ac:dyDescent="0.25">
      <c r="A1374" s="148"/>
      <c r="B1374" s="148"/>
      <c r="C1374" s="148"/>
      <c r="D1374" s="156">
        <v>43454</v>
      </c>
      <c r="E1374" s="156" t="s">
        <v>733</v>
      </c>
      <c r="F1374" s="12">
        <v>43466</v>
      </c>
      <c r="G1374" s="12">
        <v>43646</v>
      </c>
      <c r="H1374" s="149"/>
      <c r="I1374" s="96" t="s">
        <v>23</v>
      </c>
      <c r="J1374" s="95" t="s">
        <v>23</v>
      </c>
      <c r="K1374" s="95" t="s">
        <v>23</v>
      </c>
      <c r="L1374" s="97" t="s">
        <v>23</v>
      </c>
      <c r="M1374" s="97" t="s">
        <v>23</v>
      </c>
      <c r="N1374" s="97" t="s">
        <v>23</v>
      </c>
      <c r="O1374" s="13">
        <v>2457.2847457627117</v>
      </c>
      <c r="P1374" s="144" t="s">
        <v>444</v>
      </c>
      <c r="S1374" s="18"/>
    </row>
    <row r="1375" spans="1:19" s="17" customFormat="1" ht="18.95" customHeight="1" outlineLevel="1" x14ac:dyDescent="0.25">
      <c r="A1375" s="148"/>
      <c r="B1375" s="148"/>
      <c r="C1375" s="148"/>
      <c r="D1375" s="156"/>
      <c r="E1375" s="156"/>
      <c r="F1375" s="12">
        <v>43647</v>
      </c>
      <c r="G1375" s="12">
        <v>43830</v>
      </c>
      <c r="H1375" s="150"/>
      <c r="I1375" s="96" t="s">
        <v>23</v>
      </c>
      <c r="J1375" s="95" t="s">
        <v>23</v>
      </c>
      <c r="K1375" s="95" t="s">
        <v>23</v>
      </c>
      <c r="L1375" s="97" t="s">
        <v>23</v>
      </c>
      <c r="M1375" s="97" t="s">
        <v>23</v>
      </c>
      <c r="N1375" s="97" t="s">
        <v>23</v>
      </c>
      <c r="O1375" s="13">
        <v>2348.88</v>
      </c>
      <c r="P1375" s="145"/>
      <c r="S1375" s="18"/>
    </row>
    <row r="1376" spans="1:19" s="17" customFormat="1" ht="18.95" customHeight="1" outlineLevel="1" x14ac:dyDescent="0.25">
      <c r="A1376" s="148"/>
      <c r="B1376" s="148"/>
      <c r="C1376" s="148"/>
      <c r="D1376" s="156">
        <v>43454</v>
      </c>
      <c r="E1376" s="156" t="s">
        <v>733</v>
      </c>
      <c r="F1376" s="12">
        <v>43466</v>
      </c>
      <c r="G1376" s="12">
        <v>43646</v>
      </c>
      <c r="H1376" s="150"/>
      <c r="I1376" s="96" t="s">
        <v>23</v>
      </c>
      <c r="J1376" s="95" t="s">
        <v>23</v>
      </c>
      <c r="K1376" s="95" t="s">
        <v>23</v>
      </c>
      <c r="L1376" s="97" t="s">
        <v>23</v>
      </c>
      <c r="M1376" s="97" t="s">
        <v>23</v>
      </c>
      <c r="N1376" s="97" t="s">
        <v>23</v>
      </c>
      <c r="O1376" s="13">
        <v>1586.8677966101695</v>
      </c>
      <c r="P1376" s="213" t="s">
        <v>711</v>
      </c>
      <c r="S1376" s="18"/>
    </row>
    <row r="1377" spans="1:19" s="17" customFormat="1" ht="18.95" customHeight="1" outlineLevel="1" x14ac:dyDescent="0.25">
      <c r="A1377" s="148"/>
      <c r="B1377" s="148"/>
      <c r="C1377" s="148"/>
      <c r="D1377" s="156"/>
      <c r="E1377" s="156"/>
      <c r="F1377" s="12">
        <v>43647</v>
      </c>
      <c r="G1377" s="12">
        <v>43830</v>
      </c>
      <c r="H1377" s="150"/>
      <c r="I1377" s="96" t="s">
        <v>23</v>
      </c>
      <c r="J1377" s="95" t="s">
        <v>23</v>
      </c>
      <c r="K1377" s="95" t="s">
        <v>23</v>
      </c>
      <c r="L1377" s="97" t="s">
        <v>23</v>
      </c>
      <c r="M1377" s="97" t="s">
        <v>23</v>
      </c>
      <c r="N1377" s="97" t="s">
        <v>23</v>
      </c>
      <c r="O1377" s="13">
        <v>1618.6051525423729</v>
      </c>
      <c r="P1377" s="213"/>
      <c r="S1377" s="18"/>
    </row>
    <row r="1378" spans="1:19" s="17" customFormat="1" ht="18.95" customHeight="1" outlineLevel="1" x14ac:dyDescent="0.25">
      <c r="A1378" s="148"/>
      <c r="B1378" s="148"/>
      <c r="C1378" s="148"/>
      <c r="D1378" s="156">
        <v>43454</v>
      </c>
      <c r="E1378" s="156" t="s">
        <v>733</v>
      </c>
      <c r="F1378" s="12">
        <v>43466</v>
      </c>
      <c r="G1378" s="12">
        <v>43646</v>
      </c>
      <c r="H1378" s="150"/>
      <c r="I1378" s="96" t="s">
        <v>23</v>
      </c>
      <c r="J1378" s="95" t="s">
        <v>23</v>
      </c>
      <c r="K1378" s="95" t="s">
        <v>23</v>
      </c>
      <c r="L1378" s="97" t="s">
        <v>23</v>
      </c>
      <c r="M1378" s="97" t="s">
        <v>23</v>
      </c>
      <c r="N1378" s="97" t="s">
        <v>23</v>
      </c>
      <c r="O1378" s="13">
        <v>1731.1220338983051</v>
      </c>
      <c r="P1378" s="213" t="s">
        <v>471</v>
      </c>
      <c r="S1378" s="18"/>
    </row>
    <row r="1379" spans="1:19" s="17" customFormat="1" ht="18.95" customHeight="1" outlineLevel="1" x14ac:dyDescent="0.25">
      <c r="A1379" s="147"/>
      <c r="B1379" s="147"/>
      <c r="C1379" s="148"/>
      <c r="D1379" s="156"/>
      <c r="E1379" s="156"/>
      <c r="F1379" s="12">
        <v>43647</v>
      </c>
      <c r="G1379" s="12">
        <v>43830</v>
      </c>
      <c r="H1379" s="151"/>
      <c r="I1379" s="96" t="s">
        <v>23</v>
      </c>
      <c r="J1379" s="95" t="s">
        <v>23</v>
      </c>
      <c r="K1379" s="95" t="s">
        <v>23</v>
      </c>
      <c r="L1379" s="97" t="s">
        <v>23</v>
      </c>
      <c r="M1379" s="97" t="s">
        <v>23</v>
      </c>
      <c r="N1379" s="97" t="s">
        <v>23</v>
      </c>
      <c r="O1379" s="13">
        <v>1765.7444745762712</v>
      </c>
      <c r="P1379" s="214"/>
      <c r="S1379" s="18"/>
    </row>
    <row r="1380" spans="1:19" s="17" customFormat="1" ht="18.95" customHeight="1" outlineLevel="1" x14ac:dyDescent="0.25">
      <c r="A1380" s="146" t="s">
        <v>59</v>
      </c>
      <c r="B1380" s="146" t="s">
        <v>122</v>
      </c>
      <c r="C1380" s="148"/>
      <c r="D1380" s="156">
        <v>43453</v>
      </c>
      <c r="E1380" s="156" t="s">
        <v>735</v>
      </c>
      <c r="F1380" s="12">
        <v>43466</v>
      </c>
      <c r="G1380" s="12">
        <v>43646</v>
      </c>
      <c r="H1380" s="146" t="s">
        <v>828</v>
      </c>
      <c r="I1380" s="13">
        <v>2310.25</v>
      </c>
      <c r="J1380" s="95" t="s">
        <v>23</v>
      </c>
      <c r="K1380" s="95" t="s">
        <v>23</v>
      </c>
      <c r="L1380" s="97" t="s">
        <v>23</v>
      </c>
      <c r="M1380" s="97" t="s">
        <v>23</v>
      </c>
      <c r="N1380" s="97" t="s">
        <v>23</v>
      </c>
      <c r="O1380" s="4" t="s">
        <v>23</v>
      </c>
      <c r="P1380" s="144" t="s">
        <v>371</v>
      </c>
      <c r="S1380" s="18"/>
    </row>
    <row r="1381" spans="1:19" s="17" customFormat="1" ht="18.95" customHeight="1" outlineLevel="1" x14ac:dyDescent="0.25">
      <c r="A1381" s="148"/>
      <c r="B1381" s="148"/>
      <c r="C1381" s="148"/>
      <c r="D1381" s="156"/>
      <c r="E1381" s="156"/>
      <c r="F1381" s="12">
        <v>43647</v>
      </c>
      <c r="G1381" s="12">
        <v>43830</v>
      </c>
      <c r="H1381" s="147"/>
      <c r="I1381" s="13">
        <v>1957.4</v>
      </c>
      <c r="J1381" s="95" t="s">
        <v>23</v>
      </c>
      <c r="K1381" s="95" t="s">
        <v>23</v>
      </c>
      <c r="L1381" s="97" t="s">
        <v>23</v>
      </c>
      <c r="M1381" s="97" t="s">
        <v>23</v>
      </c>
      <c r="N1381" s="97" t="s">
        <v>23</v>
      </c>
      <c r="O1381" s="4" t="s">
        <v>23</v>
      </c>
      <c r="P1381" s="145"/>
      <c r="S1381" s="18"/>
    </row>
    <row r="1382" spans="1:19" s="17" customFormat="1" ht="18.95" customHeight="1" outlineLevel="1" x14ac:dyDescent="0.25">
      <c r="A1382" s="148"/>
      <c r="B1382" s="148"/>
      <c r="C1382" s="148"/>
      <c r="D1382" s="156">
        <v>43454</v>
      </c>
      <c r="E1382" s="156" t="s">
        <v>733</v>
      </c>
      <c r="F1382" s="12">
        <v>43466</v>
      </c>
      <c r="G1382" s="12">
        <v>43646</v>
      </c>
      <c r="H1382" s="149"/>
      <c r="I1382" s="96" t="s">
        <v>23</v>
      </c>
      <c r="J1382" s="95" t="s">
        <v>23</v>
      </c>
      <c r="K1382" s="95" t="s">
        <v>23</v>
      </c>
      <c r="L1382" s="97" t="s">
        <v>23</v>
      </c>
      <c r="M1382" s="97" t="s">
        <v>23</v>
      </c>
      <c r="N1382" s="97" t="s">
        <v>23</v>
      </c>
      <c r="O1382" s="13">
        <v>2457.2847457627117</v>
      </c>
      <c r="P1382" s="144" t="s">
        <v>444</v>
      </c>
      <c r="S1382" s="18"/>
    </row>
    <row r="1383" spans="1:19" s="17" customFormat="1" ht="18.95" customHeight="1" outlineLevel="1" x14ac:dyDescent="0.25">
      <c r="A1383" s="148"/>
      <c r="B1383" s="148"/>
      <c r="C1383" s="148"/>
      <c r="D1383" s="156"/>
      <c r="E1383" s="156"/>
      <c r="F1383" s="12">
        <v>43647</v>
      </c>
      <c r="G1383" s="12">
        <v>43830</v>
      </c>
      <c r="H1383" s="150"/>
      <c r="I1383" s="96" t="s">
        <v>23</v>
      </c>
      <c r="J1383" s="95" t="s">
        <v>23</v>
      </c>
      <c r="K1383" s="95" t="s">
        <v>23</v>
      </c>
      <c r="L1383" s="97" t="s">
        <v>23</v>
      </c>
      <c r="M1383" s="97" t="s">
        <v>23</v>
      </c>
      <c r="N1383" s="97" t="s">
        <v>23</v>
      </c>
      <c r="O1383" s="13">
        <v>2348.88</v>
      </c>
      <c r="P1383" s="145"/>
      <c r="S1383" s="18"/>
    </row>
    <row r="1384" spans="1:19" s="17" customFormat="1" ht="18.95" customHeight="1" outlineLevel="1" x14ac:dyDescent="0.25">
      <c r="A1384" s="148"/>
      <c r="B1384" s="148"/>
      <c r="C1384" s="148"/>
      <c r="D1384" s="156">
        <v>43454</v>
      </c>
      <c r="E1384" s="156" t="s">
        <v>733</v>
      </c>
      <c r="F1384" s="12">
        <v>43466</v>
      </c>
      <c r="G1384" s="12">
        <v>43646</v>
      </c>
      <c r="H1384" s="150"/>
      <c r="I1384" s="96" t="s">
        <v>23</v>
      </c>
      <c r="J1384" s="95" t="s">
        <v>23</v>
      </c>
      <c r="K1384" s="95" t="s">
        <v>23</v>
      </c>
      <c r="L1384" s="97" t="s">
        <v>23</v>
      </c>
      <c r="M1384" s="97" t="s">
        <v>23</v>
      </c>
      <c r="N1384" s="97" t="s">
        <v>23</v>
      </c>
      <c r="O1384" s="13">
        <v>1558.4745762711866</v>
      </c>
      <c r="P1384" s="213" t="s">
        <v>711</v>
      </c>
      <c r="S1384" s="18"/>
    </row>
    <row r="1385" spans="1:19" s="17" customFormat="1" ht="18.95" customHeight="1" outlineLevel="1" x14ac:dyDescent="0.25">
      <c r="A1385" s="148"/>
      <c r="B1385" s="148"/>
      <c r="C1385" s="148"/>
      <c r="D1385" s="156"/>
      <c r="E1385" s="156"/>
      <c r="F1385" s="12">
        <v>43647</v>
      </c>
      <c r="G1385" s="12">
        <v>43830</v>
      </c>
      <c r="H1385" s="150"/>
      <c r="I1385" s="96" t="s">
        <v>23</v>
      </c>
      <c r="J1385" s="95" t="s">
        <v>23</v>
      </c>
      <c r="K1385" s="95" t="s">
        <v>23</v>
      </c>
      <c r="L1385" s="97" t="s">
        <v>23</v>
      </c>
      <c r="M1385" s="97" t="s">
        <v>23</v>
      </c>
      <c r="N1385" s="97" t="s">
        <v>23</v>
      </c>
      <c r="O1385" s="13">
        <v>1589.6440677966104</v>
      </c>
      <c r="P1385" s="213"/>
      <c r="S1385" s="18"/>
    </row>
    <row r="1386" spans="1:19" s="17" customFormat="1" ht="18.95" customHeight="1" outlineLevel="1" x14ac:dyDescent="0.25">
      <c r="A1386" s="148"/>
      <c r="B1386" s="148"/>
      <c r="C1386" s="148"/>
      <c r="D1386" s="156">
        <v>43454</v>
      </c>
      <c r="E1386" s="156" t="s">
        <v>733</v>
      </c>
      <c r="F1386" s="12">
        <v>43466</v>
      </c>
      <c r="G1386" s="12">
        <v>43646</v>
      </c>
      <c r="H1386" s="150"/>
      <c r="I1386" s="96" t="s">
        <v>23</v>
      </c>
      <c r="J1386" s="95" t="s">
        <v>23</v>
      </c>
      <c r="K1386" s="95" t="s">
        <v>23</v>
      </c>
      <c r="L1386" s="97" t="s">
        <v>23</v>
      </c>
      <c r="M1386" s="97" t="s">
        <v>23</v>
      </c>
      <c r="N1386" s="97" t="s">
        <v>23</v>
      </c>
      <c r="O1386" s="13">
        <v>1700.1559322033897</v>
      </c>
      <c r="P1386" s="213" t="s">
        <v>471</v>
      </c>
      <c r="S1386" s="18"/>
    </row>
    <row r="1387" spans="1:19" s="17" customFormat="1" ht="18.95" customHeight="1" outlineLevel="1" x14ac:dyDescent="0.25">
      <c r="A1387" s="147"/>
      <c r="B1387" s="147"/>
      <c r="C1387" s="148"/>
      <c r="D1387" s="156"/>
      <c r="E1387" s="156"/>
      <c r="F1387" s="12">
        <v>43647</v>
      </c>
      <c r="G1387" s="12">
        <v>43830</v>
      </c>
      <c r="H1387" s="151"/>
      <c r="I1387" s="96" t="s">
        <v>23</v>
      </c>
      <c r="J1387" s="95" t="s">
        <v>23</v>
      </c>
      <c r="K1387" s="95" t="s">
        <v>23</v>
      </c>
      <c r="L1387" s="97" t="s">
        <v>23</v>
      </c>
      <c r="M1387" s="97" t="s">
        <v>23</v>
      </c>
      <c r="N1387" s="97" t="s">
        <v>23</v>
      </c>
      <c r="O1387" s="13">
        <v>1734.1590508474576</v>
      </c>
      <c r="P1387" s="214"/>
      <c r="S1387" s="18"/>
    </row>
    <row r="1388" spans="1:19" s="17" customFormat="1" ht="18.95" customHeight="1" outlineLevel="1" x14ac:dyDescent="0.25">
      <c r="A1388" s="146" t="s">
        <v>59</v>
      </c>
      <c r="B1388" s="146" t="s">
        <v>129</v>
      </c>
      <c r="C1388" s="148"/>
      <c r="D1388" s="156">
        <v>43453</v>
      </c>
      <c r="E1388" s="156" t="s">
        <v>735</v>
      </c>
      <c r="F1388" s="12">
        <v>43466</v>
      </c>
      <c r="G1388" s="12">
        <v>43646</v>
      </c>
      <c r="H1388" s="146" t="s">
        <v>828</v>
      </c>
      <c r="I1388" s="13">
        <v>2310.25</v>
      </c>
      <c r="J1388" s="95" t="s">
        <v>23</v>
      </c>
      <c r="K1388" s="95" t="s">
        <v>23</v>
      </c>
      <c r="L1388" s="97" t="s">
        <v>23</v>
      </c>
      <c r="M1388" s="97" t="s">
        <v>23</v>
      </c>
      <c r="N1388" s="97" t="s">
        <v>23</v>
      </c>
      <c r="O1388" s="4" t="s">
        <v>23</v>
      </c>
      <c r="P1388" s="144" t="s">
        <v>371</v>
      </c>
      <c r="S1388" s="18"/>
    </row>
    <row r="1389" spans="1:19" s="17" customFormat="1" ht="18.95" customHeight="1" outlineLevel="1" x14ac:dyDescent="0.25">
      <c r="A1389" s="148"/>
      <c r="B1389" s="148"/>
      <c r="C1389" s="148"/>
      <c r="D1389" s="156"/>
      <c r="E1389" s="156"/>
      <c r="F1389" s="12">
        <v>43647</v>
      </c>
      <c r="G1389" s="12">
        <v>43830</v>
      </c>
      <c r="H1389" s="147"/>
      <c r="I1389" s="13">
        <v>1957.4</v>
      </c>
      <c r="J1389" s="95" t="s">
        <v>23</v>
      </c>
      <c r="K1389" s="95" t="s">
        <v>23</v>
      </c>
      <c r="L1389" s="97" t="s">
        <v>23</v>
      </c>
      <c r="M1389" s="97" t="s">
        <v>23</v>
      </c>
      <c r="N1389" s="97" t="s">
        <v>23</v>
      </c>
      <c r="O1389" s="4" t="s">
        <v>23</v>
      </c>
      <c r="P1389" s="145"/>
      <c r="S1389" s="18"/>
    </row>
    <row r="1390" spans="1:19" s="17" customFormat="1" ht="18.95" customHeight="1" outlineLevel="1" x14ac:dyDescent="0.25">
      <c r="A1390" s="148"/>
      <c r="B1390" s="148"/>
      <c r="C1390" s="148"/>
      <c r="D1390" s="156">
        <v>43454</v>
      </c>
      <c r="E1390" s="156" t="s">
        <v>733</v>
      </c>
      <c r="F1390" s="12">
        <v>43466</v>
      </c>
      <c r="G1390" s="12">
        <v>43646</v>
      </c>
      <c r="H1390" s="149"/>
      <c r="I1390" s="96" t="s">
        <v>23</v>
      </c>
      <c r="J1390" s="95" t="s">
        <v>23</v>
      </c>
      <c r="K1390" s="95" t="s">
        <v>23</v>
      </c>
      <c r="L1390" s="97" t="s">
        <v>23</v>
      </c>
      <c r="M1390" s="97" t="s">
        <v>23</v>
      </c>
      <c r="N1390" s="97" t="s">
        <v>23</v>
      </c>
      <c r="O1390" s="13">
        <v>2457.2847457627117</v>
      </c>
      <c r="P1390" s="144"/>
      <c r="S1390" s="18"/>
    </row>
    <row r="1391" spans="1:19" s="17" customFormat="1" ht="18.95" customHeight="1" outlineLevel="1" x14ac:dyDescent="0.25">
      <c r="A1391" s="147"/>
      <c r="B1391" s="147"/>
      <c r="C1391" s="148"/>
      <c r="D1391" s="156"/>
      <c r="E1391" s="156"/>
      <c r="F1391" s="12">
        <v>43647</v>
      </c>
      <c r="G1391" s="12">
        <v>43830</v>
      </c>
      <c r="H1391" s="151"/>
      <c r="I1391" s="96" t="s">
        <v>23</v>
      </c>
      <c r="J1391" s="95" t="s">
        <v>23</v>
      </c>
      <c r="K1391" s="95" t="s">
        <v>23</v>
      </c>
      <c r="L1391" s="97" t="s">
        <v>23</v>
      </c>
      <c r="M1391" s="97" t="s">
        <v>23</v>
      </c>
      <c r="N1391" s="97" t="s">
        <v>23</v>
      </c>
      <c r="O1391" s="13">
        <v>2348.88</v>
      </c>
      <c r="P1391" s="145"/>
      <c r="S1391" s="18"/>
    </row>
    <row r="1392" spans="1:19" s="17" customFormat="1" ht="18.95" customHeight="1" outlineLevel="1" x14ac:dyDescent="0.25">
      <c r="A1392" s="146" t="s">
        <v>59</v>
      </c>
      <c r="B1392" s="146" t="s">
        <v>130</v>
      </c>
      <c r="C1392" s="148"/>
      <c r="D1392" s="156">
        <v>43453</v>
      </c>
      <c r="E1392" s="156" t="s">
        <v>735</v>
      </c>
      <c r="F1392" s="12">
        <v>43466</v>
      </c>
      <c r="G1392" s="12">
        <v>43646</v>
      </c>
      <c r="H1392" s="146" t="s">
        <v>828</v>
      </c>
      <c r="I1392" s="13">
        <v>2310.25</v>
      </c>
      <c r="J1392" s="95" t="s">
        <v>23</v>
      </c>
      <c r="K1392" s="95" t="s">
        <v>23</v>
      </c>
      <c r="L1392" s="97" t="s">
        <v>23</v>
      </c>
      <c r="M1392" s="97" t="s">
        <v>23</v>
      </c>
      <c r="N1392" s="97" t="s">
        <v>23</v>
      </c>
      <c r="O1392" s="4" t="s">
        <v>23</v>
      </c>
      <c r="P1392" s="144" t="s">
        <v>371</v>
      </c>
      <c r="S1392" s="18"/>
    </row>
    <row r="1393" spans="1:19" s="17" customFormat="1" ht="18.95" customHeight="1" outlineLevel="1" x14ac:dyDescent="0.25">
      <c r="A1393" s="148"/>
      <c r="B1393" s="148"/>
      <c r="C1393" s="148"/>
      <c r="D1393" s="156"/>
      <c r="E1393" s="156"/>
      <c r="F1393" s="12">
        <v>43647</v>
      </c>
      <c r="G1393" s="12">
        <v>43830</v>
      </c>
      <c r="H1393" s="147"/>
      <c r="I1393" s="13">
        <v>1957.4</v>
      </c>
      <c r="J1393" s="95" t="s">
        <v>23</v>
      </c>
      <c r="K1393" s="95" t="s">
        <v>23</v>
      </c>
      <c r="L1393" s="97" t="s">
        <v>23</v>
      </c>
      <c r="M1393" s="97" t="s">
        <v>23</v>
      </c>
      <c r="N1393" s="97" t="s">
        <v>23</v>
      </c>
      <c r="O1393" s="4" t="s">
        <v>23</v>
      </c>
      <c r="P1393" s="145"/>
      <c r="S1393" s="18"/>
    </row>
    <row r="1394" spans="1:19" s="17" customFormat="1" ht="18.95" customHeight="1" outlineLevel="1" x14ac:dyDescent="0.25">
      <c r="A1394" s="148"/>
      <c r="B1394" s="148"/>
      <c r="C1394" s="148"/>
      <c r="D1394" s="156">
        <v>43454</v>
      </c>
      <c r="E1394" s="156" t="s">
        <v>733</v>
      </c>
      <c r="F1394" s="12">
        <v>43466</v>
      </c>
      <c r="G1394" s="12">
        <v>43646</v>
      </c>
      <c r="H1394" s="149"/>
      <c r="I1394" s="96" t="s">
        <v>23</v>
      </c>
      <c r="J1394" s="95" t="s">
        <v>23</v>
      </c>
      <c r="K1394" s="95" t="s">
        <v>23</v>
      </c>
      <c r="L1394" s="97" t="s">
        <v>23</v>
      </c>
      <c r="M1394" s="97" t="s">
        <v>23</v>
      </c>
      <c r="N1394" s="97" t="s">
        <v>23</v>
      </c>
      <c r="O1394" s="13">
        <v>2457.2847457627117</v>
      </c>
      <c r="P1394" s="144"/>
      <c r="S1394" s="18"/>
    </row>
    <row r="1395" spans="1:19" s="17" customFormat="1" ht="18.95" customHeight="1" outlineLevel="1" x14ac:dyDescent="0.25">
      <c r="A1395" s="147"/>
      <c r="B1395" s="147"/>
      <c r="C1395" s="148"/>
      <c r="D1395" s="156"/>
      <c r="E1395" s="156"/>
      <c r="F1395" s="12">
        <v>43647</v>
      </c>
      <c r="G1395" s="12">
        <v>43830</v>
      </c>
      <c r="H1395" s="151"/>
      <c r="I1395" s="96" t="s">
        <v>23</v>
      </c>
      <c r="J1395" s="95" t="s">
        <v>23</v>
      </c>
      <c r="K1395" s="95" t="s">
        <v>23</v>
      </c>
      <c r="L1395" s="97" t="s">
        <v>23</v>
      </c>
      <c r="M1395" s="97" t="s">
        <v>23</v>
      </c>
      <c r="N1395" s="97" t="s">
        <v>23</v>
      </c>
      <c r="O1395" s="13">
        <v>2348.88</v>
      </c>
      <c r="P1395" s="145"/>
      <c r="S1395" s="18"/>
    </row>
    <row r="1396" spans="1:19" s="17" customFormat="1" ht="18.95" customHeight="1" outlineLevel="1" x14ac:dyDescent="0.25">
      <c r="A1396" s="146" t="s">
        <v>59</v>
      </c>
      <c r="B1396" s="146" t="s">
        <v>131</v>
      </c>
      <c r="C1396" s="148"/>
      <c r="D1396" s="156">
        <v>43453</v>
      </c>
      <c r="E1396" s="156" t="s">
        <v>735</v>
      </c>
      <c r="F1396" s="12">
        <v>43466</v>
      </c>
      <c r="G1396" s="12">
        <v>43646</v>
      </c>
      <c r="H1396" s="146" t="s">
        <v>828</v>
      </c>
      <c r="I1396" s="13">
        <v>2310.25</v>
      </c>
      <c r="J1396" s="95" t="s">
        <v>23</v>
      </c>
      <c r="K1396" s="95" t="s">
        <v>23</v>
      </c>
      <c r="L1396" s="97" t="s">
        <v>23</v>
      </c>
      <c r="M1396" s="97" t="s">
        <v>23</v>
      </c>
      <c r="N1396" s="97" t="s">
        <v>23</v>
      </c>
      <c r="O1396" s="4" t="s">
        <v>23</v>
      </c>
      <c r="P1396" s="144" t="s">
        <v>371</v>
      </c>
      <c r="S1396" s="18"/>
    </row>
    <row r="1397" spans="1:19" s="17" customFormat="1" ht="18.95" customHeight="1" outlineLevel="1" x14ac:dyDescent="0.25">
      <c r="A1397" s="148"/>
      <c r="B1397" s="148"/>
      <c r="C1397" s="148"/>
      <c r="D1397" s="156"/>
      <c r="E1397" s="156"/>
      <c r="F1397" s="12">
        <v>43647</v>
      </c>
      <c r="G1397" s="12">
        <v>43830</v>
      </c>
      <c r="H1397" s="147"/>
      <c r="I1397" s="13">
        <v>1957.4</v>
      </c>
      <c r="J1397" s="95" t="s">
        <v>23</v>
      </c>
      <c r="K1397" s="95" t="s">
        <v>23</v>
      </c>
      <c r="L1397" s="97" t="s">
        <v>23</v>
      </c>
      <c r="M1397" s="97" t="s">
        <v>23</v>
      </c>
      <c r="N1397" s="97" t="s">
        <v>23</v>
      </c>
      <c r="O1397" s="4" t="s">
        <v>23</v>
      </c>
      <c r="P1397" s="145"/>
      <c r="S1397" s="18"/>
    </row>
    <row r="1398" spans="1:19" s="17" customFormat="1" ht="18.95" customHeight="1" outlineLevel="1" x14ac:dyDescent="0.25">
      <c r="A1398" s="148"/>
      <c r="B1398" s="148"/>
      <c r="C1398" s="148"/>
      <c r="D1398" s="156">
        <v>43454</v>
      </c>
      <c r="E1398" s="156" t="s">
        <v>733</v>
      </c>
      <c r="F1398" s="12">
        <v>43466</v>
      </c>
      <c r="G1398" s="12">
        <v>43646</v>
      </c>
      <c r="H1398" s="149"/>
      <c r="I1398" s="96" t="s">
        <v>23</v>
      </c>
      <c r="J1398" s="95" t="s">
        <v>23</v>
      </c>
      <c r="K1398" s="95" t="s">
        <v>23</v>
      </c>
      <c r="L1398" s="97" t="s">
        <v>23</v>
      </c>
      <c r="M1398" s="97" t="s">
        <v>23</v>
      </c>
      <c r="N1398" s="97" t="s">
        <v>23</v>
      </c>
      <c r="O1398" s="13">
        <v>2457.2847457627117</v>
      </c>
      <c r="P1398" s="144"/>
      <c r="S1398" s="18"/>
    </row>
    <row r="1399" spans="1:19" s="17" customFormat="1" ht="18.95" customHeight="1" outlineLevel="1" x14ac:dyDescent="0.25">
      <c r="A1399" s="147"/>
      <c r="B1399" s="147"/>
      <c r="C1399" s="148"/>
      <c r="D1399" s="156"/>
      <c r="E1399" s="156"/>
      <c r="F1399" s="12">
        <v>43647</v>
      </c>
      <c r="G1399" s="12">
        <v>43830</v>
      </c>
      <c r="H1399" s="151"/>
      <c r="I1399" s="96" t="s">
        <v>23</v>
      </c>
      <c r="J1399" s="95" t="s">
        <v>23</v>
      </c>
      <c r="K1399" s="95" t="s">
        <v>23</v>
      </c>
      <c r="L1399" s="97" t="s">
        <v>23</v>
      </c>
      <c r="M1399" s="97" t="s">
        <v>23</v>
      </c>
      <c r="N1399" s="97" t="s">
        <v>23</v>
      </c>
      <c r="O1399" s="13">
        <v>2348.88</v>
      </c>
      <c r="P1399" s="145"/>
      <c r="S1399" s="18"/>
    </row>
    <row r="1400" spans="1:19" s="17" customFormat="1" ht="18.95" customHeight="1" outlineLevel="1" x14ac:dyDescent="0.25">
      <c r="A1400" s="146" t="s">
        <v>59</v>
      </c>
      <c r="B1400" s="146" t="s">
        <v>124</v>
      </c>
      <c r="C1400" s="148"/>
      <c r="D1400" s="156">
        <v>43453</v>
      </c>
      <c r="E1400" s="156" t="s">
        <v>735</v>
      </c>
      <c r="F1400" s="12">
        <v>43466</v>
      </c>
      <c r="G1400" s="12">
        <v>43646</v>
      </c>
      <c r="H1400" s="146" t="s">
        <v>828</v>
      </c>
      <c r="I1400" s="13">
        <v>2310.25</v>
      </c>
      <c r="J1400" s="95" t="s">
        <v>23</v>
      </c>
      <c r="K1400" s="95" t="s">
        <v>23</v>
      </c>
      <c r="L1400" s="97" t="s">
        <v>23</v>
      </c>
      <c r="M1400" s="97" t="s">
        <v>23</v>
      </c>
      <c r="N1400" s="97" t="s">
        <v>23</v>
      </c>
      <c r="O1400" s="4" t="s">
        <v>23</v>
      </c>
      <c r="P1400" s="144" t="s">
        <v>371</v>
      </c>
      <c r="S1400" s="18"/>
    </row>
    <row r="1401" spans="1:19" s="17" customFormat="1" ht="18.95" customHeight="1" outlineLevel="1" x14ac:dyDescent="0.25">
      <c r="A1401" s="148"/>
      <c r="B1401" s="148"/>
      <c r="C1401" s="148"/>
      <c r="D1401" s="156"/>
      <c r="E1401" s="156"/>
      <c r="F1401" s="12">
        <v>43647</v>
      </c>
      <c r="G1401" s="12">
        <v>43830</v>
      </c>
      <c r="H1401" s="147"/>
      <c r="I1401" s="13">
        <v>1957.4</v>
      </c>
      <c r="J1401" s="95" t="s">
        <v>23</v>
      </c>
      <c r="K1401" s="95" t="s">
        <v>23</v>
      </c>
      <c r="L1401" s="97" t="s">
        <v>23</v>
      </c>
      <c r="M1401" s="97" t="s">
        <v>23</v>
      </c>
      <c r="N1401" s="97" t="s">
        <v>23</v>
      </c>
      <c r="O1401" s="4" t="s">
        <v>23</v>
      </c>
      <c r="P1401" s="145"/>
      <c r="S1401" s="18"/>
    </row>
    <row r="1402" spans="1:19" s="17" customFormat="1" ht="18.95" customHeight="1" outlineLevel="1" x14ac:dyDescent="0.25">
      <c r="A1402" s="148"/>
      <c r="B1402" s="148"/>
      <c r="C1402" s="148"/>
      <c r="D1402" s="156">
        <v>43454</v>
      </c>
      <c r="E1402" s="156" t="s">
        <v>733</v>
      </c>
      <c r="F1402" s="12">
        <v>43466</v>
      </c>
      <c r="G1402" s="12">
        <v>43646</v>
      </c>
      <c r="H1402" s="149"/>
      <c r="I1402" s="96" t="s">
        <v>23</v>
      </c>
      <c r="J1402" s="95" t="s">
        <v>23</v>
      </c>
      <c r="K1402" s="95" t="s">
        <v>23</v>
      </c>
      <c r="L1402" s="97" t="s">
        <v>23</v>
      </c>
      <c r="M1402" s="97" t="s">
        <v>23</v>
      </c>
      <c r="N1402" s="97" t="s">
        <v>23</v>
      </c>
      <c r="O1402" s="13">
        <v>2457.2847457627117</v>
      </c>
      <c r="P1402" s="144"/>
      <c r="S1402" s="18"/>
    </row>
    <row r="1403" spans="1:19" s="17" customFormat="1" ht="18.95" customHeight="1" outlineLevel="1" x14ac:dyDescent="0.25">
      <c r="A1403" s="147"/>
      <c r="B1403" s="147"/>
      <c r="C1403" s="148"/>
      <c r="D1403" s="156"/>
      <c r="E1403" s="156"/>
      <c r="F1403" s="12">
        <v>43647</v>
      </c>
      <c r="G1403" s="12">
        <v>43830</v>
      </c>
      <c r="H1403" s="151"/>
      <c r="I1403" s="96" t="s">
        <v>23</v>
      </c>
      <c r="J1403" s="95" t="s">
        <v>23</v>
      </c>
      <c r="K1403" s="95" t="s">
        <v>23</v>
      </c>
      <c r="L1403" s="97" t="s">
        <v>23</v>
      </c>
      <c r="M1403" s="97" t="s">
        <v>23</v>
      </c>
      <c r="N1403" s="97" t="s">
        <v>23</v>
      </c>
      <c r="O1403" s="13">
        <v>2348.88</v>
      </c>
      <c r="P1403" s="145"/>
      <c r="S1403" s="18"/>
    </row>
    <row r="1404" spans="1:19" s="17" customFormat="1" ht="18.95" customHeight="1" outlineLevel="1" x14ac:dyDescent="0.25">
      <c r="A1404" s="146" t="s">
        <v>59</v>
      </c>
      <c r="B1404" s="146" t="s">
        <v>132</v>
      </c>
      <c r="C1404" s="148"/>
      <c r="D1404" s="156">
        <v>43453</v>
      </c>
      <c r="E1404" s="156" t="s">
        <v>735</v>
      </c>
      <c r="F1404" s="12">
        <v>43466</v>
      </c>
      <c r="G1404" s="12">
        <v>43646</v>
      </c>
      <c r="H1404" s="146" t="s">
        <v>828</v>
      </c>
      <c r="I1404" s="13">
        <v>2310.25</v>
      </c>
      <c r="J1404" s="95" t="s">
        <v>23</v>
      </c>
      <c r="K1404" s="95" t="s">
        <v>23</v>
      </c>
      <c r="L1404" s="97" t="s">
        <v>23</v>
      </c>
      <c r="M1404" s="97" t="s">
        <v>23</v>
      </c>
      <c r="N1404" s="97" t="s">
        <v>23</v>
      </c>
      <c r="O1404" s="4" t="s">
        <v>23</v>
      </c>
      <c r="P1404" s="144" t="s">
        <v>371</v>
      </c>
      <c r="S1404" s="18"/>
    </row>
    <row r="1405" spans="1:19" s="17" customFormat="1" ht="18.95" customHeight="1" outlineLevel="1" x14ac:dyDescent="0.25">
      <c r="A1405" s="148"/>
      <c r="B1405" s="148"/>
      <c r="C1405" s="148"/>
      <c r="D1405" s="156"/>
      <c r="E1405" s="156"/>
      <c r="F1405" s="12">
        <v>43647</v>
      </c>
      <c r="G1405" s="12">
        <v>43830</v>
      </c>
      <c r="H1405" s="147"/>
      <c r="I1405" s="13">
        <v>1957.4</v>
      </c>
      <c r="J1405" s="95" t="s">
        <v>23</v>
      </c>
      <c r="K1405" s="95" t="s">
        <v>23</v>
      </c>
      <c r="L1405" s="97" t="s">
        <v>23</v>
      </c>
      <c r="M1405" s="97" t="s">
        <v>23</v>
      </c>
      <c r="N1405" s="97" t="s">
        <v>23</v>
      </c>
      <c r="O1405" s="4" t="s">
        <v>23</v>
      </c>
      <c r="P1405" s="145"/>
      <c r="S1405" s="18"/>
    </row>
    <row r="1406" spans="1:19" s="17" customFormat="1" ht="18.95" customHeight="1" outlineLevel="1" x14ac:dyDescent="0.25">
      <c r="A1406" s="148"/>
      <c r="B1406" s="148"/>
      <c r="C1406" s="148"/>
      <c r="D1406" s="156">
        <v>43454</v>
      </c>
      <c r="E1406" s="156" t="s">
        <v>733</v>
      </c>
      <c r="F1406" s="12">
        <v>43466</v>
      </c>
      <c r="G1406" s="12">
        <v>43646</v>
      </c>
      <c r="H1406" s="149"/>
      <c r="I1406" s="96" t="s">
        <v>23</v>
      </c>
      <c r="J1406" s="95" t="s">
        <v>23</v>
      </c>
      <c r="K1406" s="95" t="s">
        <v>23</v>
      </c>
      <c r="L1406" s="97" t="s">
        <v>23</v>
      </c>
      <c r="M1406" s="97" t="s">
        <v>23</v>
      </c>
      <c r="N1406" s="97" t="s">
        <v>23</v>
      </c>
      <c r="O1406" s="13">
        <v>2457.2847457627117</v>
      </c>
      <c r="P1406" s="144"/>
      <c r="S1406" s="18"/>
    </row>
    <row r="1407" spans="1:19" s="17" customFormat="1" ht="18.95" customHeight="1" outlineLevel="1" x14ac:dyDescent="0.25">
      <c r="A1407" s="147"/>
      <c r="B1407" s="147"/>
      <c r="C1407" s="148"/>
      <c r="D1407" s="156"/>
      <c r="E1407" s="156"/>
      <c r="F1407" s="12">
        <v>43647</v>
      </c>
      <c r="G1407" s="12">
        <v>43830</v>
      </c>
      <c r="H1407" s="151"/>
      <c r="I1407" s="96" t="s">
        <v>23</v>
      </c>
      <c r="J1407" s="95" t="s">
        <v>23</v>
      </c>
      <c r="K1407" s="95" t="s">
        <v>23</v>
      </c>
      <c r="L1407" s="97" t="s">
        <v>23</v>
      </c>
      <c r="M1407" s="97" t="s">
        <v>23</v>
      </c>
      <c r="N1407" s="97" t="s">
        <v>23</v>
      </c>
      <c r="O1407" s="13">
        <v>2348.88</v>
      </c>
      <c r="P1407" s="145"/>
      <c r="S1407" s="18"/>
    </row>
    <row r="1408" spans="1:19" s="17" customFormat="1" ht="18.95" customHeight="1" outlineLevel="1" x14ac:dyDescent="0.25">
      <c r="A1408" s="146" t="s">
        <v>59</v>
      </c>
      <c r="B1408" s="146" t="s">
        <v>133</v>
      </c>
      <c r="C1408" s="148"/>
      <c r="D1408" s="156">
        <v>43453</v>
      </c>
      <c r="E1408" s="156" t="s">
        <v>735</v>
      </c>
      <c r="F1408" s="12">
        <v>43466</v>
      </c>
      <c r="G1408" s="12">
        <v>43646</v>
      </c>
      <c r="H1408" s="146" t="s">
        <v>828</v>
      </c>
      <c r="I1408" s="13">
        <v>2310.25</v>
      </c>
      <c r="J1408" s="95" t="s">
        <v>23</v>
      </c>
      <c r="K1408" s="95" t="s">
        <v>23</v>
      </c>
      <c r="L1408" s="97" t="s">
        <v>23</v>
      </c>
      <c r="M1408" s="97" t="s">
        <v>23</v>
      </c>
      <c r="N1408" s="97" t="s">
        <v>23</v>
      </c>
      <c r="O1408" s="4" t="s">
        <v>23</v>
      </c>
      <c r="P1408" s="144" t="s">
        <v>371</v>
      </c>
      <c r="S1408" s="18"/>
    </row>
    <row r="1409" spans="1:19" s="17" customFormat="1" ht="18.95" customHeight="1" outlineLevel="1" x14ac:dyDescent="0.25">
      <c r="A1409" s="148"/>
      <c r="B1409" s="148"/>
      <c r="C1409" s="148"/>
      <c r="D1409" s="156"/>
      <c r="E1409" s="156"/>
      <c r="F1409" s="12">
        <v>43647</v>
      </c>
      <c r="G1409" s="12">
        <v>43830</v>
      </c>
      <c r="H1409" s="147"/>
      <c r="I1409" s="13">
        <v>1957.4</v>
      </c>
      <c r="J1409" s="95" t="s">
        <v>23</v>
      </c>
      <c r="K1409" s="95" t="s">
        <v>23</v>
      </c>
      <c r="L1409" s="97" t="s">
        <v>23</v>
      </c>
      <c r="M1409" s="97" t="s">
        <v>23</v>
      </c>
      <c r="N1409" s="97" t="s">
        <v>23</v>
      </c>
      <c r="O1409" s="4" t="s">
        <v>23</v>
      </c>
      <c r="P1409" s="145"/>
      <c r="S1409" s="18"/>
    </row>
    <row r="1410" spans="1:19" s="17" customFormat="1" ht="18.95" customHeight="1" outlineLevel="1" x14ac:dyDescent="0.25">
      <c r="A1410" s="148"/>
      <c r="B1410" s="148"/>
      <c r="C1410" s="148"/>
      <c r="D1410" s="156">
        <v>43454</v>
      </c>
      <c r="E1410" s="156" t="s">
        <v>733</v>
      </c>
      <c r="F1410" s="12">
        <v>43466</v>
      </c>
      <c r="G1410" s="12">
        <v>43646</v>
      </c>
      <c r="H1410" s="149"/>
      <c r="I1410" s="96" t="s">
        <v>23</v>
      </c>
      <c r="J1410" s="95" t="s">
        <v>23</v>
      </c>
      <c r="K1410" s="95" t="s">
        <v>23</v>
      </c>
      <c r="L1410" s="97" t="s">
        <v>23</v>
      </c>
      <c r="M1410" s="97" t="s">
        <v>23</v>
      </c>
      <c r="N1410" s="97" t="s">
        <v>23</v>
      </c>
      <c r="O1410" s="13">
        <v>2457.2847457627117</v>
      </c>
      <c r="P1410" s="144"/>
      <c r="S1410" s="18"/>
    </row>
    <row r="1411" spans="1:19" s="17" customFormat="1" ht="18.95" customHeight="1" outlineLevel="1" x14ac:dyDescent="0.25">
      <c r="A1411" s="147"/>
      <c r="B1411" s="147"/>
      <c r="C1411" s="148"/>
      <c r="D1411" s="156"/>
      <c r="E1411" s="156"/>
      <c r="F1411" s="12">
        <v>43647</v>
      </c>
      <c r="G1411" s="12">
        <v>43830</v>
      </c>
      <c r="H1411" s="151"/>
      <c r="I1411" s="96" t="s">
        <v>23</v>
      </c>
      <c r="J1411" s="95" t="s">
        <v>23</v>
      </c>
      <c r="K1411" s="95" t="s">
        <v>23</v>
      </c>
      <c r="L1411" s="97" t="s">
        <v>23</v>
      </c>
      <c r="M1411" s="97" t="s">
        <v>23</v>
      </c>
      <c r="N1411" s="97" t="s">
        <v>23</v>
      </c>
      <c r="O1411" s="13">
        <v>2348.88</v>
      </c>
      <c r="P1411" s="145"/>
      <c r="S1411" s="18"/>
    </row>
    <row r="1412" spans="1:19" s="17" customFormat="1" ht="18.95" customHeight="1" outlineLevel="1" x14ac:dyDescent="0.25">
      <c r="A1412" s="146" t="s">
        <v>59</v>
      </c>
      <c r="B1412" s="146" t="s">
        <v>134</v>
      </c>
      <c r="C1412" s="148"/>
      <c r="D1412" s="156">
        <v>43453</v>
      </c>
      <c r="E1412" s="156" t="s">
        <v>735</v>
      </c>
      <c r="F1412" s="12">
        <v>43466</v>
      </c>
      <c r="G1412" s="12">
        <v>43646</v>
      </c>
      <c r="H1412" s="146" t="s">
        <v>828</v>
      </c>
      <c r="I1412" s="13">
        <v>2310.25</v>
      </c>
      <c r="J1412" s="95" t="s">
        <v>23</v>
      </c>
      <c r="K1412" s="95" t="s">
        <v>23</v>
      </c>
      <c r="L1412" s="97" t="s">
        <v>23</v>
      </c>
      <c r="M1412" s="97" t="s">
        <v>23</v>
      </c>
      <c r="N1412" s="97" t="s">
        <v>23</v>
      </c>
      <c r="O1412" s="4" t="s">
        <v>23</v>
      </c>
      <c r="P1412" s="144" t="s">
        <v>371</v>
      </c>
      <c r="S1412" s="18"/>
    </row>
    <row r="1413" spans="1:19" s="17" customFormat="1" ht="18.95" customHeight="1" outlineLevel="1" x14ac:dyDescent="0.25">
      <c r="A1413" s="148"/>
      <c r="B1413" s="148"/>
      <c r="C1413" s="148"/>
      <c r="D1413" s="156"/>
      <c r="E1413" s="156"/>
      <c r="F1413" s="12">
        <v>43647</v>
      </c>
      <c r="G1413" s="12">
        <v>43830</v>
      </c>
      <c r="H1413" s="147"/>
      <c r="I1413" s="13">
        <v>1957.4</v>
      </c>
      <c r="J1413" s="95" t="s">
        <v>23</v>
      </c>
      <c r="K1413" s="95" t="s">
        <v>23</v>
      </c>
      <c r="L1413" s="97" t="s">
        <v>23</v>
      </c>
      <c r="M1413" s="97" t="s">
        <v>23</v>
      </c>
      <c r="N1413" s="97" t="s">
        <v>23</v>
      </c>
      <c r="O1413" s="4" t="s">
        <v>23</v>
      </c>
      <c r="P1413" s="145"/>
      <c r="S1413" s="18"/>
    </row>
    <row r="1414" spans="1:19" s="17" customFormat="1" ht="18.95" customHeight="1" outlineLevel="1" x14ac:dyDescent="0.25">
      <c r="A1414" s="148"/>
      <c r="B1414" s="148"/>
      <c r="C1414" s="148"/>
      <c r="D1414" s="156">
        <v>43454</v>
      </c>
      <c r="E1414" s="156" t="s">
        <v>733</v>
      </c>
      <c r="F1414" s="12">
        <v>43466</v>
      </c>
      <c r="G1414" s="12">
        <v>43646</v>
      </c>
      <c r="H1414" s="149"/>
      <c r="I1414" s="96" t="s">
        <v>23</v>
      </c>
      <c r="J1414" s="95" t="s">
        <v>23</v>
      </c>
      <c r="K1414" s="95" t="s">
        <v>23</v>
      </c>
      <c r="L1414" s="97" t="s">
        <v>23</v>
      </c>
      <c r="M1414" s="97" t="s">
        <v>23</v>
      </c>
      <c r="N1414" s="97" t="s">
        <v>23</v>
      </c>
      <c r="O1414" s="13">
        <v>2457.2847457627117</v>
      </c>
      <c r="P1414" s="144"/>
      <c r="Q1414" s="17">
        <f>O1414/1.2</f>
        <v>2047.7372881355932</v>
      </c>
      <c r="S1414" s="18"/>
    </row>
    <row r="1415" spans="1:19" s="17" customFormat="1" ht="18.95" customHeight="1" outlineLevel="1" x14ac:dyDescent="0.25">
      <c r="A1415" s="147"/>
      <c r="B1415" s="147"/>
      <c r="C1415" s="148"/>
      <c r="D1415" s="156"/>
      <c r="E1415" s="156"/>
      <c r="F1415" s="12">
        <v>43647</v>
      </c>
      <c r="G1415" s="12">
        <v>43830</v>
      </c>
      <c r="H1415" s="151"/>
      <c r="I1415" s="96" t="s">
        <v>23</v>
      </c>
      <c r="J1415" s="95" t="s">
        <v>23</v>
      </c>
      <c r="K1415" s="95" t="s">
        <v>23</v>
      </c>
      <c r="L1415" s="97" t="s">
        <v>23</v>
      </c>
      <c r="M1415" s="97" t="s">
        <v>23</v>
      </c>
      <c r="N1415" s="97" t="s">
        <v>23</v>
      </c>
      <c r="O1415" s="13">
        <v>2348.88</v>
      </c>
      <c r="P1415" s="145"/>
      <c r="Q1415" s="17">
        <f>O1415/1.2</f>
        <v>1957.4</v>
      </c>
      <c r="S1415" s="18"/>
    </row>
    <row r="1416" spans="1:19" s="17" customFormat="1" ht="18.95" customHeight="1" outlineLevel="1" x14ac:dyDescent="0.25">
      <c r="A1416" s="146" t="s">
        <v>59</v>
      </c>
      <c r="B1416" s="146" t="s">
        <v>135</v>
      </c>
      <c r="C1416" s="148"/>
      <c r="D1416" s="156">
        <v>43453</v>
      </c>
      <c r="E1416" s="156" t="s">
        <v>735</v>
      </c>
      <c r="F1416" s="12">
        <v>43466</v>
      </c>
      <c r="G1416" s="12">
        <v>43646</v>
      </c>
      <c r="H1416" s="146" t="s">
        <v>828</v>
      </c>
      <c r="I1416" s="13">
        <v>2310.25</v>
      </c>
      <c r="J1416" s="95" t="s">
        <v>23</v>
      </c>
      <c r="K1416" s="95" t="s">
        <v>23</v>
      </c>
      <c r="L1416" s="97" t="s">
        <v>23</v>
      </c>
      <c r="M1416" s="97" t="s">
        <v>23</v>
      </c>
      <c r="N1416" s="97" t="s">
        <v>23</v>
      </c>
      <c r="O1416" s="4" t="s">
        <v>23</v>
      </c>
      <c r="P1416" s="144" t="s">
        <v>371</v>
      </c>
      <c r="S1416" s="18"/>
    </row>
    <row r="1417" spans="1:19" s="17" customFormat="1" ht="18.95" customHeight="1" outlineLevel="1" x14ac:dyDescent="0.25">
      <c r="A1417" s="148"/>
      <c r="B1417" s="148"/>
      <c r="C1417" s="148"/>
      <c r="D1417" s="156"/>
      <c r="E1417" s="156"/>
      <c r="F1417" s="12">
        <v>43647</v>
      </c>
      <c r="G1417" s="12">
        <v>43830</v>
      </c>
      <c r="H1417" s="147"/>
      <c r="I1417" s="13">
        <v>1957.4</v>
      </c>
      <c r="J1417" s="95" t="s">
        <v>23</v>
      </c>
      <c r="K1417" s="95" t="s">
        <v>23</v>
      </c>
      <c r="L1417" s="97" t="s">
        <v>23</v>
      </c>
      <c r="M1417" s="97" t="s">
        <v>23</v>
      </c>
      <c r="N1417" s="97" t="s">
        <v>23</v>
      </c>
      <c r="O1417" s="4" t="s">
        <v>23</v>
      </c>
      <c r="P1417" s="145"/>
      <c r="S1417" s="18"/>
    </row>
    <row r="1418" spans="1:19" s="17" customFormat="1" ht="18.95" customHeight="1" outlineLevel="1" x14ac:dyDescent="0.25">
      <c r="A1418" s="148"/>
      <c r="B1418" s="148"/>
      <c r="C1418" s="148"/>
      <c r="D1418" s="156">
        <v>43454</v>
      </c>
      <c r="E1418" s="156" t="s">
        <v>733</v>
      </c>
      <c r="F1418" s="12">
        <v>43466</v>
      </c>
      <c r="G1418" s="12">
        <v>43646</v>
      </c>
      <c r="H1418" s="149"/>
      <c r="I1418" s="96" t="s">
        <v>23</v>
      </c>
      <c r="J1418" s="95" t="s">
        <v>23</v>
      </c>
      <c r="K1418" s="95" t="s">
        <v>23</v>
      </c>
      <c r="L1418" s="97" t="s">
        <v>23</v>
      </c>
      <c r="M1418" s="97" t="s">
        <v>23</v>
      </c>
      <c r="N1418" s="97" t="s">
        <v>23</v>
      </c>
      <c r="O1418" s="13">
        <v>2457.2847457627117</v>
      </c>
      <c r="P1418" s="144"/>
      <c r="S1418" s="18"/>
    </row>
    <row r="1419" spans="1:19" s="17" customFormat="1" ht="18.95" customHeight="1" outlineLevel="1" x14ac:dyDescent="0.25">
      <c r="A1419" s="147"/>
      <c r="B1419" s="147"/>
      <c r="C1419" s="147"/>
      <c r="D1419" s="156"/>
      <c r="E1419" s="156"/>
      <c r="F1419" s="12">
        <v>43647</v>
      </c>
      <c r="G1419" s="12">
        <v>43830</v>
      </c>
      <c r="H1419" s="151"/>
      <c r="I1419" s="96" t="s">
        <v>23</v>
      </c>
      <c r="J1419" s="95" t="s">
        <v>23</v>
      </c>
      <c r="K1419" s="95" t="s">
        <v>23</v>
      </c>
      <c r="L1419" s="97" t="s">
        <v>23</v>
      </c>
      <c r="M1419" s="97" t="s">
        <v>23</v>
      </c>
      <c r="N1419" s="97" t="s">
        <v>23</v>
      </c>
      <c r="O1419" s="13">
        <v>2348.88</v>
      </c>
      <c r="P1419" s="145"/>
      <c r="S1419" s="18"/>
    </row>
    <row r="1420" spans="1:19" s="17" customFormat="1" ht="18.95" customHeight="1" outlineLevel="1" x14ac:dyDescent="0.25">
      <c r="A1420" s="146" t="s">
        <v>59</v>
      </c>
      <c r="B1420" s="146" t="s">
        <v>558</v>
      </c>
      <c r="C1420" s="146" t="s">
        <v>136</v>
      </c>
      <c r="D1420" s="156">
        <v>43427</v>
      </c>
      <c r="E1420" s="156" t="s">
        <v>736</v>
      </c>
      <c r="F1420" s="12">
        <v>43466</v>
      </c>
      <c r="G1420" s="12">
        <v>43646</v>
      </c>
      <c r="H1420" s="146"/>
      <c r="I1420" s="13">
        <v>1286.57</v>
      </c>
      <c r="J1420" s="95" t="s">
        <v>23</v>
      </c>
      <c r="K1420" s="95" t="s">
        <v>23</v>
      </c>
      <c r="L1420" s="97" t="s">
        <v>23</v>
      </c>
      <c r="M1420" s="97" t="s">
        <v>23</v>
      </c>
      <c r="N1420" s="97" t="s">
        <v>23</v>
      </c>
      <c r="O1420" s="4" t="s">
        <v>23</v>
      </c>
      <c r="P1420" s="144"/>
      <c r="S1420" s="18"/>
    </row>
    <row r="1421" spans="1:19" s="17" customFormat="1" ht="18.95" customHeight="1" outlineLevel="1" x14ac:dyDescent="0.25">
      <c r="A1421" s="148"/>
      <c r="B1421" s="148"/>
      <c r="C1421" s="148"/>
      <c r="D1421" s="156"/>
      <c r="E1421" s="156"/>
      <c r="F1421" s="12">
        <v>43647</v>
      </c>
      <c r="G1421" s="12">
        <v>43830</v>
      </c>
      <c r="H1421" s="147"/>
      <c r="I1421" s="13">
        <v>1346.9</v>
      </c>
      <c r="J1421" s="95" t="s">
        <v>23</v>
      </c>
      <c r="K1421" s="95" t="s">
        <v>23</v>
      </c>
      <c r="L1421" s="97" t="s">
        <v>23</v>
      </c>
      <c r="M1421" s="97" t="s">
        <v>23</v>
      </c>
      <c r="N1421" s="97" t="s">
        <v>23</v>
      </c>
      <c r="O1421" s="4" t="s">
        <v>23</v>
      </c>
      <c r="P1421" s="145"/>
      <c r="S1421" s="18"/>
    </row>
    <row r="1422" spans="1:19" s="17" customFormat="1" ht="18.95" customHeight="1" outlineLevel="1" x14ac:dyDescent="0.25">
      <c r="A1422" s="148"/>
      <c r="B1422" s="148"/>
      <c r="C1422" s="148"/>
      <c r="D1422" s="156">
        <v>43454</v>
      </c>
      <c r="E1422" s="156" t="s">
        <v>733</v>
      </c>
      <c r="F1422" s="12">
        <v>43466</v>
      </c>
      <c r="G1422" s="12">
        <v>43646</v>
      </c>
      <c r="H1422" s="149"/>
      <c r="I1422" s="96" t="s">
        <v>23</v>
      </c>
      <c r="J1422" s="95" t="s">
        <v>23</v>
      </c>
      <c r="K1422" s="95" t="s">
        <v>23</v>
      </c>
      <c r="L1422" s="97" t="s">
        <v>23</v>
      </c>
      <c r="M1422" s="97" t="s">
        <v>23</v>
      </c>
      <c r="N1422" s="97" t="s">
        <v>23</v>
      </c>
      <c r="O1422" s="13">
        <v>1446.2644067796612</v>
      </c>
      <c r="P1422" s="144"/>
      <c r="S1422" s="18"/>
    </row>
    <row r="1423" spans="1:19" s="17" customFormat="1" ht="18.95" customHeight="1" outlineLevel="1" x14ac:dyDescent="0.25">
      <c r="A1423" s="147"/>
      <c r="B1423" s="147"/>
      <c r="C1423" s="147"/>
      <c r="D1423" s="156"/>
      <c r="E1423" s="156"/>
      <c r="F1423" s="12">
        <v>43647</v>
      </c>
      <c r="G1423" s="12">
        <v>43830</v>
      </c>
      <c r="H1423" s="151"/>
      <c r="I1423" s="96" t="s">
        <v>23</v>
      </c>
      <c r="J1423" s="95" t="s">
        <v>23</v>
      </c>
      <c r="K1423" s="95" t="s">
        <v>23</v>
      </c>
      <c r="L1423" s="97" t="s">
        <v>23</v>
      </c>
      <c r="M1423" s="97" t="s">
        <v>23</v>
      </c>
      <c r="N1423" s="97" t="s">
        <v>23</v>
      </c>
      <c r="O1423" s="13">
        <v>1475.19</v>
      </c>
      <c r="P1423" s="145"/>
      <c r="S1423" s="18"/>
    </row>
    <row r="1424" spans="1:19" s="17" customFormat="1" ht="18.95" customHeight="1" outlineLevel="1" x14ac:dyDescent="0.25">
      <c r="A1424" s="146" t="s">
        <v>59</v>
      </c>
      <c r="B1424" s="146" t="s">
        <v>60</v>
      </c>
      <c r="C1424" s="146" t="s">
        <v>448</v>
      </c>
      <c r="D1424" s="156">
        <v>43083</v>
      </c>
      <c r="E1424" s="156" t="s">
        <v>608</v>
      </c>
      <c r="F1424" s="12">
        <v>43466</v>
      </c>
      <c r="G1424" s="12">
        <v>43646</v>
      </c>
      <c r="H1424" s="142" t="s">
        <v>807</v>
      </c>
      <c r="I1424" s="13">
        <v>2872.24</v>
      </c>
      <c r="J1424" s="95" t="s">
        <v>23</v>
      </c>
      <c r="K1424" s="95" t="s">
        <v>23</v>
      </c>
      <c r="L1424" s="97" t="s">
        <v>23</v>
      </c>
      <c r="M1424" s="97" t="s">
        <v>23</v>
      </c>
      <c r="N1424" s="97" t="s">
        <v>23</v>
      </c>
      <c r="O1424" s="4" t="s">
        <v>23</v>
      </c>
      <c r="P1424" s="180" t="s">
        <v>331</v>
      </c>
      <c r="S1424" s="18"/>
    </row>
    <row r="1425" spans="1:19" s="17" customFormat="1" ht="18.95" customHeight="1" outlineLevel="1" x14ac:dyDescent="0.25">
      <c r="A1425" s="148"/>
      <c r="B1425" s="148"/>
      <c r="C1425" s="148"/>
      <c r="D1425" s="156"/>
      <c r="E1425" s="156"/>
      <c r="F1425" s="12">
        <v>43647</v>
      </c>
      <c r="G1425" s="12">
        <v>43830</v>
      </c>
      <c r="H1425" s="143"/>
      <c r="I1425" s="13">
        <v>3270.55</v>
      </c>
      <c r="J1425" s="95" t="s">
        <v>23</v>
      </c>
      <c r="K1425" s="95" t="s">
        <v>23</v>
      </c>
      <c r="L1425" s="97" t="s">
        <v>23</v>
      </c>
      <c r="M1425" s="97" t="s">
        <v>23</v>
      </c>
      <c r="N1425" s="97" t="s">
        <v>23</v>
      </c>
      <c r="O1425" s="4" t="s">
        <v>23</v>
      </c>
      <c r="P1425" s="181"/>
      <c r="S1425" s="18"/>
    </row>
    <row r="1426" spans="1:19" s="17" customFormat="1" ht="18.95" customHeight="1" outlineLevel="1" x14ac:dyDescent="0.25">
      <c r="A1426" s="148"/>
      <c r="B1426" s="148"/>
      <c r="C1426" s="148"/>
      <c r="D1426" s="156">
        <v>43454</v>
      </c>
      <c r="E1426" s="156" t="s">
        <v>808</v>
      </c>
      <c r="F1426" s="12">
        <v>43466</v>
      </c>
      <c r="G1426" s="12">
        <v>43646</v>
      </c>
      <c r="H1426" s="149"/>
      <c r="I1426" s="96" t="s">
        <v>23</v>
      </c>
      <c r="J1426" s="95" t="s">
        <v>23</v>
      </c>
      <c r="K1426" s="95" t="s">
        <v>23</v>
      </c>
      <c r="L1426" s="97" t="s">
        <v>23</v>
      </c>
      <c r="M1426" s="97" t="s">
        <v>23</v>
      </c>
      <c r="N1426" s="97" t="s">
        <v>23</v>
      </c>
      <c r="O1426" s="13">
        <v>2794.23</v>
      </c>
      <c r="P1426" s="181"/>
      <c r="S1426" s="18"/>
    </row>
    <row r="1427" spans="1:19" s="17" customFormat="1" ht="18.95" customHeight="1" outlineLevel="1" x14ac:dyDescent="0.25">
      <c r="A1427" s="148"/>
      <c r="B1427" s="148"/>
      <c r="C1427" s="147"/>
      <c r="D1427" s="156"/>
      <c r="E1427" s="156"/>
      <c r="F1427" s="12">
        <v>43647</v>
      </c>
      <c r="G1427" s="12">
        <v>43830</v>
      </c>
      <c r="H1427" s="151"/>
      <c r="I1427" s="96" t="s">
        <v>23</v>
      </c>
      <c r="J1427" s="95" t="s">
        <v>23</v>
      </c>
      <c r="K1427" s="95" t="s">
        <v>23</v>
      </c>
      <c r="L1427" s="97" t="s">
        <v>23</v>
      </c>
      <c r="M1427" s="97" t="s">
        <v>23</v>
      </c>
      <c r="N1427" s="97" t="s">
        <v>23</v>
      </c>
      <c r="O1427" s="13">
        <v>2794.23</v>
      </c>
      <c r="P1427" s="182"/>
      <c r="S1427" s="18"/>
    </row>
    <row r="1428" spans="1:19" s="17" customFormat="1" ht="18.95" customHeight="1" outlineLevel="1" x14ac:dyDescent="0.25">
      <c r="A1428" s="146" t="s">
        <v>59</v>
      </c>
      <c r="B1428" s="146" t="s">
        <v>130</v>
      </c>
      <c r="C1428" s="146" t="s">
        <v>137</v>
      </c>
      <c r="D1428" s="156">
        <v>43448</v>
      </c>
      <c r="E1428" s="156" t="s">
        <v>737</v>
      </c>
      <c r="F1428" s="12">
        <v>43466</v>
      </c>
      <c r="G1428" s="12">
        <v>43646</v>
      </c>
      <c r="H1428" s="146"/>
      <c r="I1428" s="13">
        <v>556.29999999999995</v>
      </c>
      <c r="J1428" s="95" t="s">
        <v>23</v>
      </c>
      <c r="K1428" s="95" t="s">
        <v>23</v>
      </c>
      <c r="L1428" s="97" t="s">
        <v>23</v>
      </c>
      <c r="M1428" s="97" t="s">
        <v>23</v>
      </c>
      <c r="N1428" s="97" t="s">
        <v>23</v>
      </c>
      <c r="O1428" s="4" t="s">
        <v>23</v>
      </c>
      <c r="P1428" s="144" t="s">
        <v>372</v>
      </c>
      <c r="S1428" s="18"/>
    </row>
    <row r="1429" spans="1:19" s="17" customFormat="1" ht="24" customHeight="1" outlineLevel="1" x14ac:dyDescent="0.25">
      <c r="A1429" s="147"/>
      <c r="B1429" s="147"/>
      <c r="C1429" s="147"/>
      <c r="D1429" s="156"/>
      <c r="E1429" s="156"/>
      <c r="F1429" s="12">
        <v>43647</v>
      </c>
      <c r="G1429" s="12">
        <v>43830</v>
      </c>
      <c r="H1429" s="147"/>
      <c r="I1429" s="13">
        <v>576.36</v>
      </c>
      <c r="J1429" s="95" t="s">
        <v>23</v>
      </c>
      <c r="K1429" s="95" t="s">
        <v>23</v>
      </c>
      <c r="L1429" s="97" t="s">
        <v>23</v>
      </c>
      <c r="M1429" s="97" t="s">
        <v>23</v>
      </c>
      <c r="N1429" s="97" t="s">
        <v>23</v>
      </c>
      <c r="O1429" s="4" t="s">
        <v>23</v>
      </c>
      <c r="P1429" s="145"/>
      <c r="S1429" s="18"/>
    </row>
    <row r="1430" spans="1:19" s="17" customFormat="1" ht="18.95" customHeight="1" outlineLevel="1" x14ac:dyDescent="0.25">
      <c r="A1430" s="146" t="s">
        <v>59</v>
      </c>
      <c r="B1430" s="146" t="s">
        <v>124</v>
      </c>
      <c r="C1430" s="146" t="s">
        <v>830</v>
      </c>
      <c r="D1430" s="156">
        <v>43453</v>
      </c>
      <c r="E1430" s="156" t="s">
        <v>829</v>
      </c>
      <c r="F1430" s="12">
        <v>43466</v>
      </c>
      <c r="G1430" s="12">
        <v>43646</v>
      </c>
      <c r="H1430" s="146"/>
      <c r="I1430" s="13">
        <v>182</v>
      </c>
      <c r="J1430" s="118" t="s">
        <v>23</v>
      </c>
      <c r="K1430" s="118" t="s">
        <v>23</v>
      </c>
      <c r="L1430" s="120" t="s">
        <v>23</v>
      </c>
      <c r="M1430" s="120" t="s">
        <v>23</v>
      </c>
      <c r="N1430" s="120" t="s">
        <v>23</v>
      </c>
      <c r="O1430" s="4" t="s">
        <v>23</v>
      </c>
      <c r="P1430" s="144" t="s">
        <v>372</v>
      </c>
      <c r="S1430" s="18"/>
    </row>
    <row r="1431" spans="1:19" s="17" customFormat="1" ht="24" customHeight="1" outlineLevel="1" x14ac:dyDescent="0.25">
      <c r="A1431" s="147"/>
      <c r="B1431" s="147"/>
      <c r="C1431" s="147"/>
      <c r="D1431" s="156"/>
      <c r="E1431" s="156"/>
      <c r="F1431" s="12">
        <v>43647</v>
      </c>
      <c r="G1431" s="12">
        <v>43830</v>
      </c>
      <c r="H1431" s="147"/>
      <c r="I1431" s="13">
        <v>183.11</v>
      </c>
      <c r="J1431" s="118" t="s">
        <v>23</v>
      </c>
      <c r="K1431" s="118" t="s">
        <v>23</v>
      </c>
      <c r="L1431" s="120" t="s">
        <v>23</v>
      </c>
      <c r="M1431" s="120" t="s">
        <v>23</v>
      </c>
      <c r="N1431" s="120" t="s">
        <v>23</v>
      </c>
      <c r="O1431" s="4" t="s">
        <v>23</v>
      </c>
      <c r="P1431" s="145"/>
      <c r="S1431" s="18"/>
    </row>
  </sheetData>
  <autoFilter ref="A3:P1429"/>
  <mergeCells count="13631">
    <mergeCell ref="A1430:A1431"/>
    <mergeCell ref="B1430:B1431"/>
    <mergeCell ref="C1430:C1431"/>
    <mergeCell ref="D1430:D1431"/>
    <mergeCell ref="E1430:E1431"/>
    <mergeCell ref="H1430:H1431"/>
    <mergeCell ref="P1430:P1431"/>
    <mergeCell ref="P1114:P1115"/>
    <mergeCell ref="P1112:P1113"/>
    <mergeCell ref="P1110:P1111"/>
    <mergeCell ref="P1108:P1109"/>
    <mergeCell ref="P1106:P1107"/>
    <mergeCell ref="P1104:P1105"/>
    <mergeCell ref="P1102:P1103"/>
    <mergeCell ref="P1100:P1101"/>
    <mergeCell ref="D1362:D1363"/>
    <mergeCell ref="E1362:E1363"/>
    <mergeCell ref="P1364:P1365"/>
    <mergeCell ref="B1296:B1297"/>
    <mergeCell ref="C1296:C1297"/>
    <mergeCell ref="H1352:H1353"/>
    <mergeCell ref="P1352:P1353"/>
    <mergeCell ref="B1354:B1355"/>
    <mergeCell ref="P1143:P1144"/>
    <mergeCell ref="D1134:D1135"/>
    <mergeCell ref="P1120:P1121"/>
    <mergeCell ref="P1118:P1119"/>
    <mergeCell ref="P1116:P1117"/>
    <mergeCell ref="A1428:A1429"/>
    <mergeCell ref="B1428:B1429"/>
    <mergeCell ref="C1428:C1429"/>
    <mergeCell ref="D1428:D1429"/>
    <mergeCell ref="E1428:E1429"/>
    <mergeCell ref="H1428:H1429"/>
    <mergeCell ref="P1428:P1429"/>
    <mergeCell ref="A1138:A1141"/>
    <mergeCell ref="B1138:B1141"/>
    <mergeCell ref="C1138:C1141"/>
    <mergeCell ref="D1138:D1139"/>
    <mergeCell ref="E1138:E1139"/>
    <mergeCell ref="H1138:H1139"/>
    <mergeCell ref="P1138:P1139"/>
    <mergeCell ref="D1140:D1141"/>
    <mergeCell ref="E1140:E1141"/>
    <mergeCell ref="H1140:H1141"/>
    <mergeCell ref="P1140:P1141"/>
    <mergeCell ref="D1339:D1342"/>
    <mergeCell ref="P1341:P1342"/>
    <mergeCell ref="H1380:H1381"/>
    <mergeCell ref="P1380:P1381"/>
    <mergeCell ref="P1366:P1367"/>
    <mergeCell ref="B1254:B1257"/>
    <mergeCell ref="H1331:H1332"/>
    <mergeCell ref="E1281:E1282"/>
    <mergeCell ref="B1281:B1284"/>
    <mergeCell ref="A1356:A1363"/>
    <mergeCell ref="B1356:B1363"/>
    <mergeCell ref="C1356:C1419"/>
    <mergeCell ref="D1358:D1359"/>
    <mergeCell ref="E1358:E1359"/>
    <mergeCell ref="P1180:P1181"/>
    <mergeCell ref="P1416:P1417"/>
    <mergeCell ref="P1418:P1419"/>
    <mergeCell ref="A1420:A1423"/>
    <mergeCell ref="A741:A742"/>
    <mergeCell ref="E741:E742"/>
    <mergeCell ref="D741:D742"/>
    <mergeCell ref="H777:H778"/>
    <mergeCell ref="H775:H776"/>
    <mergeCell ref="B1114:B1117"/>
    <mergeCell ref="B1110:B1113"/>
    <mergeCell ref="B1106:B1109"/>
    <mergeCell ref="B1100:B1105"/>
    <mergeCell ref="A1118:A1121"/>
    <mergeCell ref="A1114:A1117"/>
    <mergeCell ref="A1110:A1113"/>
    <mergeCell ref="A1106:A1109"/>
    <mergeCell ref="A1100:A1105"/>
    <mergeCell ref="C1100:C1121"/>
    <mergeCell ref="E1120:E1121"/>
    <mergeCell ref="D1120:D1121"/>
    <mergeCell ref="E1118:E1119"/>
    <mergeCell ref="D1118:D1119"/>
    <mergeCell ref="E1116:E1117"/>
    <mergeCell ref="D1116:D1117"/>
    <mergeCell ref="E1114:E1115"/>
    <mergeCell ref="D1114:D1115"/>
    <mergeCell ref="E1112:E1113"/>
    <mergeCell ref="D1112:D1113"/>
    <mergeCell ref="E1110:E1111"/>
    <mergeCell ref="D1110:D1111"/>
    <mergeCell ref="E1108:E1109"/>
    <mergeCell ref="D1108:D1109"/>
    <mergeCell ref="E1106:E1107"/>
    <mergeCell ref="D1106:D1107"/>
    <mergeCell ref="E1102:E1105"/>
    <mergeCell ref="D1102:D1105"/>
    <mergeCell ref="E1100:E1101"/>
    <mergeCell ref="D1100:D1101"/>
    <mergeCell ref="H1120:H1121"/>
    <mergeCell ref="H1118:H1119"/>
    <mergeCell ref="C1086:C1089"/>
    <mergeCell ref="C1090:C1093"/>
    <mergeCell ref="C1094:C1099"/>
    <mergeCell ref="D1096:D1097"/>
    <mergeCell ref="E898:E899"/>
    <mergeCell ref="D1036:D1037"/>
    <mergeCell ref="E1036:E1037"/>
    <mergeCell ref="H1036:H1037"/>
    <mergeCell ref="C853:C868"/>
    <mergeCell ref="D853:D854"/>
    <mergeCell ref="E853:E854"/>
    <mergeCell ref="H853:H854"/>
    <mergeCell ref="A871:A872"/>
    <mergeCell ref="B871:B872"/>
    <mergeCell ref="C871:C872"/>
    <mergeCell ref="D871:D872"/>
    <mergeCell ref="H1116:H1117"/>
    <mergeCell ref="H1104:H1105"/>
    <mergeCell ref="H1102:H1103"/>
    <mergeCell ref="A1038:A1041"/>
    <mergeCell ref="B1038:B1041"/>
    <mergeCell ref="D1038:D1039"/>
    <mergeCell ref="E892:E893"/>
    <mergeCell ref="H948:H949"/>
    <mergeCell ref="H974:H975"/>
    <mergeCell ref="H816:H817"/>
    <mergeCell ref="H802:H803"/>
    <mergeCell ref="D1348:D1349"/>
    <mergeCell ref="E1348:E1349"/>
    <mergeCell ref="B1420:B1423"/>
    <mergeCell ref="C1420:C1423"/>
    <mergeCell ref="D1422:D1423"/>
    <mergeCell ref="E1422:E1423"/>
    <mergeCell ref="H1422:H1423"/>
    <mergeCell ref="P1422:P1423"/>
    <mergeCell ref="A1424:A1427"/>
    <mergeCell ref="B1424:B1427"/>
    <mergeCell ref="C1424:C1427"/>
    <mergeCell ref="D1424:D1425"/>
    <mergeCell ref="E1424:E1425"/>
    <mergeCell ref="H1424:H1425"/>
    <mergeCell ref="P1424:P1427"/>
    <mergeCell ref="D1426:D1427"/>
    <mergeCell ref="E1426:E1427"/>
    <mergeCell ref="H1426:H1427"/>
    <mergeCell ref="A1122:A1125"/>
    <mergeCell ref="B1122:B1125"/>
    <mergeCell ref="C1122:C1133"/>
    <mergeCell ref="D1122:D1123"/>
    <mergeCell ref="E1122:E1123"/>
    <mergeCell ref="H1122:H1123"/>
    <mergeCell ref="P1122:P1123"/>
    <mergeCell ref="D1124:D1125"/>
    <mergeCell ref="E1124:E1125"/>
    <mergeCell ref="H1124:H1125"/>
    <mergeCell ref="P1124:P1125"/>
    <mergeCell ref="A1126:A1129"/>
    <mergeCell ref="B1126:B1129"/>
    <mergeCell ref="D1126:D1127"/>
    <mergeCell ref="E1126:E1127"/>
    <mergeCell ref="H1126:H1127"/>
    <mergeCell ref="P1126:P1127"/>
    <mergeCell ref="D1128:D1129"/>
    <mergeCell ref="E1128:E1129"/>
    <mergeCell ref="H1128:H1129"/>
    <mergeCell ref="P1128:P1129"/>
    <mergeCell ref="A1130:A1133"/>
    <mergeCell ref="B1130:B1133"/>
    <mergeCell ref="D1130:D1131"/>
    <mergeCell ref="E1130:E1131"/>
    <mergeCell ref="H1130:H1131"/>
    <mergeCell ref="H1143:H1144"/>
    <mergeCell ref="D1149:D1150"/>
    <mergeCell ref="A1392:A1395"/>
    <mergeCell ref="B1392:B1395"/>
    <mergeCell ref="D1392:D1393"/>
    <mergeCell ref="E1392:E1393"/>
    <mergeCell ref="H1392:H1393"/>
    <mergeCell ref="P1392:P1393"/>
    <mergeCell ref="P1394:P1395"/>
    <mergeCell ref="P1376:P1377"/>
    <mergeCell ref="P1378:P1379"/>
    <mergeCell ref="D1380:D1381"/>
    <mergeCell ref="E1380:E1381"/>
    <mergeCell ref="D1382:D1383"/>
    <mergeCell ref="E1396:E1397"/>
    <mergeCell ref="H1396:H1397"/>
    <mergeCell ref="P1396:P1397"/>
    <mergeCell ref="E1394:E1395"/>
    <mergeCell ref="E1382:E1383"/>
    <mergeCell ref="E1134:E1135"/>
    <mergeCell ref="P1323:P1324"/>
    <mergeCell ref="D1337:D1338"/>
    <mergeCell ref="E1337:E1338"/>
    <mergeCell ref="H1145:H1146"/>
    <mergeCell ref="P1244:P1247"/>
    <mergeCell ref="E1290:E1291"/>
    <mergeCell ref="P1145:P1146"/>
    <mergeCell ref="H1114:H1115"/>
    <mergeCell ref="A1285:A1286"/>
    <mergeCell ref="A1220:A1223"/>
    <mergeCell ref="E1283:E1284"/>
    <mergeCell ref="H1149:H1150"/>
    <mergeCell ref="B1200:B1203"/>
    <mergeCell ref="A1074:A1077"/>
    <mergeCell ref="H1100:H1101"/>
    <mergeCell ref="P1130:P1131"/>
    <mergeCell ref="D1132:D1133"/>
    <mergeCell ref="E1132:E1133"/>
    <mergeCell ref="H1132:H1133"/>
    <mergeCell ref="P1132:P1133"/>
    <mergeCell ref="D1074:D1075"/>
    <mergeCell ref="E1074:E1075"/>
    <mergeCell ref="H1074:H1075"/>
    <mergeCell ref="P1074:P1075"/>
    <mergeCell ref="D1076:D1077"/>
    <mergeCell ref="E1076:E1077"/>
    <mergeCell ref="H1076:H1077"/>
    <mergeCell ref="P1076:P1077"/>
    <mergeCell ref="B1118:B1121"/>
    <mergeCell ref="A1078:A1081"/>
    <mergeCell ref="A1134:A1137"/>
    <mergeCell ref="B1134:B1137"/>
    <mergeCell ref="C1134:C1137"/>
    <mergeCell ref="H1078:H1079"/>
    <mergeCell ref="P1078:P1079"/>
    <mergeCell ref="D1080:D1081"/>
    <mergeCell ref="E1080:E1081"/>
    <mergeCell ref="B1167:B1170"/>
    <mergeCell ref="H1206:H1207"/>
    <mergeCell ref="H1184:H1185"/>
    <mergeCell ref="E1145:E1146"/>
    <mergeCell ref="D1145:D1146"/>
    <mergeCell ref="E1143:E1144"/>
    <mergeCell ref="H1080:H1081"/>
    <mergeCell ref="P1080:P1081"/>
    <mergeCell ref="A1082:A1085"/>
    <mergeCell ref="B1082:B1085"/>
    <mergeCell ref="D1082:D1083"/>
    <mergeCell ref="E1082:E1083"/>
    <mergeCell ref="H1082:H1083"/>
    <mergeCell ref="P1082:P1083"/>
    <mergeCell ref="D1084:D1085"/>
    <mergeCell ref="E1084:E1085"/>
    <mergeCell ref="H1134:H1135"/>
    <mergeCell ref="P1134:P1135"/>
    <mergeCell ref="B1331:B1336"/>
    <mergeCell ref="C1331:C1336"/>
    <mergeCell ref="B1147:B1150"/>
    <mergeCell ref="C1147:C1150"/>
    <mergeCell ref="P1281:P1282"/>
    <mergeCell ref="P1283:P1284"/>
    <mergeCell ref="P1275:P1276"/>
    <mergeCell ref="A1224:A1227"/>
    <mergeCell ref="A1228:A1239"/>
    <mergeCell ref="P1038:P1039"/>
    <mergeCell ref="D1040:D1041"/>
    <mergeCell ref="E1040:E1041"/>
    <mergeCell ref="H1070:H1071"/>
    <mergeCell ref="P1070:P1071"/>
    <mergeCell ref="A1058:A1061"/>
    <mergeCell ref="B1058:B1061"/>
    <mergeCell ref="D1058:D1059"/>
    <mergeCell ref="A1062:A1065"/>
    <mergeCell ref="B1062:B1065"/>
    <mergeCell ref="D1062:D1063"/>
    <mergeCell ref="P1060:P1061"/>
    <mergeCell ref="A1066:A1069"/>
    <mergeCell ref="B1066:B1069"/>
    <mergeCell ref="D1066:D1067"/>
    <mergeCell ref="E1066:E1067"/>
    <mergeCell ref="H1066:H1067"/>
    <mergeCell ref="P1066:P1067"/>
    <mergeCell ref="D1068:D1069"/>
    <mergeCell ref="C1082:C1085"/>
    <mergeCell ref="E1096:E1097"/>
    <mergeCell ref="D1098:D1099"/>
    <mergeCell ref="E1098:E1099"/>
    <mergeCell ref="H1084:H1085"/>
    <mergeCell ref="P1084:P1085"/>
    <mergeCell ref="A1086:A1089"/>
    <mergeCell ref="H1050:H1051"/>
    <mergeCell ref="P1050:P1051"/>
    <mergeCell ref="D1052:D1053"/>
    <mergeCell ref="E1052:E1053"/>
    <mergeCell ref="H1052:H1053"/>
    <mergeCell ref="P1052:P1053"/>
    <mergeCell ref="D1136:D1137"/>
    <mergeCell ref="E1136:E1137"/>
    <mergeCell ref="H1136:H1137"/>
    <mergeCell ref="P1136:P1137"/>
    <mergeCell ref="E1046:E1047"/>
    <mergeCell ref="H1046:H1047"/>
    <mergeCell ref="P1046:P1047"/>
    <mergeCell ref="D1048:D1049"/>
    <mergeCell ref="E1048:E1049"/>
    <mergeCell ref="A1050:A1053"/>
    <mergeCell ref="A1054:A1057"/>
    <mergeCell ref="B1054:B1057"/>
    <mergeCell ref="P936:P937"/>
    <mergeCell ref="E934:E935"/>
    <mergeCell ref="H934:H935"/>
    <mergeCell ref="H928:H929"/>
    <mergeCell ref="P928:P929"/>
    <mergeCell ref="P942:P943"/>
    <mergeCell ref="D944:D945"/>
    <mergeCell ref="E944:E945"/>
    <mergeCell ref="A954:A957"/>
    <mergeCell ref="A910:A913"/>
    <mergeCell ref="H922:H923"/>
    <mergeCell ref="P922:P923"/>
    <mergeCell ref="H924:H925"/>
    <mergeCell ref="P924:P925"/>
    <mergeCell ref="H900:H901"/>
    <mergeCell ref="H902:H903"/>
    <mergeCell ref="D1054:D1055"/>
    <mergeCell ref="E1054:E1055"/>
    <mergeCell ref="H1054:H1055"/>
    <mergeCell ref="P1054:P1055"/>
    <mergeCell ref="P892:P893"/>
    <mergeCell ref="A1018:A1021"/>
    <mergeCell ref="B1018:B1021"/>
    <mergeCell ref="C1018:C1021"/>
    <mergeCell ref="D1018:D1019"/>
    <mergeCell ref="E1018:E1019"/>
    <mergeCell ref="H1018:H1019"/>
    <mergeCell ref="P1018:P1019"/>
    <mergeCell ref="D1020:D1021"/>
    <mergeCell ref="E1020:E1021"/>
    <mergeCell ref="H1020:H1021"/>
    <mergeCell ref="P1020:P1021"/>
    <mergeCell ref="P1042:P1043"/>
    <mergeCell ref="D1044:D1045"/>
    <mergeCell ref="E1044:E1045"/>
    <mergeCell ref="P910:P911"/>
    <mergeCell ref="A906:A909"/>
    <mergeCell ref="C958:C961"/>
    <mergeCell ref="D1050:D1051"/>
    <mergeCell ref="E1050:E1051"/>
    <mergeCell ref="B950:B953"/>
    <mergeCell ref="B954:B957"/>
    <mergeCell ref="C910:C957"/>
    <mergeCell ref="H930:H931"/>
    <mergeCell ref="E962:E963"/>
    <mergeCell ref="H962:H963"/>
    <mergeCell ref="A938:A941"/>
    <mergeCell ref="B938:B941"/>
    <mergeCell ref="H938:H939"/>
    <mergeCell ref="P938:P939"/>
    <mergeCell ref="E936:E937"/>
    <mergeCell ref="H936:H937"/>
    <mergeCell ref="A950:A953"/>
    <mergeCell ref="P930:P931"/>
    <mergeCell ref="D920:D921"/>
    <mergeCell ref="P1026:P1027"/>
    <mergeCell ref="D1028:D1029"/>
    <mergeCell ref="E1028:E1029"/>
    <mergeCell ref="H1028:H1029"/>
    <mergeCell ref="P1028:P1029"/>
    <mergeCell ref="H977:H978"/>
    <mergeCell ref="H1030:H1031"/>
    <mergeCell ref="P958:P961"/>
    <mergeCell ref="C1003:C1004"/>
    <mergeCell ref="P995:P996"/>
    <mergeCell ref="P997:P998"/>
    <mergeCell ref="P979:P980"/>
    <mergeCell ref="P999:P1000"/>
    <mergeCell ref="D1026:D1027"/>
    <mergeCell ref="E1026:E1027"/>
    <mergeCell ref="B910:B913"/>
    <mergeCell ref="H896:H897"/>
    <mergeCell ref="H926:H927"/>
    <mergeCell ref="B1022:B1025"/>
    <mergeCell ref="C1022:C1025"/>
    <mergeCell ref="D1022:D1023"/>
    <mergeCell ref="E920:E921"/>
    <mergeCell ref="A1022:A1025"/>
    <mergeCell ref="E1022:E1023"/>
    <mergeCell ref="H1040:H1041"/>
    <mergeCell ref="P1040:P1041"/>
    <mergeCell ref="A1042:A1045"/>
    <mergeCell ref="B1042:B1045"/>
    <mergeCell ref="D1042:D1043"/>
    <mergeCell ref="E1042:E1043"/>
    <mergeCell ref="H1042:H1043"/>
    <mergeCell ref="E1056:E1057"/>
    <mergeCell ref="H1056:H1057"/>
    <mergeCell ref="P1056:P1057"/>
    <mergeCell ref="A794:A797"/>
    <mergeCell ref="B794:B797"/>
    <mergeCell ref="C794:C797"/>
    <mergeCell ref="D794:D795"/>
    <mergeCell ref="E794:E795"/>
    <mergeCell ref="H794:H795"/>
    <mergeCell ref="P810:P811"/>
    <mergeCell ref="D812:D813"/>
    <mergeCell ref="E812:E813"/>
    <mergeCell ref="P812:P813"/>
    <mergeCell ref="D814:D815"/>
    <mergeCell ref="E814:E815"/>
    <mergeCell ref="P814:P815"/>
    <mergeCell ref="P879:P880"/>
    <mergeCell ref="E830:E831"/>
    <mergeCell ref="H830:H831"/>
    <mergeCell ref="P830:P831"/>
    <mergeCell ref="D832:D835"/>
    <mergeCell ref="E832:E835"/>
    <mergeCell ref="H832:H835"/>
    <mergeCell ref="P832:P833"/>
    <mergeCell ref="P834:P835"/>
    <mergeCell ref="D843:D844"/>
    <mergeCell ref="E843:E844"/>
    <mergeCell ref="H843:H844"/>
    <mergeCell ref="H861:H862"/>
    <mergeCell ref="P861:P864"/>
    <mergeCell ref="D863:D864"/>
    <mergeCell ref="E863:E864"/>
    <mergeCell ref="H863:H864"/>
    <mergeCell ref="A865:A868"/>
    <mergeCell ref="B865:B868"/>
    <mergeCell ref="D865:D866"/>
    <mergeCell ref="E865:E866"/>
    <mergeCell ref="H865:H866"/>
    <mergeCell ref="D892:D893"/>
    <mergeCell ref="D867:D868"/>
    <mergeCell ref="E867:E868"/>
    <mergeCell ref="H867:H868"/>
    <mergeCell ref="P836:P838"/>
    <mergeCell ref="D839:D840"/>
    <mergeCell ref="E839:E840"/>
    <mergeCell ref="H839:H842"/>
    <mergeCell ref="P839:P840"/>
    <mergeCell ref="E871:E872"/>
    <mergeCell ref="H871:H872"/>
    <mergeCell ref="D828:D829"/>
    <mergeCell ref="E828:E829"/>
    <mergeCell ref="H828:H829"/>
    <mergeCell ref="D822:D823"/>
    <mergeCell ref="E822:E823"/>
    <mergeCell ref="H822:H823"/>
    <mergeCell ref="P1003:P1004"/>
    <mergeCell ref="H991:H992"/>
    <mergeCell ref="E1003:E1004"/>
    <mergeCell ref="P983:P984"/>
    <mergeCell ref="P985:P986"/>
    <mergeCell ref="H997:H998"/>
    <mergeCell ref="A977:A982"/>
    <mergeCell ref="A966:A969"/>
    <mergeCell ref="B966:B969"/>
    <mergeCell ref="H956:H957"/>
    <mergeCell ref="C962:C965"/>
    <mergeCell ref="A1003:A1004"/>
    <mergeCell ref="A995:A998"/>
    <mergeCell ref="C977:C1002"/>
    <mergeCell ref="B987:B990"/>
    <mergeCell ref="C896:C905"/>
    <mergeCell ref="D958:D959"/>
    <mergeCell ref="E964:E965"/>
    <mergeCell ref="E950:E951"/>
    <mergeCell ref="H950:H951"/>
    <mergeCell ref="D997:D998"/>
    <mergeCell ref="D1001:D1002"/>
    <mergeCell ref="P989:P990"/>
    <mergeCell ref="A942:A945"/>
    <mergeCell ref="B942:B945"/>
    <mergeCell ref="D966:D967"/>
    <mergeCell ref="E966:E967"/>
    <mergeCell ref="H966:H967"/>
    <mergeCell ref="P966:P967"/>
    <mergeCell ref="P968:P969"/>
    <mergeCell ref="E977:E978"/>
    <mergeCell ref="P991:P992"/>
    <mergeCell ref="E855:E856"/>
    <mergeCell ref="H855:H856"/>
    <mergeCell ref="H918:H919"/>
    <mergeCell ref="B851:B852"/>
    <mergeCell ref="B830:B835"/>
    <mergeCell ref="B857:B860"/>
    <mergeCell ref="E869:E870"/>
    <mergeCell ref="H869:H870"/>
    <mergeCell ref="P869:P870"/>
    <mergeCell ref="H946:H947"/>
    <mergeCell ref="P946:P947"/>
    <mergeCell ref="D948:D949"/>
    <mergeCell ref="E948:E949"/>
    <mergeCell ref="P948:P949"/>
    <mergeCell ref="H1003:H1004"/>
    <mergeCell ref="P954:P955"/>
    <mergeCell ref="C966:C969"/>
    <mergeCell ref="P896:P899"/>
    <mergeCell ref="P956:P957"/>
    <mergeCell ref="P802:P803"/>
    <mergeCell ref="D804:D805"/>
    <mergeCell ref="E804:E805"/>
    <mergeCell ref="H804:H805"/>
    <mergeCell ref="P804:P805"/>
    <mergeCell ref="D806:D807"/>
    <mergeCell ref="E806:E807"/>
    <mergeCell ref="P806:P807"/>
    <mergeCell ref="A808:A815"/>
    <mergeCell ref="B808:B815"/>
    <mergeCell ref="C808:C815"/>
    <mergeCell ref="D808:D809"/>
    <mergeCell ref="E808:E809"/>
    <mergeCell ref="H808:H809"/>
    <mergeCell ref="P808:P809"/>
    <mergeCell ref="D810:D811"/>
    <mergeCell ref="E810:E811"/>
    <mergeCell ref="H810:H813"/>
    <mergeCell ref="H886:H887"/>
    <mergeCell ref="E886:E887"/>
    <mergeCell ref="A882:A885"/>
    <mergeCell ref="P888:P889"/>
    <mergeCell ref="P890:P891"/>
    <mergeCell ref="P884:P885"/>
    <mergeCell ref="P882:P883"/>
    <mergeCell ref="D884:D885"/>
    <mergeCell ref="D886:D887"/>
    <mergeCell ref="H882:H883"/>
    <mergeCell ref="H884:H885"/>
    <mergeCell ref="E896:E897"/>
    <mergeCell ref="P934:P935"/>
    <mergeCell ref="D936:D937"/>
    <mergeCell ref="D918:D919"/>
    <mergeCell ref="E918:E919"/>
    <mergeCell ref="P906:P907"/>
    <mergeCell ref="A918:A921"/>
    <mergeCell ref="B918:B921"/>
    <mergeCell ref="P918:P919"/>
    <mergeCell ref="A926:A929"/>
    <mergeCell ref="B926:B929"/>
    <mergeCell ref="B930:B933"/>
    <mergeCell ref="D930:D931"/>
    <mergeCell ref="P855:P856"/>
    <mergeCell ref="A857:A860"/>
    <mergeCell ref="P871:P872"/>
    <mergeCell ref="A873:A876"/>
    <mergeCell ref="B873:B876"/>
    <mergeCell ref="C873:C876"/>
    <mergeCell ref="D873:D874"/>
    <mergeCell ref="E873:E874"/>
    <mergeCell ref="H873:H874"/>
    <mergeCell ref="P873:P874"/>
    <mergeCell ref="D875:D876"/>
    <mergeCell ref="E875:E876"/>
    <mergeCell ref="H875:H876"/>
    <mergeCell ref="P875:P876"/>
    <mergeCell ref="A877:A880"/>
    <mergeCell ref="B877:B880"/>
    <mergeCell ref="C877:C880"/>
    <mergeCell ref="A869:A870"/>
    <mergeCell ref="B869:B870"/>
    <mergeCell ref="C869:C870"/>
    <mergeCell ref="D855:D856"/>
    <mergeCell ref="H908:H909"/>
    <mergeCell ref="D964:D965"/>
    <mergeCell ref="D1220:D1221"/>
    <mergeCell ref="P843:P844"/>
    <mergeCell ref="A845:A848"/>
    <mergeCell ref="B845:B848"/>
    <mergeCell ref="C845:C852"/>
    <mergeCell ref="D845:D846"/>
    <mergeCell ref="B836:B842"/>
    <mergeCell ref="C836:C842"/>
    <mergeCell ref="H836:H838"/>
    <mergeCell ref="H859:H860"/>
    <mergeCell ref="A853:A856"/>
    <mergeCell ref="B853:B856"/>
    <mergeCell ref="E845:E846"/>
    <mergeCell ref="H845:H846"/>
    <mergeCell ref="P845:P848"/>
    <mergeCell ref="D847:D848"/>
    <mergeCell ref="E847:E848"/>
    <mergeCell ref="H847:H848"/>
    <mergeCell ref="A849:A850"/>
    <mergeCell ref="B849:B850"/>
    <mergeCell ref="D849:D850"/>
    <mergeCell ref="E849:E850"/>
    <mergeCell ref="H849:H850"/>
    <mergeCell ref="P849:P852"/>
    <mergeCell ref="A851:A852"/>
    <mergeCell ref="D1088:D1089"/>
    <mergeCell ref="E1088:E1089"/>
    <mergeCell ref="H1088:H1089"/>
    <mergeCell ref="P1088:P1089"/>
    <mergeCell ref="A1090:A1093"/>
    <mergeCell ref="B1090:B1093"/>
    <mergeCell ref="D1090:D1091"/>
    <mergeCell ref="E1159:E1160"/>
    <mergeCell ref="E1008:E1009"/>
    <mergeCell ref="H1008:H1009"/>
    <mergeCell ref="P1008:P1009"/>
    <mergeCell ref="H1153:H1154"/>
    <mergeCell ref="H1167:H1168"/>
    <mergeCell ref="P1155:P1156"/>
    <mergeCell ref="E1153:E1154"/>
    <mergeCell ref="C1163:C1166"/>
    <mergeCell ref="H1014:H1015"/>
    <mergeCell ref="P1014:P1015"/>
    <mergeCell ref="D1016:D1017"/>
    <mergeCell ref="E1016:E1017"/>
    <mergeCell ref="D841:D842"/>
    <mergeCell ref="E841:E842"/>
    <mergeCell ref="P841:P842"/>
    <mergeCell ref="A843:A844"/>
    <mergeCell ref="B843:B844"/>
    <mergeCell ref="C843:C844"/>
    <mergeCell ref="H1010:H1011"/>
    <mergeCell ref="P1010:P1011"/>
    <mergeCell ref="D1167:D1168"/>
    <mergeCell ref="E1147:E1148"/>
    <mergeCell ref="D1153:D1154"/>
    <mergeCell ref="D1163:D1164"/>
    <mergeCell ref="P865:P868"/>
    <mergeCell ref="D1159:D1160"/>
    <mergeCell ref="D1180:D1181"/>
    <mergeCell ref="P1204:P1205"/>
    <mergeCell ref="H1151:H1152"/>
    <mergeCell ref="P1151:P1152"/>
    <mergeCell ref="D1344:D1345"/>
    <mergeCell ref="A1348:A1351"/>
    <mergeCell ref="B1348:B1351"/>
    <mergeCell ref="H1348:H1349"/>
    <mergeCell ref="P1348:P1349"/>
    <mergeCell ref="D1350:D1351"/>
    <mergeCell ref="E1350:E1351"/>
    <mergeCell ref="H1350:H1351"/>
    <mergeCell ref="P1350:P1351"/>
    <mergeCell ref="D1356:D1357"/>
    <mergeCell ref="E1356:E1357"/>
    <mergeCell ref="H1356:H1357"/>
    <mergeCell ref="P1356:P1357"/>
    <mergeCell ref="P1362:P1363"/>
    <mergeCell ref="D1386:D1387"/>
    <mergeCell ref="E1386:E1387"/>
    <mergeCell ref="P1386:P1387"/>
    <mergeCell ref="A1388:A1391"/>
    <mergeCell ref="B1388:B1391"/>
    <mergeCell ref="D1388:D1389"/>
    <mergeCell ref="E1388:E1389"/>
    <mergeCell ref="H1388:H1389"/>
    <mergeCell ref="P1388:P1389"/>
    <mergeCell ref="D1360:D1361"/>
    <mergeCell ref="E1360:E1361"/>
    <mergeCell ref="A1364:A1371"/>
    <mergeCell ref="B1364:B1371"/>
    <mergeCell ref="D1364:D1365"/>
    <mergeCell ref="E1364:E1365"/>
    <mergeCell ref="H1364:H1365"/>
    <mergeCell ref="D1366:D1367"/>
    <mergeCell ref="A1372:A1379"/>
    <mergeCell ref="B1372:B1379"/>
    <mergeCell ref="D1372:D1373"/>
    <mergeCell ref="E1372:E1373"/>
    <mergeCell ref="H1372:H1373"/>
    <mergeCell ref="H1374:H1379"/>
    <mergeCell ref="D1376:D1377"/>
    <mergeCell ref="E1376:E1377"/>
    <mergeCell ref="P1358:P1359"/>
    <mergeCell ref="P1360:P1361"/>
    <mergeCell ref="A1352:A1355"/>
    <mergeCell ref="B1352:B1353"/>
    <mergeCell ref="C1352:C1355"/>
    <mergeCell ref="D1352:D1353"/>
    <mergeCell ref="E1352:E1353"/>
    <mergeCell ref="D1384:D1385"/>
    <mergeCell ref="E1384:E1385"/>
    <mergeCell ref="P1384:P1385"/>
    <mergeCell ref="D1378:D1379"/>
    <mergeCell ref="E1378:E1379"/>
    <mergeCell ref="A1380:A1387"/>
    <mergeCell ref="B1380:B1387"/>
    <mergeCell ref="H1382:H1387"/>
    <mergeCell ref="H1358:H1363"/>
    <mergeCell ref="E1366:E1367"/>
    <mergeCell ref="H1366:H1371"/>
    <mergeCell ref="D1370:D1371"/>
    <mergeCell ref="E1370:E1371"/>
    <mergeCell ref="D1354:D1355"/>
    <mergeCell ref="E1354:E1355"/>
    <mergeCell ref="H1354:H1355"/>
    <mergeCell ref="P1354:P1355"/>
    <mergeCell ref="C1348:C1351"/>
    <mergeCell ref="D1394:D1395"/>
    <mergeCell ref="P1420:P1421"/>
    <mergeCell ref="A1408:A1411"/>
    <mergeCell ref="B1408:B1411"/>
    <mergeCell ref="D1408:D1409"/>
    <mergeCell ref="E1408:E1409"/>
    <mergeCell ref="H1408:H1409"/>
    <mergeCell ref="P1408:P1409"/>
    <mergeCell ref="D1410:D1411"/>
    <mergeCell ref="E1410:E1411"/>
    <mergeCell ref="H1410:H1411"/>
    <mergeCell ref="P1410:P1411"/>
    <mergeCell ref="A1412:A1415"/>
    <mergeCell ref="B1412:B1415"/>
    <mergeCell ref="D1412:D1413"/>
    <mergeCell ref="E1412:E1413"/>
    <mergeCell ref="H1412:H1413"/>
    <mergeCell ref="P1412:P1413"/>
    <mergeCell ref="D1414:D1415"/>
    <mergeCell ref="E1414:E1415"/>
    <mergeCell ref="H1414:H1415"/>
    <mergeCell ref="P1414:P1415"/>
    <mergeCell ref="D1418:D1419"/>
    <mergeCell ref="D1416:D1417"/>
    <mergeCell ref="A1416:A1419"/>
    <mergeCell ref="B1416:B1419"/>
    <mergeCell ref="D1398:D1399"/>
    <mergeCell ref="E1398:E1399"/>
    <mergeCell ref="H1398:H1399"/>
    <mergeCell ref="P1398:P1399"/>
    <mergeCell ref="A1400:A1403"/>
    <mergeCell ref="B1400:B1403"/>
    <mergeCell ref="D1400:D1401"/>
    <mergeCell ref="E1400:E1401"/>
    <mergeCell ref="H1400:H1401"/>
    <mergeCell ref="P1400:P1401"/>
    <mergeCell ref="D1420:D1421"/>
    <mergeCell ref="E1420:E1421"/>
    <mergeCell ref="H1420:H1421"/>
    <mergeCell ref="D1402:D1403"/>
    <mergeCell ref="E1402:E1403"/>
    <mergeCell ref="H1402:H1403"/>
    <mergeCell ref="P1402:P1403"/>
    <mergeCell ref="P1404:P1405"/>
    <mergeCell ref="D1406:D1407"/>
    <mergeCell ref="E1406:E1407"/>
    <mergeCell ref="H1418:H1419"/>
    <mergeCell ref="E1418:E1419"/>
    <mergeCell ref="E1416:E1417"/>
    <mergeCell ref="H1416:H1417"/>
    <mergeCell ref="A1404:A1407"/>
    <mergeCell ref="B1404:B1407"/>
    <mergeCell ref="D1404:D1405"/>
    <mergeCell ref="E1404:E1405"/>
    <mergeCell ref="H1404:H1405"/>
    <mergeCell ref="H1406:H1407"/>
    <mergeCell ref="P1406:P1407"/>
    <mergeCell ref="A1396:A1399"/>
    <mergeCell ref="B1396:B1399"/>
    <mergeCell ref="D1396:D1397"/>
    <mergeCell ref="H1394:H1395"/>
    <mergeCell ref="H1346:H1347"/>
    <mergeCell ref="P1277:P1278"/>
    <mergeCell ref="D1277:D1278"/>
    <mergeCell ref="E1267:E1268"/>
    <mergeCell ref="D1327:D1328"/>
    <mergeCell ref="H1273:H1274"/>
    <mergeCell ref="P1285:P1286"/>
    <mergeCell ref="H1279:H1280"/>
    <mergeCell ref="H1283:H1284"/>
    <mergeCell ref="E1279:E1280"/>
    <mergeCell ref="A1327:A1330"/>
    <mergeCell ref="D1317:D1318"/>
    <mergeCell ref="E1317:E1318"/>
    <mergeCell ref="E1315:E1316"/>
    <mergeCell ref="D1368:D1369"/>
    <mergeCell ref="P1273:P1274"/>
    <mergeCell ref="D1309:D1310"/>
    <mergeCell ref="E1307:E1308"/>
    <mergeCell ref="D1294:D1295"/>
    <mergeCell ref="D1269:D1272"/>
    <mergeCell ref="E1269:E1272"/>
    <mergeCell ref="H1269:H1272"/>
    <mergeCell ref="D1296:D1297"/>
    <mergeCell ref="H1296:H1297"/>
    <mergeCell ref="D1319:D1320"/>
    <mergeCell ref="E1319:E1320"/>
    <mergeCell ref="B1315:B1318"/>
    <mergeCell ref="E1309:E1310"/>
    <mergeCell ref="P1311:P1312"/>
    <mergeCell ref="P1335:P1336"/>
    <mergeCell ref="P1337:P1338"/>
    <mergeCell ref="C1337:C1342"/>
    <mergeCell ref="P1319:P1320"/>
    <mergeCell ref="D1331:D1332"/>
    <mergeCell ref="E1331:E1332"/>
    <mergeCell ref="D1329:D1330"/>
    <mergeCell ref="E1327:E1328"/>
    <mergeCell ref="H1329:H1330"/>
    <mergeCell ref="P1327:P1328"/>
    <mergeCell ref="E1323:E1324"/>
    <mergeCell ref="E1329:E1330"/>
    <mergeCell ref="B1337:B1342"/>
    <mergeCell ref="H1319:H1320"/>
    <mergeCell ref="D1311:D1312"/>
    <mergeCell ref="B1323:B1326"/>
    <mergeCell ref="B1327:B1330"/>
    <mergeCell ref="H1301:H1302"/>
    <mergeCell ref="E1294:E1295"/>
    <mergeCell ref="P1315:P1316"/>
    <mergeCell ref="E1325:E1326"/>
    <mergeCell ref="D1321:D1322"/>
    <mergeCell ref="E1321:E1322"/>
    <mergeCell ref="E1277:E1278"/>
    <mergeCell ref="D1325:D1326"/>
    <mergeCell ref="P1339:P1340"/>
    <mergeCell ref="H1337:H1338"/>
    <mergeCell ref="B1311:B1314"/>
    <mergeCell ref="P1292:P1293"/>
    <mergeCell ref="C1288:C1289"/>
    <mergeCell ref="C1281:C1284"/>
    <mergeCell ref="H1317:H1318"/>
    <mergeCell ref="A1337:A1342"/>
    <mergeCell ref="A1331:A1336"/>
    <mergeCell ref="P1333:P1334"/>
    <mergeCell ref="P1374:P1375"/>
    <mergeCell ref="P1331:P1332"/>
    <mergeCell ref="H1275:H1276"/>
    <mergeCell ref="D1279:D1280"/>
    <mergeCell ref="D1283:D1284"/>
    <mergeCell ref="D1275:D1276"/>
    <mergeCell ref="E1275:E1276"/>
    <mergeCell ref="A1311:A1314"/>
    <mergeCell ref="A1288:A1289"/>
    <mergeCell ref="B1151:B1154"/>
    <mergeCell ref="C1151:C1158"/>
    <mergeCell ref="B1176:B1179"/>
    <mergeCell ref="P1265:P1266"/>
    <mergeCell ref="E1230:E1231"/>
    <mergeCell ref="P1192:P1193"/>
    <mergeCell ref="P1190:P1191"/>
    <mergeCell ref="E1224:E1225"/>
    <mergeCell ref="D1182:D1183"/>
    <mergeCell ref="D1200:D1201"/>
    <mergeCell ref="P1182:P1183"/>
    <mergeCell ref="P1174:P1175"/>
    <mergeCell ref="C1216:C1219"/>
    <mergeCell ref="D1216:D1217"/>
    <mergeCell ref="E1216:E1217"/>
    <mergeCell ref="D1218:D1219"/>
    <mergeCell ref="E1218:E1219"/>
    <mergeCell ref="E1172:E1173"/>
    <mergeCell ref="P1172:P1173"/>
    <mergeCell ref="E1167:E1168"/>
    <mergeCell ref="C1259:C1266"/>
    <mergeCell ref="B1259:B1262"/>
    <mergeCell ref="P1294:P1295"/>
    <mergeCell ref="P1296:P1297"/>
    <mergeCell ref="P1288:P1289"/>
    <mergeCell ref="E1301:E1302"/>
    <mergeCell ref="P1254:P1257"/>
    <mergeCell ref="P1250:P1251"/>
    <mergeCell ref="P1252:P1253"/>
    <mergeCell ref="D1178:D1179"/>
    <mergeCell ref="P1236:P1237"/>
    <mergeCell ref="H1176:H1177"/>
    <mergeCell ref="C1248:C1253"/>
    <mergeCell ref="B1248:B1253"/>
    <mergeCell ref="B1228:B1231"/>
    <mergeCell ref="B1180:B1183"/>
    <mergeCell ref="P1194:P1195"/>
    <mergeCell ref="P1208:P1211"/>
    <mergeCell ref="B1204:B1207"/>
    <mergeCell ref="P1198:P1199"/>
    <mergeCell ref="P1321:P1322"/>
    <mergeCell ref="P1325:P1326"/>
    <mergeCell ref="P1329:P1330"/>
    <mergeCell ref="D1333:D1336"/>
    <mergeCell ref="E1333:E1336"/>
    <mergeCell ref="H1333:H1336"/>
    <mergeCell ref="A1344:A1347"/>
    <mergeCell ref="B1344:B1347"/>
    <mergeCell ref="C1344:C1347"/>
    <mergeCell ref="H1159:H1160"/>
    <mergeCell ref="P1176:P1177"/>
    <mergeCell ref="P1178:P1179"/>
    <mergeCell ref="P1238:P1239"/>
    <mergeCell ref="E1151:E1152"/>
    <mergeCell ref="D1151:D1152"/>
    <mergeCell ref="D1390:D1391"/>
    <mergeCell ref="E1390:E1391"/>
    <mergeCell ref="H1390:H1391"/>
    <mergeCell ref="P1390:P1391"/>
    <mergeCell ref="P1372:P1373"/>
    <mergeCell ref="D1374:D1375"/>
    <mergeCell ref="E1374:E1375"/>
    <mergeCell ref="E1339:E1342"/>
    <mergeCell ref="H1339:H1342"/>
    <mergeCell ref="P1267:P1268"/>
    <mergeCell ref="P1269:P1270"/>
    <mergeCell ref="P1271:P1272"/>
    <mergeCell ref="P1299:P1300"/>
    <mergeCell ref="P1301:P1302"/>
    <mergeCell ref="P1305:P1306"/>
    <mergeCell ref="P1259:P1260"/>
    <mergeCell ref="H1196:H1197"/>
    <mergeCell ref="E1220:E1221"/>
    <mergeCell ref="D1184:D1185"/>
    <mergeCell ref="E1184:E1185"/>
    <mergeCell ref="D1246:D1247"/>
    <mergeCell ref="E1246:E1247"/>
    <mergeCell ref="D1244:D1245"/>
    <mergeCell ref="B1236:B1239"/>
    <mergeCell ref="B1212:B1215"/>
    <mergeCell ref="P1184:P1185"/>
    <mergeCell ref="P1186:P1187"/>
    <mergeCell ref="P1224:P1225"/>
    <mergeCell ref="P1226:P1227"/>
    <mergeCell ref="P1228:P1229"/>
    <mergeCell ref="P1230:P1231"/>
    <mergeCell ref="P1232:P1233"/>
    <mergeCell ref="P1234:P1235"/>
    <mergeCell ref="D1222:D1223"/>
    <mergeCell ref="D1190:D1191"/>
    <mergeCell ref="H1244:H1245"/>
    <mergeCell ref="P1240:P1243"/>
    <mergeCell ref="H1311:H1312"/>
    <mergeCell ref="P1220:P1221"/>
    <mergeCell ref="P1222:P1223"/>
    <mergeCell ref="B1208:B1211"/>
    <mergeCell ref="P1317:P1318"/>
    <mergeCell ref="B1216:B1219"/>
    <mergeCell ref="P1263:P1264"/>
    <mergeCell ref="P1261:P1262"/>
    <mergeCell ref="P1303:P1304"/>
    <mergeCell ref="P1307:P1308"/>
    <mergeCell ref="P1202:P1203"/>
    <mergeCell ref="D1248:D1249"/>
    <mergeCell ref="P1382:P1383"/>
    <mergeCell ref="E1368:E1369"/>
    <mergeCell ref="P1368:P1369"/>
    <mergeCell ref="P1370:P1371"/>
    <mergeCell ref="E1344:E1345"/>
    <mergeCell ref="H1344:H1345"/>
    <mergeCell ref="P1344:P1347"/>
    <mergeCell ref="D1346:D1347"/>
    <mergeCell ref="E1346:E1347"/>
    <mergeCell ref="H1313:H1314"/>
    <mergeCell ref="H1327:H1328"/>
    <mergeCell ref="H1323:H1324"/>
    <mergeCell ref="B1319:B1322"/>
    <mergeCell ref="H1285:H1286"/>
    <mergeCell ref="H1325:H1326"/>
    <mergeCell ref="XCY307:XCY308"/>
    <mergeCell ref="XDB307:XDB308"/>
    <mergeCell ref="XDJ307:XDJ308"/>
    <mergeCell ref="XDK307:XDK310"/>
    <mergeCell ref="XDL307:XDL310"/>
    <mergeCell ref="XDN307:XDN308"/>
    <mergeCell ref="XBB307:XBB308"/>
    <mergeCell ref="XBC307:XBC308"/>
    <mergeCell ref="WZR309:WZR310"/>
    <mergeCell ref="WZV309:WZV310"/>
    <mergeCell ref="WZW309:WZW310"/>
    <mergeCell ref="WZZ309:WZZ310"/>
    <mergeCell ref="XAH309:XAH310"/>
    <mergeCell ref="XAL309:XAL310"/>
    <mergeCell ref="XAM309:XAM310"/>
    <mergeCell ref="XDO307:XDO308"/>
    <mergeCell ref="XDR307:XDR308"/>
    <mergeCell ref="XDZ307:XDZ308"/>
    <mergeCell ref="P1153:P1154"/>
    <mergeCell ref="E1155:E1156"/>
    <mergeCell ref="P1157:P1158"/>
    <mergeCell ref="P1159:P1160"/>
    <mergeCell ref="E1299:E1300"/>
    <mergeCell ref="E1296:E1297"/>
    <mergeCell ref="D1303:D1304"/>
    <mergeCell ref="H1288:H1289"/>
    <mergeCell ref="E1240:E1241"/>
    <mergeCell ref="E1244:E1245"/>
    <mergeCell ref="D1202:D1203"/>
    <mergeCell ref="E1202:E1203"/>
    <mergeCell ref="C1212:C1215"/>
    <mergeCell ref="P1248:P1249"/>
    <mergeCell ref="D1273:D1274"/>
    <mergeCell ref="E1190:E1191"/>
    <mergeCell ref="H1172:H1173"/>
    <mergeCell ref="H1180:H1181"/>
    <mergeCell ref="E1180:E1181"/>
    <mergeCell ref="E1198:E1199"/>
    <mergeCell ref="E1163:E1164"/>
    <mergeCell ref="C1208:C1211"/>
    <mergeCell ref="C1190:C1195"/>
    <mergeCell ref="E1174:E1175"/>
    <mergeCell ref="C1167:C1170"/>
    <mergeCell ref="C1228:C1239"/>
    <mergeCell ref="D1208:D1209"/>
    <mergeCell ref="H1174:H1175"/>
    <mergeCell ref="D1232:D1233"/>
    <mergeCell ref="E1232:E1233"/>
    <mergeCell ref="C1196:C1199"/>
    <mergeCell ref="E1161:E1162"/>
    <mergeCell ref="D1259:D1260"/>
    <mergeCell ref="H1281:H1282"/>
    <mergeCell ref="E1200:E1201"/>
    <mergeCell ref="P1163:P1166"/>
    <mergeCell ref="P1167:P1170"/>
    <mergeCell ref="D1196:D1197"/>
    <mergeCell ref="D1176:D1177"/>
    <mergeCell ref="E1176:E1177"/>
    <mergeCell ref="E1196:E1197"/>
    <mergeCell ref="D1206:D1207"/>
    <mergeCell ref="H1202:H1203"/>
    <mergeCell ref="H1214:H1215"/>
    <mergeCell ref="H1186:H1187"/>
    <mergeCell ref="H1165:H1166"/>
    <mergeCell ref="WZT307:WZT310"/>
    <mergeCell ref="WZV307:WZV308"/>
    <mergeCell ref="WZW307:WZW308"/>
    <mergeCell ref="WZZ307:WZZ308"/>
    <mergeCell ref="XAH307:XAH308"/>
    <mergeCell ref="XAI307:XAI310"/>
    <mergeCell ref="XAJ307:XAJ310"/>
    <mergeCell ref="XAL307:XAL308"/>
    <mergeCell ref="XAM307:XAM308"/>
    <mergeCell ref="XAP307:XAP308"/>
    <mergeCell ref="XAX307:XAX308"/>
    <mergeCell ref="XAY307:XAY310"/>
    <mergeCell ref="XAZ307:XAZ310"/>
    <mergeCell ref="WXJ309:WXJ310"/>
    <mergeCell ref="WXK309:WXK310"/>
    <mergeCell ref="WXN309:WXN310"/>
    <mergeCell ref="WXV309:WXV310"/>
    <mergeCell ref="WUH307:WUH308"/>
    <mergeCell ref="XDJ309:XDJ310"/>
    <mergeCell ref="XDN309:XDN310"/>
    <mergeCell ref="XDO309:XDO310"/>
    <mergeCell ref="XDR309:XDR310"/>
    <mergeCell ref="XDZ309:XDZ310"/>
    <mergeCell ref="A356:A359"/>
    <mergeCell ref="B356:B359"/>
    <mergeCell ref="D356:D357"/>
    <mergeCell ref="E356:E357"/>
    <mergeCell ref="H356:H357"/>
    <mergeCell ref="P356:P357"/>
    <mergeCell ref="D358:D359"/>
    <mergeCell ref="E358:E359"/>
    <mergeCell ref="H358:H359"/>
    <mergeCell ref="P358:P359"/>
    <mergeCell ref="C338:C403"/>
    <mergeCell ref="D384:D385"/>
    <mergeCell ref="E384:E385"/>
    <mergeCell ref="H384:H385"/>
    <mergeCell ref="P384:P385"/>
    <mergeCell ref="D386:D387"/>
    <mergeCell ref="WWB307:WWB310"/>
    <mergeCell ref="WWD307:WWD308"/>
    <mergeCell ref="WWE307:WWE308"/>
    <mergeCell ref="WWH307:WWH308"/>
    <mergeCell ref="WWP307:WWP308"/>
    <mergeCell ref="WWQ307:WWQ310"/>
    <mergeCell ref="WWR307:WWR310"/>
    <mergeCell ref="WWT307:WWT308"/>
    <mergeCell ref="WWU307:WWU308"/>
    <mergeCell ref="WWX307:WWX308"/>
    <mergeCell ref="WXF307:WXF308"/>
    <mergeCell ref="WXG307:WXG310"/>
    <mergeCell ref="WXH307:WXH310"/>
    <mergeCell ref="WXJ307:WXJ308"/>
    <mergeCell ref="WXK307:WXK308"/>
    <mergeCell ref="WXN307:WXN308"/>
    <mergeCell ref="WXV307:WXV308"/>
    <mergeCell ref="WWD309:WWD310"/>
    <mergeCell ref="WWE309:WWE310"/>
    <mergeCell ref="WWH309:WWH310"/>
    <mergeCell ref="WWP309:WWP310"/>
    <mergeCell ref="WWT309:WWT310"/>
    <mergeCell ref="WWU309:WWU310"/>
    <mergeCell ref="WWX309:WWX310"/>
    <mergeCell ref="WXF309:WXF310"/>
    <mergeCell ref="XCY309:XCY310"/>
    <mergeCell ref="XDB309:XDB310"/>
    <mergeCell ref="XAP309:XAP310"/>
    <mergeCell ref="XAX309:XAX310"/>
    <mergeCell ref="XBB309:XBB310"/>
    <mergeCell ref="XBC309:XBC310"/>
    <mergeCell ref="WXW307:WXW310"/>
    <mergeCell ref="WXX307:WXX310"/>
    <mergeCell ref="WXZ307:WXZ308"/>
    <mergeCell ref="WYA307:WYA308"/>
    <mergeCell ref="WYD307:WYD308"/>
    <mergeCell ref="WYL307:WYL308"/>
    <mergeCell ref="WYM307:WYM310"/>
    <mergeCell ref="WYN307:WYN310"/>
    <mergeCell ref="WYP307:WYP308"/>
    <mergeCell ref="WYQ307:WYQ308"/>
    <mergeCell ref="WYT307:WYT308"/>
    <mergeCell ref="WZB307:WZB308"/>
    <mergeCell ref="WZC307:WZC310"/>
    <mergeCell ref="WZD307:WZD310"/>
    <mergeCell ref="WZF307:WZF308"/>
    <mergeCell ref="WZG307:WZG308"/>
    <mergeCell ref="WZJ307:WZJ308"/>
    <mergeCell ref="WXZ309:WXZ310"/>
    <mergeCell ref="WYA309:WYA310"/>
    <mergeCell ref="WYD309:WYD310"/>
    <mergeCell ref="WYL309:WYL310"/>
    <mergeCell ref="WYP309:WYP310"/>
    <mergeCell ref="WYQ309:WYQ310"/>
    <mergeCell ref="WYT309:WYT310"/>
    <mergeCell ref="WZB309:WZB310"/>
    <mergeCell ref="WZF309:WZF310"/>
    <mergeCell ref="WZG309:WZG310"/>
    <mergeCell ref="WZJ309:WZJ310"/>
    <mergeCell ref="XBF307:XBF308"/>
    <mergeCell ref="XBN307:XBN308"/>
    <mergeCell ref="XBO307:XBO310"/>
    <mergeCell ref="XBP307:XBP310"/>
    <mergeCell ref="XBR307:XBR308"/>
    <mergeCell ref="XBS307:XBS308"/>
    <mergeCell ref="XBV307:XBV308"/>
    <mergeCell ref="XCD307:XCD308"/>
    <mergeCell ref="XCE307:XCE310"/>
    <mergeCell ref="XCF307:XCF310"/>
    <mergeCell ref="XCH307:XCH308"/>
    <mergeCell ref="XCI307:XCI308"/>
    <mergeCell ref="XCL307:XCL308"/>
    <mergeCell ref="XCT307:XCT308"/>
    <mergeCell ref="XCU307:XCU310"/>
    <mergeCell ref="XCV307:XCV310"/>
    <mergeCell ref="XCX307:XCX308"/>
    <mergeCell ref="XBF309:XBF310"/>
    <mergeCell ref="XBN309:XBN310"/>
    <mergeCell ref="XBR309:XBR310"/>
    <mergeCell ref="XBS309:XBS310"/>
    <mergeCell ref="XBV309:XBV310"/>
    <mergeCell ref="XCD309:XCD310"/>
    <mergeCell ref="XCH309:XCH310"/>
    <mergeCell ref="XCI309:XCI310"/>
    <mergeCell ref="XCL309:XCL310"/>
    <mergeCell ref="XCT309:XCT310"/>
    <mergeCell ref="XCX309:XCX310"/>
    <mergeCell ref="WZR307:WZR308"/>
    <mergeCell ref="WZS307:WZS310"/>
    <mergeCell ref="WUI307:WUI308"/>
    <mergeCell ref="WUL307:WUL308"/>
    <mergeCell ref="WUT307:WUT308"/>
    <mergeCell ref="WUU307:WUU310"/>
    <mergeCell ref="WUV307:WUV310"/>
    <mergeCell ref="WUX307:WUX308"/>
    <mergeCell ref="WUY307:WUY308"/>
    <mergeCell ref="WVB307:WVB308"/>
    <mergeCell ref="WVJ307:WVJ308"/>
    <mergeCell ref="WVK307:WVK310"/>
    <mergeCell ref="WVL307:WVL310"/>
    <mergeCell ref="WVN307:WVN308"/>
    <mergeCell ref="WVO307:WVO308"/>
    <mergeCell ref="WVR307:WVR308"/>
    <mergeCell ref="WVZ307:WVZ308"/>
    <mergeCell ref="WWA307:WWA310"/>
    <mergeCell ref="WUH309:WUH310"/>
    <mergeCell ref="WUI309:WUI310"/>
    <mergeCell ref="WUL309:WUL310"/>
    <mergeCell ref="WUT309:WUT310"/>
    <mergeCell ref="WUX309:WUX310"/>
    <mergeCell ref="WUY309:WUY310"/>
    <mergeCell ref="WVB309:WVB310"/>
    <mergeCell ref="WVJ309:WVJ310"/>
    <mergeCell ref="WVN309:WVN310"/>
    <mergeCell ref="WVO309:WVO310"/>
    <mergeCell ref="WVR309:WVR310"/>
    <mergeCell ref="WVZ309:WVZ310"/>
    <mergeCell ref="WSM307:WSM308"/>
    <mergeCell ref="WSP307:WSP308"/>
    <mergeCell ref="WSX307:WSX308"/>
    <mergeCell ref="WSY307:WSY310"/>
    <mergeCell ref="WSZ307:WSZ310"/>
    <mergeCell ref="WTB307:WTB308"/>
    <mergeCell ref="WTC307:WTC308"/>
    <mergeCell ref="WTF307:WTF308"/>
    <mergeCell ref="WTN307:WTN308"/>
    <mergeCell ref="WTO307:WTO310"/>
    <mergeCell ref="WTP307:WTP310"/>
    <mergeCell ref="WTR307:WTR308"/>
    <mergeCell ref="WTS307:WTS308"/>
    <mergeCell ref="WTV307:WTV308"/>
    <mergeCell ref="WUD307:WUD308"/>
    <mergeCell ref="WUE307:WUE310"/>
    <mergeCell ref="WUF307:WUF310"/>
    <mergeCell ref="WSM309:WSM310"/>
    <mergeCell ref="WSP309:WSP310"/>
    <mergeCell ref="WSX309:WSX310"/>
    <mergeCell ref="WTB309:WTB310"/>
    <mergeCell ref="WTC309:WTC310"/>
    <mergeCell ref="WTF309:WTF310"/>
    <mergeCell ref="WTN309:WTN310"/>
    <mergeCell ref="WTR309:WTR310"/>
    <mergeCell ref="WTS309:WTS310"/>
    <mergeCell ref="WTV309:WTV310"/>
    <mergeCell ref="WUD309:WUD310"/>
    <mergeCell ref="WQT307:WQT308"/>
    <mergeCell ref="WRB307:WRB308"/>
    <mergeCell ref="WRC307:WRC310"/>
    <mergeCell ref="WRD307:WRD310"/>
    <mergeCell ref="WRF307:WRF308"/>
    <mergeCell ref="WRG307:WRG308"/>
    <mergeCell ref="WRJ307:WRJ308"/>
    <mergeCell ref="WRR307:WRR308"/>
    <mergeCell ref="WRS307:WRS310"/>
    <mergeCell ref="WRT307:WRT310"/>
    <mergeCell ref="WRV307:WRV308"/>
    <mergeCell ref="WRW307:WRW308"/>
    <mergeCell ref="WRZ307:WRZ308"/>
    <mergeCell ref="WSH307:WSH308"/>
    <mergeCell ref="WSI307:WSI310"/>
    <mergeCell ref="WSJ307:WSJ310"/>
    <mergeCell ref="WSL307:WSL308"/>
    <mergeCell ref="WQT309:WQT310"/>
    <mergeCell ref="WRB309:WRB310"/>
    <mergeCell ref="WRF309:WRF310"/>
    <mergeCell ref="WRG309:WRG310"/>
    <mergeCell ref="WRJ309:WRJ310"/>
    <mergeCell ref="WRR309:WRR310"/>
    <mergeCell ref="WRV309:WRV310"/>
    <mergeCell ref="WRW309:WRW310"/>
    <mergeCell ref="WRZ309:WRZ310"/>
    <mergeCell ref="WSH309:WSH310"/>
    <mergeCell ref="WSL309:WSL310"/>
    <mergeCell ref="WPF307:WPF308"/>
    <mergeCell ref="WPG307:WPG310"/>
    <mergeCell ref="WPH307:WPH310"/>
    <mergeCell ref="WPJ307:WPJ308"/>
    <mergeCell ref="WPK307:WPK308"/>
    <mergeCell ref="WPN307:WPN308"/>
    <mergeCell ref="WPV307:WPV308"/>
    <mergeCell ref="WPW307:WPW310"/>
    <mergeCell ref="WPX307:WPX310"/>
    <mergeCell ref="WPZ307:WPZ308"/>
    <mergeCell ref="WQA307:WQA308"/>
    <mergeCell ref="WQD307:WQD308"/>
    <mergeCell ref="WQL307:WQL308"/>
    <mergeCell ref="WQM307:WQM310"/>
    <mergeCell ref="WQN307:WQN310"/>
    <mergeCell ref="WQP307:WQP308"/>
    <mergeCell ref="WQQ307:WQQ308"/>
    <mergeCell ref="WPF309:WPF310"/>
    <mergeCell ref="WPJ309:WPJ310"/>
    <mergeCell ref="WPK309:WPK310"/>
    <mergeCell ref="WPN309:WPN310"/>
    <mergeCell ref="WPV309:WPV310"/>
    <mergeCell ref="WPZ309:WPZ310"/>
    <mergeCell ref="WQA309:WQA310"/>
    <mergeCell ref="WQD309:WQD310"/>
    <mergeCell ref="WQL309:WQL310"/>
    <mergeCell ref="WQP309:WQP310"/>
    <mergeCell ref="WQQ309:WQQ310"/>
    <mergeCell ref="WNK307:WNK310"/>
    <mergeCell ref="WNL307:WNL310"/>
    <mergeCell ref="WNN307:WNN308"/>
    <mergeCell ref="WNO307:WNO308"/>
    <mergeCell ref="WNR307:WNR308"/>
    <mergeCell ref="WNZ307:WNZ308"/>
    <mergeCell ref="WOA307:WOA310"/>
    <mergeCell ref="WOB307:WOB310"/>
    <mergeCell ref="WOD307:WOD308"/>
    <mergeCell ref="WOE307:WOE308"/>
    <mergeCell ref="WOH307:WOH308"/>
    <mergeCell ref="WOP307:WOP308"/>
    <mergeCell ref="WOQ307:WOQ310"/>
    <mergeCell ref="WOR307:WOR310"/>
    <mergeCell ref="WOT307:WOT308"/>
    <mergeCell ref="WOU307:WOU308"/>
    <mergeCell ref="WOX307:WOX308"/>
    <mergeCell ref="WNN309:WNN310"/>
    <mergeCell ref="WNO309:WNO310"/>
    <mergeCell ref="WNR309:WNR310"/>
    <mergeCell ref="WNZ309:WNZ310"/>
    <mergeCell ref="WOD309:WOD310"/>
    <mergeCell ref="WOE309:WOE310"/>
    <mergeCell ref="WOH309:WOH310"/>
    <mergeCell ref="WOP309:WOP310"/>
    <mergeCell ref="WOT309:WOT310"/>
    <mergeCell ref="WOU309:WOU310"/>
    <mergeCell ref="WOX309:WOX310"/>
    <mergeCell ref="WLP307:WLP310"/>
    <mergeCell ref="WLR307:WLR308"/>
    <mergeCell ref="WLS307:WLS308"/>
    <mergeCell ref="WLV307:WLV308"/>
    <mergeCell ref="WMD307:WMD308"/>
    <mergeCell ref="WME307:WME310"/>
    <mergeCell ref="WMF307:WMF310"/>
    <mergeCell ref="WMH307:WMH308"/>
    <mergeCell ref="WMI307:WMI308"/>
    <mergeCell ref="WML307:WML308"/>
    <mergeCell ref="WMT307:WMT308"/>
    <mergeCell ref="WMU307:WMU310"/>
    <mergeCell ref="WMV307:WMV310"/>
    <mergeCell ref="WMX307:WMX308"/>
    <mergeCell ref="WMY307:WMY308"/>
    <mergeCell ref="WNB307:WNB308"/>
    <mergeCell ref="WNJ307:WNJ308"/>
    <mergeCell ref="WLR309:WLR310"/>
    <mergeCell ref="WLS309:WLS310"/>
    <mergeCell ref="WLV309:WLV310"/>
    <mergeCell ref="WMD309:WMD310"/>
    <mergeCell ref="WMH309:WMH310"/>
    <mergeCell ref="WMI309:WMI310"/>
    <mergeCell ref="WML309:WML310"/>
    <mergeCell ref="WMT309:WMT310"/>
    <mergeCell ref="WMX309:WMX310"/>
    <mergeCell ref="WMY309:WMY310"/>
    <mergeCell ref="WNB309:WNB310"/>
    <mergeCell ref="WNJ309:WNJ310"/>
    <mergeCell ref="WJV307:WJV308"/>
    <mergeCell ref="WJW307:WJW308"/>
    <mergeCell ref="WJZ307:WJZ308"/>
    <mergeCell ref="WKH307:WKH308"/>
    <mergeCell ref="WKI307:WKI310"/>
    <mergeCell ref="WKJ307:WKJ310"/>
    <mergeCell ref="WKL307:WKL308"/>
    <mergeCell ref="WKM307:WKM308"/>
    <mergeCell ref="WKP307:WKP308"/>
    <mergeCell ref="WKX307:WKX308"/>
    <mergeCell ref="WKY307:WKY310"/>
    <mergeCell ref="WKZ307:WKZ310"/>
    <mergeCell ref="WLB307:WLB308"/>
    <mergeCell ref="WLC307:WLC308"/>
    <mergeCell ref="WLF307:WLF308"/>
    <mergeCell ref="WLN307:WLN308"/>
    <mergeCell ref="WLO307:WLO310"/>
    <mergeCell ref="WJV309:WJV310"/>
    <mergeCell ref="WJW309:WJW310"/>
    <mergeCell ref="WJZ309:WJZ310"/>
    <mergeCell ref="WKH309:WKH310"/>
    <mergeCell ref="WKL309:WKL310"/>
    <mergeCell ref="WKM309:WKM310"/>
    <mergeCell ref="WKP309:WKP310"/>
    <mergeCell ref="WKX309:WKX310"/>
    <mergeCell ref="WLB309:WLB310"/>
    <mergeCell ref="WLC309:WLC310"/>
    <mergeCell ref="WLF309:WLF310"/>
    <mergeCell ref="WLN309:WLN310"/>
    <mergeCell ref="WIA307:WIA308"/>
    <mergeCell ref="WID307:WID308"/>
    <mergeCell ref="WIL307:WIL308"/>
    <mergeCell ref="WIM307:WIM310"/>
    <mergeCell ref="WIN307:WIN310"/>
    <mergeCell ref="WIP307:WIP308"/>
    <mergeCell ref="WIQ307:WIQ308"/>
    <mergeCell ref="WIT307:WIT308"/>
    <mergeCell ref="WJB307:WJB308"/>
    <mergeCell ref="WJC307:WJC310"/>
    <mergeCell ref="WJD307:WJD310"/>
    <mergeCell ref="WJF307:WJF308"/>
    <mergeCell ref="WJG307:WJG308"/>
    <mergeCell ref="WJJ307:WJJ308"/>
    <mergeCell ref="WJR307:WJR308"/>
    <mergeCell ref="WJS307:WJS310"/>
    <mergeCell ref="WJT307:WJT310"/>
    <mergeCell ref="WIA309:WIA310"/>
    <mergeCell ref="WID309:WID310"/>
    <mergeCell ref="WIL309:WIL310"/>
    <mergeCell ref="WIP309:WIP310"/>
    <mergeCell ref="WIQ309:WIQ310"/>
    <mergeCell ref="WIT309:WIT310"/>
    <mergeCell ref="WJB309:WJB310"/>
    <mergeCell ref="WJF309:WJF310"/>
    <mergeCell ref="WJG309:WJG310"/>
    <mergeCell ref="WJJ309:WJJ310"/>
    <mergeCell ref="WJR309:WJR310"/>
    <mergeCell ref="WGH307:WGH308"/>
    <mergeCell ref="WGP307:WGP308"/>
    <mergeCell ref="WGQ307:WGQ310"/>
    <mergeCell ref="WGR307:WGR310"/>
    <mergeCell ref="WGT307:WGT308"/>
    <mergeCell ref="WGU307:WGU308"/>
    <mergeCell ref="WGX307:WGX308"/>
    <mergeCell ref="WHF307:WHF308"/>
    <mergeCell ref="WHG307:WHG310"/>
    <mergeCell ref="WHH307:WHH310"/>
    <mergeCell ref="WHJ307:WHJ308"/>
    <mergeCell ref="WHK307:WHK308"/>
    <mergeCell ref="WHN307:WHN308"/>
    <mergeCell ref="WHV307:WHV308"/>
    <mergeCell ref="WHW307:WHW310"/>
    <mergeCell ref="WHX307:WHX310"/>
    <mergeCell ref="WHZ307:WHZ308"/>
    <mergeCell ref="WGH309:WGH310"/>
    <mergeCell ref="WGP309:WGP310"/>
    <mergeCell ref="WGT309:WGT310"/>
    <mergeCell ref="WGU309:WGU310"/>
    <mergeCell ref="WGX309:WGX310"/>
    <mergeCell ref="WHF309:WHF310"/>
    <mergeCell ref="WHJ309:WHJ310"/>
    <mergeCell ref="WHK309:WHK310"/>
    <mergeCell ref="WHN309:WHN310"/>
    <mergeCell ref="WHV309:WHV310"/>
    <mergeCell ref="WHZ309:WHZ310"/>
    <mergeCell ref="WET307:WET308"/>
    <mergeCell ref="WEU307:WEU310"/>
    <mergeCell ref="WEV307:WEV310"/>
    <mergeCell ref="WEX307:WEX308"/>
    <mergeCell ref="WEY307:WEY308"/>
    <mergeCell ref="WFB307:WFB308"/>
    <mergeCell ref="WFJ307:WFJ308"/>
    <mergeCell ref="WFK307:WFK310"/>
    <mergeCell ref="WFL307:WFL310"/>
    <mergeCell ref="WFN307:WFN308"/>
    <mergeCell ref="WFO307:WFO308"/>
    <mergeCell ref="WFR307:WFR308"/>
    <mergeCell ref="WFZ307:WFZ308"/>
    <mergeCell ref="WGA307:WGA310"/>
    <mergeCell ref="WGB307:WGB310"/>
    <mergeCell ref="WGD307:WGD308"/>
    <mergeCell ref="WGE307:WGE308"/>
    <mergeCell ref="WET309:WET310"/>
    <mergeCell ref="WEX309:WEX310"/>
    <mergeCell ref="WEY309:WEY310"/>
    <mergeCell ref="WFB309:WFB310"/>
    <mergeCell ref="WFJ309:WFJ310"/>
    <mergeCell ref="WFN309:WFN310"/>
    <mergeCell ref="WFO309:WFO310"/>
    <mergeCell ref="WFR309:WFR310"/>
    <mergeCell ref="WFZ309:WFZ310"/>
    <mergeCell ref="WGD309:WGD310"/>
    <mergeCell ref="WGE309:WGE310"/>
    <mergeCell ref="WCY307:WCY310"/>
    <mergeCell ref="WCZ307:WCZ310"/>
    <mergeCell ref="WDB307:WDB308"/>
    <mergeCell ref="WDC307:WDC308"/>
    <mergeCell ref="WDF307:WDF308"/>
    <mergeCell ref="WDN307:WDN308"/>
    <mergeCell ref="WDO307:WDO310"/>
    <mergeCell ref="WDP307:WDP310"/>
    <mergeCell ref="WDR307:WDR308"/>
    <mergeCell ref="WDS307:WDS308"/>
    <mergeCell ref="WDV307:WDV308"/>
    <mergeCell ref="WED307:WED308"/>
    <mergeCell ref="WEE307:WEE310"/>
    <mergeCell ref="WEF307:WEF310"/>
    <mergeCell ref="WEH307:WEH308"/>
    <mergeCell ref="WEI307:WEI308"/>
    <mergeCell ref="WEL307:WEL308"/>
    <mergeCell ref="WDB309:WDB310"/>
    <mergeCell ref="WDC309:WDC310"/>
    <mergeCell ref="WDF309:WDF310"/>
    <mergeCell ref="WDN309:WDN310"/>
    <mergeCell ref="WDR309:WDR310"/>
    <mergeCell ref="WDS309:WDS310"/>
    <mergeCell ref="WDV309:WDV310"/>
    <mergeCell ref="WED309:WED310"/>
    <mergeCell ref="WEH309:WEH310"/>
    <mergeCell ref="WEI309:WEI310"/>
    <mergeCell ref="WEL309:WEL310"/>
    <mergeCell ref="WBD307:WBD310"/>
    <mergeCell ref="WBF307:WBF308"/>
    <mergeCell ref="WBG307:WBG308"/>
    <mergeCell ref="WBJ307:WBJ308"/>
    <mergeCell ref="WBR307:WBR308"/>
    <mergeCell ref="WBS307:WBS310"/>
    <mergeCell ref="WBT307:WBT310"/>
    <mergeCell ref="WBV307:WBV308"/>
    <mergeCell ref="WBW307:WBW308"/>
    <mergeCell ref="WBZ307:WBZ308"/>
    <mergeCell ref="WCH307:WCH308"/>
    <mergeCell ref="WCI307:WCI310"/>
    <mergeCell ref="WCJ307:WCJ310"/>
    <mergeCell ref="WCL307:WCL308"/>
    <mergeCell ref="WCM307:WCM308"/>
    <mergeCell ref="WCP307:WCP308"/>
    <mergeCell ref="WCX307:WCX308"/>
    <mergeCell ref="WBF309:WBF310"/>
    <mergeCell ref="WBG309:WBG310"/>
    <mergeCell ref="WBJ309:WBJ310"/>
    <mergeCell ref="WBR309:WBR310"/>
    <mergeCell ref="WBV309:WBV310"/>
    <mergeCell ref="WBW309:WBW310"/>
    <mergeCell ref="WBZ309:WBZ310"/>
    <mergeCell ref="WCH309:WCH310"/>
    <mergeCell ref="WCL309:WCL310"/>
    <mergeCell ref="WCM309:WCM310"/>
    <mergeCell ref="WCP309:WCP310"/>
    <mergeCell ref="WCX309:WCX310"/>
    <mergeCell ref="VZJ307:VZJ308"/>
    <mergeCell ref="VZK307:VZK308"/>
    <mergeCell ref="VZN307:VZN308"/>
    <mergeCell ref="VZV307:VZV308"/>
    <mergeCell ref="VZW307:VZW310"/>
    <mergeCell ref="VZX307:VZX310"/>
    <mergeCell ref="VZZ307:VZZ308"/>
    <mergeCell ref="WAA307:WAA308"/>
    <mergeCell ref="WAD307:WAD308"/>
    <mergeCell ref="WAL307:WAL308"/>
    <mergeCell ref="WAM307:WAM310"/>
    <mergeCell ref="WAN307:WAN310"/>
    <mergeCell ref="WAP307:WAP308"/>
    <mergeCell ref="WAQ307:WAQ308"/>
    <mergeCell ref="WAT307:WAT308"/>
    <mergeCell ref="WBB307:WBB308"/>
    <mergeCell ref="WBC307:WBC310"/>
    <mergeCell ref="VZJ309:VZJ310"/>
    <mergeCell ref="VZK309:VZK310"/>
    <mergeCell ref="VZN309:VZN310"/>
    <mergeCell ref="VZV309:VZV310"/>
    <mergeCell ref="VZZ309:VZZ310"/>
    <mergeCell ref="WAA309:WAA310"/>
    <mergeCell ref="WAD309:WAD310"/>
    <mergeCell ref="WAL309:WAL310"/>
    <mergeCell ref="WAP309:WAP310"/>
    <mergeCell ref="WAQ309:WAQ310"/>
    <mergeCell ref="WAT309:WAT310"/>
    <mergeCell ref="WBB309:WBB310"/>
    <mergeCell ref="VXO307:VXO308"/>
    <mergeCell ref="VXR307:VXR308"/>
    <mergeCell ref="VXZ307:VXZ308"/>
    <mergeCell ref="VYA307:VYA310"/>
    <mergeCell ref="VYB307:VYB310"/>
    <mergeCell ref="VYD307:VYD308"/>
    <mergeCell ref="VYE307:VYE308"/>
    <mergeCell ref="VYH307:VYH308"/>
    <mergeCell ref="VYP307:VYP308"/>
    <mergeCell ref="VYQ307:VYQ310"/>
    <mergeCell ref="VYR307:VYR310"/>
    <mergeCell ref="VYT307:VYT308"/>
    <mergeCell ref="VYU307:VYU308"/>
    <mergeCell ref="VYX307:VYX308"/>
    <mergeCell ref="VZF307:VZF308"/>
    <mergeCell ref="VZG307:VZG310"/>
    <mergeCell ref="VZH307:VZH310"/>
    <mergeCell ref="VXO309:VXO310"/>
    <mergeCell ref="VXR309:VXR310"/>
    <mergeCell ref="VXZ309:VXZ310"/>
    <mergeCell ref="VYD309:VYD310"/>
    <mergeCell ref="VYE309:VYE310"/>
    <mergeCell ref="VYH309:VYH310"/>
    <mergeCell ref="VYP309:VYP310"/>
    <mergeCell ref="VYT309:VYT310"/>
    <mergeCell ref="VYU309:VYU310"/>
    <mergeCell ref="VYX309:VYX310"/>
    <mergeCell ref="VZF309:VZF310"/>
    <mergeCell ref="VVV307:VVV308"/>
    <mergeCell ref="VWD307:VWD308"/>
    <mergeCell ref="VWE307:VWE310"/>
    <mergeCell ref="VWF307:VWF310"/>
    <mergeCell ref="VWH307:VWH308"/>
    <mergeCell ref="VWI307:VWI308"/>
    <mergeCell ref="VWL307:VWL308"/>
    <mergeCell ref="VWT307:VWT308"/>
    <mergeCell ref="VWU307:VWU310"/>
    <mergeCell ref="VWV307:VWV310"/>
    <mergeCell ref="VWX307:VWX308"/>
    <mergeCell ref="VWY307:VWY308"/>
    <mergeCell ref="VXB307:VXB308"/>
    <mergeCell ref="VXJ307:VXJ308"/>
    <mergeCell ref="VXK307:VXK310"/>
    <mergeCell ref="VXL307:VXL310"/>
    <mergeCell ref="VXN307:VXN308"/>
    <mergeCell ref="VVV309:VVV310"/>
    <mergeCell ref="VWD309:VWD310"/>
    <mergeCell ref="VWH309:VWH310"/>
    <mergeCell ref="VWI309:VWI310"/>
    <mergeCell ref="VWL309:VWL310"/>
    <mergeCell ref="VWT309:VWT310"/>
    <mergeCell ref="VWX309:VWX310"/>
    <mergeCell ref="VWY309:VWY310"/>
    <mergeCell ref="VXB309:VXB310"/>
    <mergeCell ref="VXJ309:VXJ310"/>
    <mergeCell ref="VXN309:VXN310"/>
    <mergeCell ref="VUH307:VUH308"/>
    <mergeCell ref="VUI307:VUI310"/>
    <mergeCell ref="VUJ307:VUJ310"/>
    <mergeCell ref="VUL307:VUL308"/>
    <mergeCell ref="VUM307:VUM308"/>
    <mergeCell ref="VUP307:VUP308"/>
    <mergeCell ref="VUX307:VUX308"/>
    <mergeCell ref="VUY307:VUY310"/>
    <mergeCell ref="VUZ307:VUZ310"/>
    <mergeCell ref="VVB307:VVB308"/>
    <mergeCell ref="VVC307:VVC308"/>
    <mergeCell ref="VVF307:VVF308"/>
    <mergeCell ref="VVN307:VVN308"/>
    <mergeCell ref="VVO307:VVO310"/>
    <mergeCell ref="VVP307:VVP310"/>
    <mergeCell ref="VVR307:VVR308"/>
    <mergeCell ref="VVS307:VVS308"/>
    <mergeCell ref="VUH309:VUH310"/>
    <mergeCell ref="VUL309:VUL310"/>
    <mergeCell ref="VUM309:VUM310"/>
    <mergeCell ref="VUP309:VUP310"/>
    <mergeCell ref="VUX309:VUX310"/>
    <mergeCell ref="VVB309:VVB310"/>
    <mergeCell ref="VVC309:VVC310"/>
    <mergeCell ref="VVF309:VVF310"/>
    <mergeCell ref="VVN309:VVN310"/>
    <mergeCell ref="VVR309:VVR310"/>
    <mergeCell ref="VVS309:VVS310"/>
    <mergeCell ref="VSM307:VSM310"/>
    <mergeCell ref="VSN307:VSN310"/>
    <mergeCell ref="VSP307:VSP308"/>
    <mergeCell ref="VSQ307:VSQ308"/>
    <mergeCell ref="VST307:VST308"/>
    <mergeCell ref="VTB307:VTB308"/>
    <mergeCell ref="VTC307:VTC310"/>
    <mergeCell ref="VTD307:VTD310"/>
    <mergeCell ref="VTF307:VTF308"/>
    <mergeCell ref="VTG307:VTG308"/>
    <mergeCell ref="VTJ307:VTJ308"/>
    <mergeCell ref="VTR307:VTR308"/>
    <mergeCell ref="VTS307:VTS310"/>
    <mergeCell ref="VTT307:VTT310"/>
    <mergeCell ref="VTV307:VTV308"/>
    <mergeCell ref="VTW307:VTW308"/>
    <mergeCell ref="VTZ307:VTZ308"/>
    <mergeCell ref="VSP309:VSP310"/>
    <mergeCell ref="VSQ309:VSQ310"/>
    <mergeCell ref="VST309:VST310"/>
    <mergeCell ref="VTB309:VTB310"/>
    <mergeCell ref="VTF309:VTF310"/>
    <mergeCell ref="VTG309:VTG310"/>
    <mergeCell ref="VTJ309:VTJ310"/>
    <mergeCell ref="VTR309:VTR310"/>
    <mergeCell ref="VTV309:VTV310"/>
    <mergeCell ref="VTW309:VTW310"/>
    <mergeCell ref="VTZ309:VTZ310"/>
    <mergeCell ref="VQR307:VQR310"/>
    <mergeCell ref="VQT307:VQT308"/>
    <mergeCell ref="VQU307:VQU308"/>
    <mergeCell ref="VQX307:VQX308"/>
    <mergeCell ref="VRF307:VRF308"/>
    <mergeCell ref="VRG307:VRG310"/>
    <mergeCell ref="VRH307:VRH310"/>
    <mergeCell ref="VRJ307:VRJ308"/>
    <mergeCell ref="VRK307:VRK308"/>
    <mergeCell ref="VRN307:VRN308"/>
    <mergeCell ref="VRV307:VRV308"/>
    <mergeCell ref="VRW307:VRW310"/>
    <mergeCell ref="VRX307:VRX310"/>
    <mergeCell ref="VRZ307:VRZ308"/>
    <mergeCell ref="VSA307:VSA308"/>
    <mergeCell ref="VSD307:VSD308"/>
    <mergeCell ref="VSL307:VSL308"/>
    <mergeCell ref="VQT309:VQT310"/>
    <mergeCell ref="VQU309:VQU310"/>
    <mergeCell ref="VQX309:VQX310"/>
    <mergeCell ref="VRF309:VRF310"/>
    <mergeCell ref="VRJ309:VRJ310"/>
    <mergeCell ref="VRK309:VRK310"/>
    <mergeCell ref="VRN309:VRN310"/>
    <mergeCell ref="VRV309:VRV310"/>
    <mergeCell ref="VRZ309:VRZ310"/>
    <mergeCell ref="VSA309:VSA310"/>
    <mergeCell ref="VSD309:VSD310"/>
    <mergeCell ref="VSL309:VSL310"/>
    <mergeCell ref="VOX307:VOX308"/>
    <mergeCell ref="VOY307:VOY308"/>
    <mergeCell ref="VPB307:VPB308"/>
    <mergeCell ref="VPJ307:VPJ308"/>
    <mergeCell ref="VPK307:VPK310"/>
    <mergeCell ref="VPL307:VPL310"/>
    <mergeCell ref="VPN307:VPN308"/>
    <mergeCell ref="VPO307:VPO308"/>
    <mergeCell ref="VPR307:VPR308"/>
    <mergeCell ref="VPZ307:VPZ308"/>
    <mergeCell ref="VQA307:VQA310"/>
    <mergeCell ref="VQB307:VQB310"/>
    <mergeCell ref="VQD307:VQD308"/>
    <mergeCell ref="VQE307:VQE308"/>
    <mergeCell ref="VQH307:VQH308"/>
    <mergeCell ref="VQP307:VQP308"/>
    <mergeCell ref="VQQ307:VQQ310"/>
    <mergeCell ref="VOX309:VOX310"/>
    <mergeCell ref="VOY309:VOY310"/>
    <mergeCell ref="VPB309:VPB310"/>
    <mergeCell ref="VPJ309:VPJ310"/>
    <mergeCell ref="VPN309:VPN310"/>
    <mergeCell ref="VPO309:VPO310"/>
    <mergeCell ref="VPR309:VPR310"/>
    <mergeCell ref="VPZ309:VPZ310"/>
    <mergeCell ref="VQD309:VQD310"/>
    <mergeCell ref="VQE309:VQE310"/>
    <mergeCell ref="VQH309:VQH310"/>
    <mergeCell ref="VQP309:VQP310"/>
    <mergeCell ref="VNC307:VNC308"/>
    <mergeCell ref="VNF307:VNF308"/>
    <mergeCell ref="VNN307:VNN308"/>
    <mergeCell ref="VNO307:VNO310"/>
    <mergeCell ref="VNP307:VNP310"/>
    <mergeCell ref="VNR307:VNR308"/>
    <mergeCell ref="VNS307:VNS308"/>
    <mergeCell ref="VNV307:VNV308"/>
    <mergeCell ref="VOD307:VOD308"/>
    <mergeCell ref="VOE307:VOE310"/>
    <mergeCell ref="VOF307:VOF310"/>
    <mergeCell ref="VOH307:VOH308"/>
    <mergeCell ref="VOI307:VOI308"/>
    <mergeCell ref="VOL307:VOL308"/>
    <mergeCell ref="VOT307:VOT308"/>
    <mergeCell ref="VOU307:VOU310"/>
    <mergeCell ref="VOV307:VOV310"/>
    <mergeCell ref="VNC309:VNC310"/>
    <mergeCell ref="VNF309:VNF310"/>
    <mergeCell ref="VNN309:VNN310"/>
    <mergeCell ref="VNR309:VNR310"/>
    <mergeCell ref="VNS309:VNS310"/>
    <mergeCell ref="VNV309:VNV310"/>
    <mergeCell ref="VOD309:VOD310"/>
    <mergeCell ref="VOH309:VOH310"/>
    <mergeCell ref="VOI309:VOI310"/>
    <mergeCell ref="VOL309:VOL310"/>
    <mergeCell ref="VOT309:VOT310"/>
    <mergeCell ref="VLJ307:VLJ308"/>
    <mergeCell ref="VLR307:VLR308"/>
    <mergeCell ref="VLS307:VLS310"/>
    <mergeCell ref="VLT307:VLT310"/>
    <mergeCell ref="VLV307:VLV308"/>
    <mergeCell ref="VLW307:VLW308"/>
    <mergeCell ref="VLZ307:VLZ308"/>
    <mergeCell ref="VMH307:VMH308"/>
    <mergeCell ref="VMI307:VMI310"/>
    <mergeCell ref="VMJ307:VMJ310"/>
    <mergeCell ref="VML307:VML308"/>
    <mergeCell ref="VMM307:VMM308"/>
    <mergeCell ref="VMP307:VMP308"/>
    <mergeCell ref="VMX307:VMX308"/>
    <mergeCell ref="VMY307:VMY310"/>
    <mergeCell ref="VMZ307:VMZ310"/>
    <mergeCell ref="VNB307:VNB308"/>
    <mergeCell ref="VLJ309:VLJ310"/>
    <mergeCell ref="VLR309:VLR310"/>
    <mergeCell ref="VLV309:VLV310"/>
    <mergeCell ref="VLW309:VLW310"/>
    <mergeCell ref="VLZ309:VLZ310"/>
    <mergeCell ref="VMH309:VMH310"/>
    <mergeCell ref="VML309:VML310"/>
    <mergeCell ref="VMM309:VMM310"/>
    <mergeCell ref="VMP309:VMP310"/>
    <mergeCell ref="VMX309:VMX310"/>
    <mergeCell ref="VNB309:VNB310"/>
    <mergeCell ref="VJV307:VJV308"/>
    <mergeCell ref="VJW307:VJW310"/>
    <mergeCell ref="VJX307:VJX310"/>
    <mergeCell ref="VJZ307:VJZ308"/>
    <mergeCell ref="VKA307:VKA308"/>
    <mergeCell ref="VKD307:VKD308"/>
    <mergeCell ref="VKL307:VKL308"/>
    <mergeCell ref="VKM307:VKM310"/>
    <mergeCell ref="VKN307:VKN310"/>
    <mergeCell ref="VKP307:VKP308"/>
    <mergeCell ref="VKQ307:VKQ308"/>
    <mergeCell ref="VKT307:VKT308"/>
    <mergeCell ref="VLB307:VLB308"/>
    <mergeCell ref="VLC307:VLC310"/>
    <mergeCell ref="VLD307:VLD310"/>
    <mergeCell ref="VLF307:VLF308"/>
    <mergeCell ref="VLG307:VLG308"/>
    <mergeCell ref="VJV309:VJV310"/>
    <mergeCell ref="VJZ309:VJZ310"/>
    <mergeCell ref="VKA309:VKA310"/>
    <mergeCell ref="VKD309:VKD310"/>
    <mergeCell ref="VKL309:VKL310"/>
    <mergeCell ref="VKP309:VKP310"/>
    <mergeCell ref="VKQ309:VKQ310"/>
    <mergeCell ref="VKT309:VKT310"/>
    <mergeCell ref="VLB309:VLB310"/>
    <mergeCell ref="VLF309:VLF310"/>
    <mergeCell ref="VLG309:VLG310"/>
    <mergeCell ref="VIA307:VIA310"/>
    <mergeCell ref="VIB307:VIB310"/>
    <mergeCell ref="VID307:VID308"/>
    <mergeCell ref="VIE307:VIE308"/>
    <mergeCell ref="VIH307:VIH308"/>
    <mergeCell ref="VIP307:VIP308"/>
    <mergeCell ref="VIQ307:VIQ310"/>
    <mergeCell ref="VIR307:VIR310"/>
    <mergeCell ref="VIT307:VIT308"/>
    <mergeCell ref="VIU307:VIU308"/>
    <mergeCell ref="VIX307:VIX308"/>
    <mergeCell ref="VJF307:VJF308"/>
    <mergeCell ref="VJG307:VJG310"/>
    <mergeCell ref="VJH307:VJH310"/>
    <mergeCell ref="VJJ307:VJJ308"/>
    <mergeCell ref="VJK307:VJK308"/>
    <mergeCell ref="VJN307:VJN308"/>
    <mergeCell ref="VID309:VID310"/>
    <mergeCell ref="VIE309:VIE310"/>
    <mergeCell ref="VIH309:VIH310"/>
    <mergeCell ref="VIP309:VIP310"/>
    <mergeCell ref="VIT309:VIT310"/>
    <mergeCell ref="VIU309:VIU310"/>
    <mergeCell ref="VIX309:VIX310"/>
    <mergeCell ref="VJF309:VJF310"/>
    <mergeCell ref="VJJ309:VJJ310"/>
    <mergeCell ref="VJK309:VJK310"/>
    <mergeCell ref="VJN309:VJN310"/>
    <mergeCell ref="VGF307:VGF310"/>
    <mergeCell ref="VGH307:VGH308"/>
    <mergeCell ref="VGI307:VGI308"/>
    <mergeCell ref="VGL307:VGL308"/>
    <mergeCell ref="VGT307:VGT308"/>
    <mergeCell ref="VGU307:VGU310"/>
    <mergeCell ref="VGV307:VGV310"/>
    <mergeCell ref="VGX307:VGX308"/>
    <mergeCell ref="VGY307:VGY308"/>
    <mergeCell ref="VHB307:VHB308"/>
    <mergeCell ref="VHJ307:VHJ308"/>
    <mergeCell ref="VHK307:VHK310"/>
    <mergeCell ref="VHL307:VHL310"/>
    <mergeCell ref="VHN307:VHN308"/>
    <mergeCell ref="VHO307:VHO308"/>
    <mergeCell ref="VHR307:VHR308"/>
    <mergeCell ref="VHZ307:VHZ308"/>
    <mergeCell ref="VGH309:VGH310"/>
    <mergeCell ref="VGI309:VGI310"/>
    <mergeCell ref="VGL309:VGL310"/>
    <mergeCell ref="VGT309:VGT310"/>
    <mergeCell ref="VGX309:VGX310"/>
    <mergeCell ref="VGY309:VGY310"/>
    <mergeCell ref="VHB309:VHB310"/>
    <mergeCell ref="VHJ309:VHJ310"/>
    <mergeCell ref="VHN309:VHN310"/>
    <mergeCell ref="VHO309:VHO310"/>
    <mergeCell ref="VHR309:VHR310"/>
    <mergeCell ref="VHZ309:VHZ310"/>
    <mergeCell ref="VEL307:VEL308"/>
    <mergeCell ref="VEM307:VEM308"/>
    <mergeCell ref="VEP307:VEP308"/>
    <mergeCell ref="VEX307:VEX308"/>
    <mergeCell ref="VEY307:VEY310"/>
    <mergeCell ref="VEZ307:VEZ310"/>
    <mergeCell ref="VFB307:VFB308"/>
    <mergeCell ref="VFC307:VFC308"/>
    <mergeCell ref="VFF307:VFF308"/>
    <mergeCell ref="VFN307:VFN308"/>
    <mergeCell ref="VFO307:VFO310"/>
    <mergeCell ref="VFP307:VFP310"/>
    <mergeCell ref="VFR307:VFR308"/>
    <mergeCell ref="VFS307:VFS308"/>
    <mergeCell ref="VFV307:VFV308"/>
    <mergeCell ref="VGD307:VGD308"/>
    <mergeCell ref="VGE307:VGE310"/>
    <mergeCell ref="VEL309:VEL310"/>
    <mergeCell ref="VEM309:VEM310"/>
    <mergeCell ref="VEP309:VEP310"/>
    <mergeCell ref="VEX309:VEX310"/>
    <mergeCell ref="VFB309:VFB310"/>
    <mergeCell ref="VFC309:VFC310"/>
    <mergeCell ref="VFF309:VFF310"/>
    <mergeCell ref="VFN309:VFN310"/>
    <mergeCell ref="VFR309:VFR310"/>
    <mergeCell ref="VFS309:VFS310"/>
    <mergeCell ref="VFV309:VFV310"/>
    <mergeCell ref="VGD309:VGD310"/>
    <mergeCell ref="VCQ307:VCQ308"/>
    <mergeCell ref="VCT307:VCT308"/>
    <mergeCell ref="VDB307:VDB308"/>
    <mergeCell ref="VDC307:VDC310"/>
    <mergeCell ref="VDD307:VDD310"/>
    <mergeCell ref="VDF307:VDF308"/>
    <mergeCell ref="VDG307:VDG308"/>
    <mergeCell ref="VDJ307:VDJ308"/>
    <mergeCell ref="VDR307:VDR308"/>
    <mergeCell ref="VDS307:VDS310"/>
    <mergeCell ref="VDT307:VDT310"/>
    <mergeCell ref="VDV307:VDV308"/>
    <mergeCell ref="VDW307:VDW308"/>
    <mergeCell ref="VDZ307:VDZ308"/>
    <mergeCell ref="VEH307:VEH308"/>
    <mergeCell ref="VEI307:VEI310"/>
    <mergeCell ref="VEJ307:VEJ310"/>
    <mergeCell ref="VCQ309:VCQ310"/>
    <mergeCell ref="VCT309:VCT310"/>
    <mergeCell ref="VDB309:VDB310"/>
    <mergeCell ref="VDF309:VDF310"/>
    <mergeCell ref="VDG309:VDG310"/>
    <mergeCell ref="VDJ309:VDJ310"/>
    <mergeCell ref="VDR309:VDR310"/>
    <mergeCell ref="VDV309:VDV310"/>
    <mergeCell ref="VDW309:VDW310"/>
    <mergeCell ref="VDZ309:VDZ310"/>
    <mergeCell ref="VEH309:VEH310"/>
    <mergeCell ref="VAX307:VAX308"/>
    <mergeCell ref="VBF307:VBF308"/>
    <mergeCell ref="VBG307:VBG310"/>
    <mergeCell ref="VBH307:VBH310"/>
    <mergeCell ref="VBJ307:VBJ308"/>
    <mergeCell ref="VBK307:VBK308"/>
    <mergeCell ref="VBN307:VBN308"/>
    <mergeCell ref="VBV307:VBV308"/>
    <mergeCell ref="VBW307:VBW310"/>
    <mergeCell ref="VBX307:VBX310"/>
    <mergeCell ref="VBZ307:VBZ308"/>
    <mergeCell ref="VCA307:VCA308"/>
    <mergeCell ref="VCD307:VCD308"/>
    <mergeCell ref="VCL307:VCL308"/>
    <mergeCell ref="VCM307:VCM310"/>
    <mergeCell ref="VCN307:VCN310"/>
    <mergeCell ref="VCP307:VCP308"/>
    <mergeCell ref="VAX309:VAX310"/>
    <mergeCell ref="VBF309:VBF310"/>
    <mergeCell ref="VBJ309:VBJ310"/>
    <mergeCell ref="VBK309:VBK310"/>
    <mergeCell ref="VBN309:VBN310"/>
    <mergeCell ref="VBV309:VBV310"/>
    <mergeCell ref="VBZ309:VBZ310"/>
    <mergeCell ref="VCA309:VCA310"/>
    <mergeCell ref="VCD309:VCD310"/>
    <mergeCell ref="VCL309:VCL310"/>
    <mergeCell ref="VCP309:VCP310"/>
    <mergeCell ref="UZJ307:UZJ308"/>
    <mergeCell ref="UZK307:UZK310"/>
    <mergeCell ref="UZL307:UZL310"/>
    <mergeCell ref="UZN307:UZN308"/>
    <mergeCell ref="UZO307:UZO308"/>
    <mergeCell ref="UZR307:UZR308"/>
    <mergeCell ref="UZZ307:UZZ308"/>
    <mergeCell ref="VAA307:VAA310"/>
    <mergeCell ref="VAB307:VAB310"/>
    <mergeCell ref="VAD307:VAD308"/>
    <mergeCell ref="VAE307:VAE308"/>
    <mergeCell ref="VAH307:VAH308"/>
    <mergeCell ref="VAP307:VAP308"/>
    <mergeCell ref="VAQ307:VAQ310"/>
    <mergeCell ref="VAR307:VAR310"/>
    <mergeCell ref="VAT307:VAT308"/>
    <mergeCell ref="VAU307:VAU308"/>
    <mergeCell ref="UZJ309:UZJ310"/>
    <mergeCell ref="UZN309:UZN310"/>
    <mergeCell ref="UZO309:UZO310"/>
    <mergeCell ref="UZR309:UZR310"/>
    <mergeCell ref="UZZ309:UZZ310"/>
    <mergeCell ref="VAD309:VAD310"/>
    <mergeCell ref="VAE309:VAE310"/>
    <mergeCell ref="VAH309:VAH310"/>
    <mergeCell ref="VAP309:VAP310"/>
    <mergeCell ref="VAT309:VAT310"/>
    <mergeCell ref="VAU309:VAU310"/>
    <mergeCell ref="UXO307:UXO310"/>
    <mergeCell ref="UXP307:UXP310"/>
    <mergeCell ref="UXR307:UXR308"/>
    <mergeCell ref="UXS307:UXS308"/>
    <mergeCell ref="UXV307:UXV308"/>
    <mergeCell ref="UYD307:UYD308"/>
    <mergeCell ref="UYE307:UYE310"/>
    <mergeCell ref="UYF307:UYF310"/>
    <mergeCell ref="UYH307:UYH308"/>
    <mergeCell ref="UYI307:UYI308"/>
    <mergeCell ref="UYL307:UYL308"/>
    <mergeCell ref="UYT307:UYT308"/>
    <mergeCell ref="UYU307:UYU310"/>
    <mergeCell ref="UYV307:UYV310"/>
    <mergeCell ref="UYX307:UYX308"/>
    <mergeCell ref="UYY307:UYY308"/>
    <mergeCell ref="UZB307:UZB308"/>
    <mergeCell ref="UXR309:UXR310"/>
    <mergeCell ref="UXS309:UXS310"/>
    <mergeCell ref="UXV309:UXV310"/>
    <mergeCell ref="UYD309:UYD310"/>
    <mergeCell ref="UYH309:UYH310"/>
    <mergeCell ref="UYI309:UYI310"/>
    <mergeCell ref="UYL309:UYL310"/>
    <mergeCell ref="UYT309:UYT310"/>
    <mergeCell ref="UYX309:UYX310"/>
    <mergeCell ref="UYY309:UYY310"/>
    <mergeCell ref="UZB309:UZB310"/>
    <mergeCell ref="UVT307:UVT310"/>
    <mergeCell ref="UVV307:UVV308"/>
    <mergeCell ref="UVW307:UVW308"/>
    <mergeCell ref="UVZ307:UVZ308"/>
    <mergeCell ref="UWH307:UWH308"/>
    <mergeCell ref="UWI307:UWI310"/>
    <mergeCell ref="UWJ307:UWJ310"/>
    <mergeCell ref="UWL307:UWL308"/>
    <mergeCell ref="UWM307:UWM308"/>
    <mergeCell ref="UWP307:UWP308"/>
    <mergeCell ref="UWX307:UWX308"/>
    <mergeCell ref="UWY307:UWY310"/>
    <mergeCell ref="UWZ307:UWZ310"/>
    <mergeCell ref="UXB307:UXB308"/>
    <mergeCell ref="UXC307:UXC308"/>
    <mergeCell ref="UXF307:UXF308"/>
    <mergeCell ref="UXN307:UXN308"/>
    <mergeCell ref="UVV309:UVV310"/>
    <mergeCell ref="UVW309:UVW310"/>
    <mergeCell ref="UVZ309:UVZ310"/>
    <mergeCell ref="UWH309:UWH310"/>
    <mergeCell ref="UWL309:UWL310"/>
    <mergeCell ref="UWM309:UWM310"/>
    <mergeCell ref="UWP309:UWP310"/>
    <mergeCell ref="UWX309:UWX310"/>
    <mergeCell ref="UXB309:UXB310"/>
    <mergeCell ref="UXC309:UXC310"/>
    <mergeCell ref="UXF309:UXF310"/>
    <mergeCell ref="UXN309:UXN310"/>
    <mergeCell ref="UTZ307:UTZ308"/>
    <mergeCell ref="UUA307:UUA308"/>
    <mergeCell ref="UUD307:UUD308"/>
    <mergeCell ref="UUL307:UUL308"/>
    <mergeCell ref="UUM307:UUM310"/>
    <mergeCell ref="UUN307:UUN310"/>
    <mergeCell ref="UUP307:UUP308"/>
    <mergeCell ref="UUQ307:UUQ308"/>
    <mergeCell ref="UUT307:UUT308"/>
    <mergeCell ref="UVB307:UVB308"/>
    <mergeCell ref="UVC307:UVC310"/>
    <mergeCell ref="UVD307:UVD310"/>
    <mergeCell ref="UVF307:UVF308"/>
    <mergeCell ref="UVG307:UVG308"/>
    <mergeCell ref="UVJ307:UVJ308"/>
    <mergeCell ref="UVR307:UVR308"/>
    <mergeCell ref="UVS307:UVS310"/>
    <mergeCell ref="UTZ309:UTZ310"/>
    <mergeCell ref="UUA309:UUA310"/>
    <mergeCell ref="UUD309:UUD310"/>
    <mergeCell ref="UUL309:UUL310"/>
    <mergeCell ref="UUP309:UUP310"/>
    <mergeCell ref="UUQ309:UUQ310"/>
    <mergeCell ref="UUT309:UUT310"/>
    <mergeCell ref="UVB309:UVB310"/>
    <mergeCell ref="UVF309:UVF310"/>
    <mergeCell ref="UVG309:UVG310"/>
    <mergeCell ref="UVJ309:UVJ310"/>
    <mergeCell ref="UVR309:UVR310"/>
    <mergeCell ref="USE307:USE308"/>
    <mergeCell ref="USH307:USH308"/>
    <mergeCell ref="USP307:USP308"/>
    <mergeCell ref="USQ307:USQ310"/>
    <mergeCell ref="USR307:USR310"/>
    <mergeCell ref="UST307:UST308"/>
    <mergeCell ref="USU307:USU308"/>
    <mergeCell ref="USX307:USX308"/>
    <mergeCell ref="UTF307:UTF308"/>
    <mergeCell ref="UTG307:UTG310"/>
    <mergeCell ref="UTH307:UTH310"/>
    <mergeCell ref="UTJ307:UTJ308"/>
    <mergeCell ref="UTK307:UTK308"/>
    <mergeCell ref="UTN307:UTN308"/>
    <mergeCell ref="UTV307:UTV308"/>
    <mergeCell ref="UTW307:UTW310"/>
    <mergeCell ref="UTX307:UTX310"/>
    <mergeCell ref="USE309:USE310"/>
    <mergeCell ref="USH309:USH310"/>
    <mergeCell ref="USP309:USP310"/>
    <mergeCell ref="UST309:UST310"/>
    <mergeCell ref="USU309:USU310"/>
    <mergeCell ref="USX309:USX310"/>
    <mergeCell ref="UTF309:UTF310"/>
    <mergeCell ref="UTJ309:UTJ310"/>
    <mergeCell ref="UTK309:UTK310"/>
    <mergeCell ref="UTN309:UTN310"/>
    <mergeCell ref="UTV309:UTV310"/>
    <mergeCell ref="UQL307:UQL308"/>
    <mergeCell ref="UQT307:UQT308"/>
    <mergeCell ref="UQU307:UQU310"/>
    <mergeCell ref="UQV307:UQV310"/>
    <mergeCell ref="UQX307:UQX308"/>
    <mergeCell ref="UQY307:UQY308"/>
    <mergeCell ref="URB307:URB308"/>
    <mergeCell ref="URJ307:URJ308"/>
    <mergeCell ref="URK307:URK310"/>
    <mergeCell ref="URL307:URL310"/>
    <mergeCell ref="URN307:URN308"/>
    <mergeCell ref="URO307:URO308"/>
    <mergeCell ref="URR307:URR308"/>
    <mergeCell ref="URZ307:URZ308"/>
    <mergeCell ref="USA307:USA310"/>
    <mergeCell ref="USB307:USB310"/>
    <mergeCell ref="USD307:USD308"/>
    <mergeCell ref="UQL309:UQL310"/>
    <mergeCell ref="UQT309:UQT310"/>
    <mergeCell ref="UQX309:UQX310"/>
    <mergeCell ref="UQY309:UQY310"/>
    <mergeCell ref="URB309:URB310"/>
    <mergeCell ref="URJ309:URJ310"/>
    <mergeCell ref="URN309:URN310"/>
    <mergeCell ref="URO309:URO310"/>
    <mergeCell ref="URR309:URR310"/>
    <mergeCell ref="URZ309:URZ310"/>
    <mergeCell ref="USD309:USD310"/>
    <mergeCell ref="UOX307:UOX308"/>
    <mergeCell ref="UOY307:UOY310"/>
    <mergeCell ref="UOZ307:UOZ310"/>
    <mergeCell ref="UPB307:UPB308"/>
    <mergeCell ref="UPC307:UPC308"/>
    <mergeCell ref="UPF307:UPF308"/>
    <mergeCell ref="UPN307:UPN308"/>
    <mergeCell ref="UPO307:UPO310"/>
    <mergeCell ref="UPP307:UPP310"/>
    <mergeCell ref="UPR307:UPR308"/>
    <mergeCell ref="UPS307:UPS308"/>
    <mergeCell ref="UPV307:UPV308"/>
    <mergeCell ref="UQD307:UQD308"/>
    <mergeCell ref="UQE307:UQE310"/>
    <mergeCell ref="UQF307:UQF310"/>
    <mergeCell ref="UQH307:UQH308"/>
    <mergeCell ref="UQI307:UQI308"/>
    <mergeCell ref="UOX309:UOX310"/>
    <mergeCell ref="UPB309:UPB310"/>
    <mergeCell ref="UPC309:UPC310"/>
    <mergeCell ref="UPF309:UPF310"/>
    <mergeCell ref="UPN309:UPN310"/>
    <mergeCell ref="UPR309:UPR310"/>
    <mergeCell ref="UPS309:UPS310"/>
    <mergeCell ref="UPV309:UPV310"/>
    <mergeCell ref="UQD309:UQD310"/>
    <mergeCell ref="UQH309:UQH310"/>
    <mergeCell ref="UQI309:UQI310"/>
    <mergeCell ref="UNC307:UNC310"/>
    <mergeCell ref="UND307:UND310"/>
    <mergeCell ref="UNF307:UNF308"/>
    <mergeCell ref="UNG307:UNG308"/>
    <mergeCell ref="UNJ307:UNJ308"/>
    <mergeCell ref="UNR307:UNR308"/>
    <mergeCell ref="UNS307:UNS310"/>
    <mergeCell ref="UNT307:UNT310"/>
    <mergeCell ref="UNV307:UNV308"/>
    <mergeCell ref="UNW307:UNW308"/>
    <mergeCell ref="UNZ307:UNZ308"/>
    <mergeCell ref="UOH307:UOH308"/>
    <mergeCell ref="UOI307:UOI310"/>
    <mergeCell ref="UOJ307:UOJ310"/>
    <mergeCell ref="UOL307:UOL308"/>
    <mergeCell ref="UOM307:UOM308"/>
    <mergeCell ref="UOP307:UOP308"/>
    <mergeCell ref="UNF309:UNF310"/>
    <mergeCell ref="UNG309:UNG310"/>
    <mergeCell ref="UNJ309:UNJ310"/>
    <mergeCell ref="UNR309:UNR310"/>
    <mergeCell ref="UNV309:UNV310"/>
    <mergeCell ref="UNW309:UNW310"/>
    <mergeCell ref="UNZ309:UNZ310"/>
    <mergeCell ref="UOH309:UOH310"/>
    <mergeCell ref="UOL309:UOL310"/>
    <mergeCell ref="UOM309:UOM310"/>
    <mergeCell ref="UOP309:UOP310"/>
    <mergeCell ref="ULH307:ULH310"/>
    <mergeCell ref="ULJ307:ULJ308"/>
    <mergeCell ref="ULK307:ULK308"/>
    <mergeCell ref="ULN307:ULN308"/>
    <mergeCell ref="ULV307:ULV308"/>
    <mergeCell ref="ULW307:ULW310"/>
    <mergeCell ref="ULX307:ULX310"/>
    <mergeCell ref="ULZ307:ULZ308"/>
    <mergeCell ref="UMA307:UMA308"/>
    <mergeCell ref="UMD307:UMD308"/>
    <mergeCell ref="UML307:UML308"/>
    <mergeCell ref="UMM307:UMM310"/>
    <mergeCell ref="UMN307:UMN310"/>
    <mergeCell ref="UMP307:UMP308"/>
    <mergeCell ref="UMQ307:UMQ308"/>
    <mergeCell ref="UMT307:UMT308"/>
    <mergeCell ref="UNB307:UNB308"/>
    <mergeCell ref="ULJ309:ULJ310"/>
    <mergeCell ref="ULK309:ULK310"/>
    <mergeCell ref="ULN309:ULN310"/>
    <mergeCell ref="ULV309:ULV310"/>
    <mergeCell ref="ULZ309:ULZ310"/>
    <mergeCell ref="UMA309:UMA310"/>
    <mergeCell ref="UMD309:UMD310"/>
    <mergeCell ref="UML309:UML310"/>
    <mergeCell ref="UMP309:UMP310"/>
    <mergeCell ref="UMQ309:UMQ310"/>
    <mergeCell ref="UMT309:UMT310"/>
    <mergeCell ref="UNB309:UNB310"/>
    <mergeCell ref="UJN307:UJN308"/>
    <mergeCell ref="UJO307:UJO308"/>
    <mergeCell ref="UJR307:UJR308"/>
    <mergeCell ref="UJZ307:UJZ308"/>
    <mergeCell ref="UKA307:UKA310"/>
    <mergeCell ref="UKB307:UKB310"/>
    <mergeCell ref="UKD307:UKD308"/>
    <mergeCell ref="UKE307:UKE308"/>
    <mergeCell ref="UKH307:UKH308"/>
    <mergeCell ref="UKP307:UKP308"/>
    <mergeCell ref="UKQ307:UKQ310"/>
    <mergeCell ref="UKR307:UKR310"/>
    <mergeCell ref="UKT307:UKT308"/>
    <mergeCell ref="UKU307:UKU308"/>
    <mergeCell ref="UKX307:UKX308"/>
    <mergeCell ref="ULF307:ULF308"/>
    <mergeCell ref="ULG307:ULG310"/>
    <mergeCell ref="UJN309:UJN310"/>
    <mergeCell ref="UJO309:UJO310"/>
    <mergeCell ref="UJR309:UJR310"/>
    <mergeCell ref="UJZ309:UJZ310"/>
    <mergeCell ref="UKD309:UKD310"/>
    <mergeCell ref="UKE309:UKE310"/>
    <mergeCell ref="UKH309:UKH310"/>
    <mergeCell ref="UKP309:UKP310"/>
    <mergeCell ref="UKT309:UKT310"/>
    <mergeCell ref="UKU309:UKU310"/>
    <mergeCell ref="UKX309:UKX310"/>
    <mergeCell ref="ULF309:ULF310"/>
    <mergeCell ref="UHS307:UHS308"/>
    <mergeCell ref="UHV307:UHV308"/>
    <mergeCell ref="UID307:UID308"/>
    <mergeCell ref="UIE307:UIE310"/>
    <mergeCell ref="UIF307:UIF310"/>
    <mergeCell ref="UIH307:UIH308"/>
    <mergeCell ref="UII307:UII308"/>
    <mergeCell ref="UIL307:UIL308"/>
    <mergeCell ref="UIT307:UIT308"/>
    <mergeCell ref="UIU307:UIU310"/>
    <mergeCell ref="UIV307:UIV310"/>
    <mergeCell ref="UIX307:UIX308"/>
    <mergeCell ref="UIY307:UIY308"/>
    <mergeCell ref="UJB307:UJB308"/>
    <mergeCell ref="UJJ307:UJJ308"/>
    <mergeCell ref="UJK307:UJK310"/>
    <mergeCell ref="UJL307:UJL310"/>
    <mergeCell ref="UHS309:UHS310"/>
    <mergeCell ref="UHV309:UHV310"/>
    <mergeCell ref="UID309:UID310"/>
    <mergeCell ref="UIH309:UIH310"/>
    <mergeCell ref="UII309:UII310"/>
    <mergeCell ref="UIL309:UIL310"/>
    <mergeCell ref="UIT309:UIT310"/>
    <mergeCell ref="UIX309:UIX310"/>
    <mergeCell ref="UIY309:UIY310"/>
    <mergeCell ref="UJB309:UJB310"/>
    <mergeCell ref="UJJ309:UJJ310"/>
    <mergeCell ref="UFZ307:UFZ308"/>
    <mergeCell ref="UGH307:UGH308"/>
    <mergeCell ref="UGI307:UGI310"/>
    <mergeCell ref="UGJ307:UGJ310"/>
    <mergeCell ref="UGL307:UGL308"/>
    <mergeCell ref="UGM307:UGM308"/>
    <mergeCell ref="UGP307:UGP308"/>
    <mergeCell ref="UGX307:UGX308"/>
    <mergeCell ref="UGY307:UGY310"/>
    <mergeCell ref="UGZ307:UGZ310"/>
    <mergeCell ref="UHB307:UHB308"/>
    <mergeCell ref="UHC307:UHC308"/>
    <mergeCell ref="UHF307:UHF308"/>
    <mergeCell ref="UHN307:UHN308"/>
    <mergeCell ref="UHO307:UHO310"/>
    <mergeCell ref="UHP307:UHP310"/>
    <mergeCell ref="UHR307:UHR308"/>
    <mergeCell ref="UFZ309:UFZ310"/>
    <mergeCell ref="UGH309:UGH310"/>
    <mergeCell ref="UGL309:UGL310"/>
    <mergeCell ref="UGM309:UGM310"/>
    <mergeCell ref="UGP309:UGP310"/>
    <mergeCell ref="UGX309:UGX310"/>
    <mergeCell ref="UHB309:UHB310"/>
    <mergeCell ref="UHC309:UHC310"/>
    <mergeCell ref="UHF309:UHF310"/>
    <mergeCell ref="UHN309:UHN310"/>
    <mergeCell ref="UHR309:UHR310"/>
    <mergeCell ref="UEL307:UEL308"/>
    <mergeCell ref="UEM307:UEM310"/>
    <mergeCell ref="UEN307:UEN310"/>
    <mergeCell ref="UEP307:UEP308"/>
    <mergeCell ref="UEQ307:UEQ308"/>
    <mergeCell ref="UET307:UET308"/>
    <mergeCell ref="UFB307:UFB308"/>
    <mergeCell ref="UFC307:UFC310"/>
    <mergeCell ref="UFD307:UFD310"/>
    <mergeCell ref="UFF307:UFF308"/>
    <mergeCell ref="UFG307:UFG308"/>
    <mergeCell ref="UFJ307:UFJ308"/>
    <mergeCell ref="UFR307:UFR308"/>
    <mergeCell ref="UFS307:UFS310"/>
    <mergeCell ref="UFT307:UFT310"/>
    <mergeCell ref="UFV307:UFV308"/>
    <mergeCell ref="UFW307:UFW308"/>
    <mergeCell ref="UEL309:UEL310"/>
    <mergeCell ref="UEP309:UEP310"/>
    <mergeCell ref="UEQ309:UEQ310"/>
    <mergeCell ref="UET309:UET310"/>
    <mergeCell ref="UFB309:UFB310"/>
    <mergeCell ref="UFF309:UFF310"/>
    <mergeCell ref="UFG309:UFG310"/>
    <mergeCell ref="UFJ309:UFJ310"/>
    <mergeCell ref="UFR309:UFR310"/>
    <mergeCell ref="UFV309:UFV310"/>
    <mergeCell ref="UFW309:UFW310"/>
    <mergeCell ref="UCQ307:UCQ310"/>
    <mergeCell ref="UCR307:UCR310"/>
    <mergeCell ref="UCT307:UCT308"/>
    <mergeCell ref="UCU307:UCU308"/>
    <mergeCell ref="UCX307:UCX308"/>
    <mergeCell ref="UDF307:UDF308"/>
    <mergeCell ref="UDG307:UDG310"/>
    <mergeCell ref="UDH307:UDH310"/>
    <mergeCell ref="UDJ307:UDJ308"/>
    <mergeCell ref="UDK307:UDK308"/>
    <mergeCell ref="UDN307:UDN308"/>
    <mergeCell ref="UDV307:UDV308"/>
    <mergeCell ref="UDW307:UDW310"/>
    <mergeCell ref="UDX307:UDX310"/>
    <mergeCell ref="UDZ307:UDZ308"/>
    <mergeCell ref="UEA307:UEA308"/>
    <mergeCell ref="UED307:UED308"/>
    <mergeCell ref="UCT309:UCT310"/>
    <mergeCell ref="UCU309:UCU310"/>
    <mergeCell ref="UCX309:UCX310"/>
    <mergeCell ref="UDF309:UDF310"/>
    <mergeCell ref="UDJ309:UDJ310"/>
    <mergeCell ref="UDK309:UDK310"/>
    <mergeCell ref="UDN309:UDN310"/>
    <mergeCell ref="UDV309:UDV310"/>
    <mergeCell ref="UDZ309:UDZ310"/>
    <mergeCell ref="UEA309:UEA310"/>
    <mergeCell ref="UED309:UED310"/>
    <mergeCell ref="UAV307:UAV310"/>
    <mergeCell ref="UAX307:UAX308"/>
    <mergeCell ref="UAY307:UAY308"/>
    <mergeCell ref="UBB307:UBB308"/>
    <mergeCell ref="UBJ307:UBJ308"/>
    <mergeCell ref="UBK307:UBK310"/>
    <mergeCell ref="UBL307:UBL310"/>
    <mergeCell ref="UBN307:UBN308"/>
    <mergeCell ref="UBO307:UBO308"/>
    <mergeCell ref="UBR307:UBR308"/>
    <mergeCell ref="UBZ307:UBZ308"/>
    <mergeCell ref="UCA307:UCA310"/>
    <mergeCell ref="UCB307:UCB310"/>
    <mergeCell ref="UCD307:UCD308"/>
    <mergeCell ref="UCE307:UCE308"/>
    <mergeCell ref="UCH307:UCH308"/>
    <mergeCell ref="UCP307:UCP308"/>
    <mergeCell ref="UAX309:UAX310"/>
    <mergeCell ref="UAY309:UAY310"/>
    <mergeCell ref="UBB309:UBB310"/>
    <mergeCell ref="UBJ309:UBJ310"/>
    <mergeCell ref="UBN309:UBN310"/>
    <mergeCell ref="UBO309:UBO310"/>
    <mergeCell ref="UBR309:UBR310"/>
    <mergeCell ref="UBZ309:UBZ310"/>
    <mergeCell ref="UCD309:UCD310"/>
    <mergeCell ref="UCE309:UCE310"/>
    <mergeCell ref="UCH309:UCH310"/>
    <mergeCell ref="UCP309:UCP310"/>
    <mergeCell ref="TZB307:TZB308"/>
    <mergeCell ref="TZC307:TZC308"/>
    <mergeCell ref="TZF307:TZF308"/>
    <mergeCell ref="TZN307:TZN308"/>
    <mergeCell ref="TZO307:TZO310"/>
    <mergeCell ref="TZP307:TZP310"/>
    <mergeCell ref="TZR307:TZR308"/>
    <mergeCell ref="TZS307:TZS308"/>
    <mergeCell ref="TZV307:TZV308"/>
    <mergeCell ref="UAD307:UAD308"/>
    <mergeCell ref="UAE307:UAE310"/>
    <mergeCell ref="UAF307:UAF310"/>
    <mergeCell ref="UAH307:UAH308"/>
    <mergeCell ref="UAI307:UAI308"/>
    <mergeCell ref="UAL307:UAL308"/>
    <mergeCell ref="UAT307:UAT308"/>
    <mergeCell ref="UAU307:UAU310"/>
    <mergeCell ref="TZB309:TZB310"/>
    <mergeCell ref="TZC309:TZC310"/>
    <mergeCell ref="TZF309:TZF310"/>
    <mergeCell ref="TZN309:TZN310"/>
    <mergeCell ref="TZR309:TZR310"/>
    <mergeCell ref="TZS309:TZS310"/>
    <mergeCell ref="TZV309:TZV310"/>
    <mergeCell ref="UAD309:UAD310"/>
    <mergeCell ref="UAH309:UAH310"/>
    <mergeCell ref="UAI309:UAI310"/>
    <mergeCell ref="UAL309:UAL310"/>
    <mergeCell ref="UAT309:UAT310"/>
    <mergeCell ref="TXG307:TXG308"/>
    <mergeCell ref="TXJ307:TXJ308"/>
    <mergeCell ref="TXR307:TXR308"/>
    <mergeCell ref="TXS307:TXS310"/>
    <mergeCell ref="TXT307:TXT310"/>
    <mergeCell ref="TXV307:TXV308"/>
    <mergeCell ref="TXW307:TXW308"/>
    <mergeCell ref="TXZ307:TXZ308"/>
    <mergeCell ref="TYH307:TYH308"/>
    <mergeCell ref="TYI307:TYI310"/>
    <mergeCell ref="TYJ307:TYJ310"/>
    <mergeCell ref="TYL307:TYL308"/>
    <mergeCell ref="TYM307:TYM308"/>
    <mergeCell ref="TYP307:TYP308"/>
    <mergeCell ref="TYX307:TYX308"/>
    <mergeCell ref="TYY307:TYY310"/>
    <mergeCell ref="TYZ307:TYZ310"/>
    <mergeCell ref="TXG309:TXG310"/>
    <mergeCell ref="TXJ309:TXJ310"/>
    <mergeCell ref="TXR309:TXR310"/>
    <mergeCell ref="TXV309:TXV310"/>
    <mergeCell ref="TXW309:TXW310"/>
    <mergeCell ref="TXZ309:TXZ310"/>
    <mergeCell ref="TYH309:TYH310"/>
    <mergeCell ref="TYL309:TYL310"/>
    <mergeCell ref="TYM309:TYM310"/>
    <mergeCell ref="TYP309:TYP310"/>
    <mergeCell ref="TYX309:TYX310"/>
    <mergeCell ref="TVN307:TVN308"/>
    <mergeCell ref="TVV307:TVV308"/>
    <mergeCell ref="TVW307:TVW310"/>
    <mergeCell ref="TVX307:TVX310"/>
    <mergeCell ref="TVZ307:TVZ308"/>
    <mergeCell ref="TWA307:TWA308"/>
    <mergeCell ref="TWD307:TWD308"/>
    <mergeCell ref="TWL307:TWL308"/>
    <mergeCell ref="TWM307:TWM310"/>
    <mergeCell ref="TWN307:TWN310"/>
    <mergeCell ref="TWP307:TWP308"/>
    <mergeCell ref="TWQ307:TWQ308"/>
    <mergeCell ref="TWT307:TWT308"/>
    <mergeCell ref="TXB307:TXB308"/>
    <mergeCell ref="TXC307:TXC310"/>
    <mergeCell ref="TXD307:TXD310"/>
    <mergeCell ref="TXF307:TXF308"/>
    <mergeCell ref="TVN309:TVN310"/>
    <mergeCell ref="TVV309:TVV310"/>
    <mergeCell ref="TVZ309:TVZ310"/>
    <mergeCell ref="TWA309:TWA310"/>
    <mergeCell ref="TWD309:TWD310"/>
    <mergeCell ref="TWL309:TWL310"/>
    <mergeCell ref="TWP309:TWP310"/>
    <mergeCell ref="TWQ309:TWQ310"/>
    <mergeCell ref="TWT309:TWT310"/>
    <mergeCell ref="TXB309:TXB310"/>
    <mergeCell ref="TXF309:TXF310"/>
    <mergeCell ref="TTZ307:TTZ308"/>
    <mergeCell ref="TUA307:TUA310"/>
    <mergeCell ref="TUB307:TUB310"/>
    <mergeCell ref="TUD307:TUD308"/>
    <mergeCell ref="TUE307:TUE308"/>
    <mergeCell ref="TUH307:TUH308"/>
    <mergeCell ref="TUP307:TUP308"/>
    <mergeCell ref="TUQ307:TUQ310"/>
    <mergeCell ref="TUR307:TUR310"/>
    <mergeCell ref="TUT307:TUT308"/>
    <mergeCell ref="TUU307:TUU308"/>
    <mergeCell ref="TUX307:TUX308"/>
    <mergeCell ref="TVF307:TVF308"/>
    <mergeCell ref="TVG307:TVG310"/>
    <mergeCell ref="TVH307:TVH310"/>
    <mergeCell ref="TVJ307:TVJ308"/>
    <mergeCell ref="TVK307:TVK308"/>
    <mergeCell ref="TTZ309:TTZ310"/>
    <mergeCell ref="TUD309:TUD310"/>
    <mergeCell ref="TUE309:TUE310"/>
    <mergeCell ref="TUH309:TUH310"/>
    <mergeCell ref="TUP309:TUP310"/>
    <mergeCell ref="TUT309:TUT310"/>
    <mergeCell ref="TUU309:TUU310"/>
    <mergeCell ref="TUX309:TUX310"/>
    <mergeCell ref="TVF309:TVF310"/>
    <mergeCell ref="TVJ309:TVJ310"/>
    <mergeCell ref="TVK309:TVK310"/>
    <mergeCell ref="TSE307:TSE310"/>
    <mergeCell ref="TSF307:TSF310"/>
    <mergeCell ref="TSH307:TSH308"/>
    <mergeCell ref="TSI307:TSI308"/>
    <mergeCell ref="TSL307:TSL308"/>
    <mergeCell ref="TST307:TST308"/>
    <mergeCell ref="TSU307:TSU310"/>
    <mergeCell ref="TSV307:TSV310"/>
    <mergeCell ref="TSX307:TSX308"/>
    <mergeCell ref="TSY307:TSY308"/>
    <mergeCell ref="TTB307:TTB308"/>
    <mergeCell ref="TTJ307:TTJ308"/>
    <mergeCell ref="TTK307:TTK310"/>
    <mergeCell ref="TTL307:TTL310"/>
    <mergeCell ref="TTN307:TTN308"/>
    <mergeCell ref="TTO307:TTO308"/>
    <mergeCell ref="TTR307:TTR308"/>
    <mergeCell ref="TSH309:TSH310"/>
    <mergeCell ref="TSI309:TSI310"/>
    <mergeCell ref="TSL309:TSL310"/>
    <mergeCell ref="TST309:TST310"/>
    <mergeCell ref="TSX309:TSX310"/>
    <mergeCell ref="TSY309:TSY310"/>
    <mergeCell ref="TTB309:TTB310"/>
    <mergeCell ref="TTJ309:TTJ310"/>
    <mergeCell ref="TTN309:TTN310"/>
    <mergeCell ref="TTO309:TTO310"/>
    <mergeCell ref="TTR309:TTR310"/>
    <mergeCell ref="TQJ307:TQJ310"/>
    <mergeCell ref="TQL307:TQL308"/>
    <mergeCell ref="TQM307:TQM308"/>
    <mergeCell ref="TQP307:TQP308"/>
    <mergeCell ref="TQX307:TQX308"/>
    <mergeCell ref="TQY307:TQY310"/>
    <mergeCell ref="TQZ307:TQZ310"/>
    <mergeCell ref="TRB307:TRB308"/>
    <mergeCell ref="TRC307:TRC308"/>
    <mergeCell ref="TRF307:TRF308"/>
    <mergeCell ref="TRN307:TRN308"/>
    <mergeCell ref="TRO307:TRO310"/>
    <mergeCell ref="TRP307:TRP310"/>
    <mergeCell ref="TRR307:TRR308"/>
    <mergeCell ref="TRS307:TRS308"/>
    <mergeCell ref="TRV307:TRV308"/>
    <mergeCell ref="TSD307:TSD308"/>
    <mergeCell ref="TQL309:TQL310"/>
    <mergeCell ref="TQM309:TQM310"/>
    <mergeCell ref="TQP309:TQP310"/>
    <mergeCell ref="TQX309:TQX310"/>
    <mergeCell ref="TRB309:TRB310"/>
    <mergeCell ref="TRC309:TRC310"/>
    <mergeCell ref="TRF309:TRF310"/>
    <mergeCell ref="TRN309:TRN310"/>
    <mergeCell ref="TRR309:TRR310"/>
    <mergeCell ref="TRS309:TRS310"/>
    <mergeCell ref="TRV309:TRV310"/>
    <mergeCell ref="TSD309:TSD310"/>
    <mergeCell ref="TOP307:TOP308"/>
    <mergeCell ref="TOQ307:TOQ308"/>
    <mergeCell ref="TOT307:TOT308"/>
    <mergeCell ref="TPB307:TPB308"/>
    <mergeCell ref="TPC307:TPC310"/>
    <mergeCell ref="TPD307:TPD310"/>
    <mergeCell ref="TPF307:TPF308"/>
    <mergeCell ref="TPG307:TPG308"/>
    <mergeCell ref="TPJ307:TPJ308"/>
    <mergeCell ref="TPR307:TPR308"/>
    <mergeCell ref="TPS307:TPS310"/>
    <mergeCell ref="TPT307:TPT310"/>
    <mergeCell ref="TPV307:TPV308"/>
    <mergeCell ref="TPW307:TPW308"/>
    <mergeCell ref="TPZ307:TPZ308"/>
    <mergeCell ref="TQH307:TQH308"/>
    <mergeCell ref="TQI307:TQI310"/>
    <mergeCell ref="TOP309:TOP310"/>
    <mergeCell ref="TOQ309:TOQ310"/>
    <mergeCell ref="TOT309:TOT310"/>
    <mergeCell ref="TPB309:TPB310"/>
    <mergeCell ref="TPF309:TPF310"/>
    <mergeCell ref="TPG309:TPG310"/>
    <mergeCell ref="TPJ309:TPJ310"/>
    <mergeCell ref="TPR309:TPR310"/>
    <mergeCell ref="TPV309:TPV310"/>
    <mergeCell ref="TPW309:TPW310"/>
    <mergeCell ref="TPZ309:TPZ310"/>
    <mergeCell ref="TQH309:TQH310"/>
    <mergeCell ref="TMU307:TMU308"/>
    <mergeCell ref="TMX307:TMX308"/>
    <mergeCell ref="TNF307:TNF308"/>
    <mergeCell ref="TNG307:TNG310"/>
    <mergeCell ref="TNH307:TNH310"/>
    <mergeCell ref="TNJ307:TNJ308"/>
    <mergeCell ref="TNK307:TNK308"/>
    <mergeCell ref="TNN307:TNN308"/>
    <mergeCell ref="TNV307:TNV308"/>
    <mergeCell ref="TNW307:TNW310"/>
    <mergeCell ref="TNX307:TNX310"/>
    <mergeCell ref="TNZ307:TNZ308"/>
    <mergeCell ref="TOA307:TOA308"/>
    <mergeCell ref="TOD307:TOD308"/>
    <mergeCell ref="TOL307:TOL308"/>
    <mergeCell ref="TOM307:TOM310"/>
    <mergeCell ref="TON307:TON310"/>
    <mergeCell ref="TMU309:TMU310"/>
    <mergeCell ref="TMX309:TMX310"/>
    <mergeCell ref="TNF309:TNF310"/>
    <mergeCell ref="TNJ309:TNJ310"/>
    <mergeCell ref="TNK309:TNK310"/>
    <mergeCell ref="TNN309:TNN310"/>
    <mergeCell ref="TNV309:TNV310"/>
    <mergeCell ref="TNZ309:TNZ310"/>
    <mergeCell ref="TOA309:TOA310"/>
    <mergeCell ref="TOD309:TOD310"/>
    <mergeCell ref="TOL309:TOL310"/>
    <mergeCell ref="TLB307:TLB308"/>
    <mergeCell ref="TLJ307:TLJ308"/>
    <mergeCell ref="TLK307:TLK310"/>
    <mergeCell ref="TLL307:TLL310"/>
    <mergeCell ref="TLN307:TLN308"/>
    <mergeCell ref="TLO307:TLO308"/>
    <mergeCell ref="TLR307:TLR308"/>
    <mergeCell ref="TLZ307:TLZ308"/>
    <mergeCell ref="TMA307:TMA310"/>
    <mergeCell ref="TMB307:TMB310"/>
    <mergeCell ref="TMD307:TMD308"/>
    <mergeCell ref="TME307:TME308"/>
    <mergeCell ref="TMH307:TMH308"/>
    <mergeCell ref="TMP307:TMP308"/>
    <mergeCell ref="TMQ307:TMQ310"/>
    <mergeCell ref="TMR307:TMR310"/>
    <mergeCell ref="TMT307:TMT308"/>
    <mergeCell ref="TLB309:TLB310"/>
    <mergeCell ref="TLJ309:TLJ310"/>
    <mergeCell ref="TLN309:TLN310"/>
    <mergeCell ref="TLO309:TLO310"/>
    <mergeCell ref="TLR309:TLR310"/>
    <mergeCell ref="TLZ309:TLZ310"/>
    <mergeCell ref="TMD309:TMD310"/>
    <mergeCell ref="TME309:TME310"/>
    <mergeCell ref="TMH309:TMH310"/>
    <mergeCell ref="TMP309:TMP310"/>
    <mergeCell ref="TMT309:TMT310"/>
    <mergeCell ref="TJN307:TJN308"/>
    <mergeCell ref="TJO307:TJO310"/>
    <mergeCell ref="TJP307:TJP310"/>
    <mergeCell ref="TJR307:TJR308"/>
    <mergeCell ref="TJS307:TJS308"/>
    <mergeCell ref="TJV307:TJV308"/>
    <mergeCell ref="TKD307:TKD308"/>
    <mergeCell ref="TKE307:TKE310"/>
    <mergeCell ref="TKF307:TKF310"/>
    <mergeCell ref="TKH307:TKH308"/>
    <mergeCell ref="TKI307:TKI308"/>
    <mergeCell ref="TKL307:TKL308"/>
    <mergeCell ref="TKT307:TKT308"/>
    <mergeCell ref="TKU307:TKU310"/>
    <mergeCell ref="TKV307:TKV310"/>
    <mergeCell ref="TKX307:TKX308"/>
    <mergeCell ref="TKY307:TKY308"/>
    <mergeCell ref="TJN309:TJN310"/>
    <mergeCell ref="TJR309:TJR310"/>
    <mergeCell ref="TJS309:TJS310"/>
    <mergeCell ref="TJV309:TJV310"/>
    <mergeCell ref="TKD309:TKD310"/>
    <mergeCell ref="TKH309:TKH310"/>
    <mergeCell ref="TKI309:TKI310"/>
    <mergeCell ref="TKL309:TKL310"/>
    <mergeCell ref="TKT309:TKT310"/>
    <mergeCell ref="TKX309:TKX310"/>
    <mergeCell ref="TKY309:TKY310"/>
    <mergeCell ref="THS307:THS310"/>
    <mergeCell ref="THT307:THT310"/>
    <mergeCell ref="THV307:THV308"/>
    <mergeCell ref="THW307:THW308"/>
    <mergeCell ref="THZ307:THZ308"/>
    <mergeCell ref="TIH307:TIH308"/>
    <mergeCell ref="TII307:TII310"/>
    <mergeCell ref="TIJ307:TIJ310"/>
    <mergeCell ref="TIL307:TIL308"/>
    <mergeCell ref="TIM307:TIM308"/>
    <mergeCell ref="TIP307:TIP308"/>
    <mergeCell ref="TIX307:TIX308"/>
    <mergeCell ref="TIY307:TIY310"/>
    <mergeCell ref="TIZ307:TIZ310"/>
    <mergeCell ref="TJB307:TJB308"/>
    <mergeCell ref="TJC307:TJC308"/>
    <mergeCell ref="TJF307:TJF308"/>
    <mergeCell ref="THV309:THV310"/>
    <mergeCell ref="THW309:THW310"/>
    <mergeCell ref="THZ309:THZ310"/>
    <mergeCell ref="TIH309:TIH310"/>
    <mergeCell ref="TIL309:TIL310"/>
    <mergeCell ref="TIM309:TIM310"/>
    <mergeCell ref="TIP309:TIP310"/>
    <mergeCell ref="TIX309:TIX310"/>
    <mergeCell ref="TJB309:TJB310"/>
    <mergeCell ref="TJC309:TJC310"/>
    <mergeCell ref="TJF309:TJF310"/>
    <mergeCell ref="TFX307:TFX310"/>
    <mergeCell ref="TFZ307:TFZ308"/>
    <mergeCell ref="TGA307:TGA308"/>
    <mergeCell ref="TGD307:TGD308"/>
    <mergeCell ref="TGL307:TGL308"/>
    <mergeCell ref="TGM307:TGM310"/>
    <mergeCell ref="TGN307:TGN310"/>
    <mergeCell ref="TGP307:TGP308"/>
    <mergeCell ref="TGQ307:TGQ308"/>
    <mergeCell ref="TGT307:TGT308"/>
    <mergeCell ref="THB307:THB308"/>
    <mergeCell ref="THC307:THC310"/>
    <mergeCell ref="THD307:THD310"/>
    <mergeCell ref="THF307:THF308"/>
    <mergeCell ref="THG307:THG308"/>
    <mergeCell ref="THJ307:THJ308"/>
    <mergeCell ref="THR307:THR308"/>
    <mergeCell ref="TFZ309:TFZ310"/>
    <mergeCell ref="TGA309:TGA310"/>
    <mergeCell ref="TGD309:TGD310"/>
    <mergeCell ref="TGL309:TGL310"/>
    <mergeCell ref="TGP309:TGP310"/>
    <mergeCell ref="TGQ309:TGQ310"/>
    <mergeCell ref="TGT309:TGT310"/>
    <mergeCell ref="THB309:THB310"/>
    <mergeCell ref="THF309:THF310"/>
    <mergeCell ref="THG309:THG310"/>
    <mergeCell ref="THJ309:THJ310"/>
    <mergeCell ref="THR309:THR310"/>
    <mergeCell ref="TED307:TED308"/>
    <mergeCell ref="TEE307:TEE308"/>
    <mergeCell ref="TEH307:TEH308"/>
    <mergeCell ref="TEP307:TEP308"/>
    <mergeCell ref="TEQ307:TEQ310"/>
    <mergeCell ref="TER307:TER310"/>
    <mergeCell ref="TET307:TET308"/>
    <mergeCell ref="TEU307:TEU308"/>
    <mergeCell ref="TEX307:TEX308"/>
    <mergeCell ref="TFF307:TFF308"/>
    <mergeCell ref="TFG307:TFG310"/>
    <mergeCell ref="TFH307:TFH310"/>
    <mergeCell ref="TFJ307:TFJ308"/>
    <mergeCell ref="TFK307:TFK308"/>
    <mergeCell ref="TFN307:TFN308"/>
    <mergeCell ref="TFV307:TFV308"/>
    <mergeCell ref="TFW307:TFW310"/>
    <mergeCell ref="TED309:TED310"/>
    <mergeCell ref="TEE309:TEE310"/>
    <mergeCell ref="TEH309:TEH310"/>
    <mergeCell ref="TEP309:TEP310"/>
    <mergeCell ref="TET309:TET310"/>
    <mergeCell ref="TEU309:TEU310"/>
    <mergeCell ref="TEX309:TEX310"/>
    <mergeCell ref="TFF309:TFF310"/>
    <mergeCell ref="TFJ309:TFJ310"/>
    <mergeCell ref="TFK309:TFK310"/>
    <mergeCell ref="TFN309:TFN310"/>
    <mergeCell ref="TFV309:TFV310"/>
    <mergeCell ref="TCI307:TCI308"/>
    <mergeCell ref="TCL307:TCL308"/>
    <mergeCell ref="TCT307:TCT308"/>
    <mergeCell ref="TCU307:TCU310"/>
    <mergeCell ref="TCV307:TCV310"/>
    <mergeCell ref="TCX307:TCX308"/>
    <mergeCell ref="TCY307:TCY308"/>
    <mergeCell ref="TDB307:TDB308"/>
    <mergeCell ref="TDJ307:TDJ308"/>
    <mergeCell ref="TDK307:TDK310"/>
    <mergeCell ref="TDL307:TDL310"/>
    <mergeCell ref="TDN307:TDN308"/>
    <mergeCell ref="TDO307:TDO308"/>
    <mergeCell ref="TDR307:TDR308"/>
    <mergeCell ref="TDZ307:TDZ308"/>
    <mergeCell ref="TEA307:TEA310"/>
    <mergeCell ref="TEB307:TEB310"/>
    <mergeCell ref="TCI309:TCI310"/>
    <mergeCell ref="TCL309:TCL310"/>
    <mergeCell ref="TCT309:TCT310"/>
    <mergeCell ref="TCX309:TCX310"/>
    <mergeCell ref="TCY309:TCY310"/>
    <mergeCell ref="TDB309:TDB310"/>
    <mergeCell ref="TDJ309:TDJ310"/>
    <mergeCell ref="TDN309:TDN310"/>
    <mergeCell ref="TDO309:TDO310"/>
    <mergeCell ref="TDR309:TDR310"/>
    <mergeCell ref="TDZ309:TDZ310"/>
    <mergeCell ref="TAP307:TAP308"/>
    <mergeCell ref="TAX307:TAX308"/>
    <mergeCell ref="TAY307:TAY310"/>
    <mergeCell ref="TAZ307:TAZ310"/>
    <mergeCell ref="TBB307:TBB308"/>
    <mergeCell ref="TBC307:TBC308"/>
    <mergeCell ref="TBF307:TBF308"/>
    <mergeCell ref="TBN307:TBN308"/>
    <mergeCell ref="TBO307:TBO310"/>
    <mergeCell ref="TBP307:TBP310"/>
    <mergeCell ref="TBR307:TBR308"/>
    <mergeCell ref="TBS307:TBS308"/>
    <mergeCell ref="TBV307:TBV308"/>
    <mergeCell ref="TCD307:TCD308"/>
    <mergeCell ref="TCE307:TCE310"/>
    <mergeCell ref="TCF307:TCF310"/>
    <mergeCell ref="TCH307:TCH308"/>
    <mergeCell ref="TAP309:TAP310"/>
    <mergeCell ref="TAX309:TAX310"/>
    <mergeCell ref="TBB309:TBB310"/>
    <mergeCell ref="TBC309:TBC310"/>
    <mergeCell ref="TBF309:TBF310"/>
    <mergeCell ref="TBN309:TBN310"/>
    <mergeCell ref="TBR309:TBR310"/>
    <mergeCell ref="TBS309:TBS310"/>
    <mergeCell ref="TBV309:TBV310"/>
    <mergeCell ref="TCD309:TCD310"/>
    <mergeCell ref="TCH309:TCH310"/>
    <mergeCell ref="SZB307:SZB308"/>
    <mergeCell ref="SZC307:SZC310"/>
    <mergeCell ref="SZD307:SZD310"/>
    <mergeCell ref="SZF307:SZF308"/>
    <mergeCell ref="SZG307:SZG308"/>
    <mergeCell ref="SZJ307:SZJ308"/>
    <mergeCell ref="SZR307:SZR308"/>
    <mergeCell ref="SZS307:SZS310"/>
    <mergeCell ref="SZT307:SZT310"/>
    <mergeCell ref="SZV307:SZV308"/>
    <mergeCell ref="SZW307:SZW308"/>
    <mergeCell ref="SZZ307:SZZ308"/>
    <mergeCell ref="TAH307:TAH308"/>
    <mergeCell ref="TAI307:TAI310"/>
    <mergeCell ref="TAJ307:TAJ310"/>
    <mergeCell ref="TAL307:TAL308"/>
    <mergeCell ref="TAM307:TAM308"/>
    <mergeCell ref="SZB309:SZB310"/>
    <mergeCell ref="SZF309:SZF310"/>
    <mergeCell ref="SZG309:SZG310"/>
    <mergeCell ref="SZJ309:SZJ310"/>
    <mergeCell ref="SZR309:SZR310"/>
    <mergeCell ref="SZV309:SZV310"/>
    <mergeCell ref="SZW309:SZW310"/>
    <mergeCell ref="SZZ309:SZZ310"/>
    <mergeCell ref="TAH309:TAH310"/>
    <mergeCell ref="TAL309:TAL310"/>
    <mergeCell ref="TAM309:TAM310"/>
    <mergeCell ref="SXG307:SXG310"/>
    <mergeCell ref="SXH307:SXH310"/>
    <mergeCell ref="SXJ307:SXJ308"/>
    <mergeCell ref="SXK307:SXK308"/>
    <mergeCell ref="SXN307:SXN308"/>
    <mergeCell ref="SXV307:SXV308"/>
    <mergeCell ref="SXW307:SXW310"/>
    <mergeCell ref="SXX307:SXX310"/>
    <mergeCell ref="SXZ307:SXZ308"/>
    <mergeCell ref="SYA307:SYA308"/>
    <mergeCell ref="SYD307:SYD308"/>
    <mergeCell ref="SYL307:SYL308"/>
    <mergeCell ref="SYM307:SYM310"/>
    <mergeCell ref="SYN307:SYN310"/>
    <mergeCell ref="SYP307:SYP308"/>
    <mergeCell ref="SYQ307:SYQ308"/>
    <mergeCell ref="SYT307:SYT308"/>
    <mergeCell ref="SXJ309:SXJ310"/>
    <mergeCell ref="SXK309:SXK310"/>
    <mergeCell ref="SXN309:SXN310"/>
    <mergeCell ref="SXV309:SXV310"/>
    <mergeCell ref="SXZ309:SXZ310"/>
    <mergeCell ref="SYA309:SYA310"/>
    <mergeCell ref="SYD309:SYD310"/>
    <mergeCell ref="SYL309:SYL310"/>
    <mergeCell ref="SYP309:SYP310"/>
    <mergeCell ref="SYQ309:SYQ310"/>
    <mergeCell ref="SYT309:SYT310"/>
    <mergeCell ref="SVL307:SVL310"/>
    <mergeCell ref="SVN307:SVN308"/>
    <mergeCell ref="SVO307:SVO308"/>
    <mergeCell ref="SVR307:SVR308"/>
    <mergeCell ref="SVZ307:SVZ308"/>
    <mergeCell ref="SWA307:SWA310"/>
    <mergeCell ref="SWB307:SWB310"/>
    <mergeCell ref="SWD307:SWD308"/>
    <mergeCell ref="SWE307:SWE308"/>
    <mergeCell ref="SWH307:SWH308"/>
    <mergeCell ref="SWP307:SWP308"/>
    <mergeCell ref="SWQ307:SWQ310"/>
    <mergeCell ref="SWR307:SWR310"/>
    <mergeCell ref="SWT307:SWT308"/>
    <mergeCell ref="SWU307:SWU308"/>
    <mergeCell ref="SWX307:SWX308"/>
    <mergeCell ref="SXF307:SXF308"/>
    <mergeCell ref="SVN309:SVN310"/>
    <mergeCell ref="SVO309:SVO310"/>
    <mergeCell ref="SVR309:SVR310"/>
    <mergeCell ref="SVZ309:SVZ310"/>
    <mergeCell ref="SWD309:SWD310"/>
    <mergeCell ref="SWE309:SWE310"/>
    <mergeCell ref="SWH309:SWH310"/>
    <mergeCell ref="SWP309:SWP310"/>
    <mergeCell ref="SWT309:SWT310"/>
    <mergeCell ref="SWU309:SWU310"/>
    <mergeCell ref="SWX309:SWX310"/>
    <mergeCell ref="SXF309:SXF310"/>
    <mergeCell ref="STR307:STR308"/>
    <mergeCell ref="STS307:STS308"/>
    <mergeCell ref="STV307:STV308"/>
    <mergeCell ref="SUD307:SUD308"/>
    <mergeCell ref="SUE307:SUE310"/>
    <mergeCell ref="SUF307:SUF310"/>
    <mergeCell ref="SUH307:SUH308"/>
    <mergeCell ref="SUI307:SUI308"/>
    <mergeCell ref="SUL307:SUL308"/>
    <mergeCell ref="SUT307:SUT308"/>
    <mergeCell ref="SUU307:SUU310"/>
    <mergeCell ref="SUV307:SUV310"/>
    <mergeCell ref="SUX307:SUX308"/>
    <mergeCell ref="SUY307:SUY308"/>
    <mergeCell ref="SVB307:SVB308"/>
    <mergeCell ref="SVJ307:SVJ308"/>
    <mergeCell ref="SVK307:SVK310"/>
    <mergeCell ref="STR309:STR310"/>
    <mergeCell ref="STS309:STS310"/>
    <mergeCell ref="STV309:STV310"/>
    <mergeCell ref="SUD309:SUD310"/>
    <mergeCell ref="SUH309:SUH310"/>
    <mergeCell ref="SUI309:SUI310"/>
    <mergeCell ref="SUL309:SUL310"/>
    <mergeCell ref="SUT309:SUT310"/>
    <mergeCell ref="SUX309:SUX310"/>
    <mergeCell ref="SUY309:SUY310"/>
    <mergeCell ref="SVB309:SVB310"/>
    <mergeCell ref="SVJ309:SVJ310"/>
    <mergeCell ref="SRW307:SRW308"/>
    <mergeCell ref="SRZ307:SRZ308"/>
    <mergeCell ref="SSH307:SSH308"/>
    <mergeCell ref="SSI307:SSI310"/>
    <mergeCell ref="SSJ307:SSJ310"/>
    <mergeCell ref="SSL307:SSL308"/>
    <mergeCell ref="SSM307:SSM308"/>
    <mergeCell ref="SSP307:SSP308"/>
    <mergeCell ref="SSX307:SSX308"/>
    <mergeCell ref="SSY307:SSY310"/>
    <mergeCell ref="SSZ307:SSZ310"/>
    <mergeCell ref="STB307:STB308"/>
    <mergeCell ref="STC307:STC308"/>
    <mergeCell ref="STF307:STF308"/>
    <mergeCell ref="STN307:STN308"/>
    <mergeCell ref="STO307:STO310"/>
    <mergeCell ref="STP307:STP310"/>
    <mergeCell ref="SRW309:SRW310"/>
    <mergeCell ref="SRZ309:SRZ310"/>
    <mergeCell ref="SSH309:SSH310"/>
    <mergeCell ref="SSL309:SSL310"/>
    <mergeCell ref="SSM309:SSM310"/>
    <mergeCell ref="SSP309:SSP310"/>
    <mergeCell ref="SSX309:SSX310"/>
    <mergeCell ref="STB309:STB310"/>
    <mergeCell ref="STC309:STC310"/>
    <mergeCell ref="STF309:STF310"/>
    <mergeCell ref="STN309:STN310"/>
    <mergeCell ref="SQD307:SQD308"/>
    <mergeCell ref="SQL307:SQL308"/>
    <mergeCell ref="SQM307:SQM310"/>
    <mergeCell ref="SQN307:SQN310"/>
    <mergeCell ref="SQP307:SQP308"/>
    <mergeCell ref="SQQ307:SQQ308"/>
    <mergeCell ref="SQT307:SQT308"/>
    <mergeCell ref="SRB307:SRB308"/>
    <mergeCell ref="SRC307:SRC310"/>
    <mergeCell ref="SRD307:SRD310"/>
    <mergeCell ref="SRF307:SRF308"/>
    <mergeCell ref="SRG307:SRG308"/>
    <mergeCell ref="SRJ307:SRJ308"/>
    <mergeCell ref="SRR307:SRR308"/>
    <mergeCell ref="SRS307:SRS310"/>
    <mergeCell ref="SRT307:SRT310"/>
    <mergeCell ref="SRV307:SRV308"/>
    <mergeCell ref="SQD309:SQD310"/>
    <mergeCell ref="SQL309:SQL310"/>
    <mergeCell ref="SQP309:SQP310"/>
    <mergeCell ref="SQQ309:SQQ310"/>
    <mergeCell ref="SQT309:SQT310"/>
    <mergeCell ref="SRB309:SRB310"/>
    <mergeCell ref="SRF309:SRF310"/>
    <mergeCell ref="SRG309:SRG310"/>
    <mergeCell ref="SRJ309:SRJ310"/>
    <mergeCell ref="SRR309:SRR310"/>
    <mergeCell ref="SRV309:SRV310"/>
    <mergeCell ref="SOP307:SOP308"/>
    <mergeCell ref="SOQ307:SOQ310"/>
    <mergeCell ref="SOR307:SOR310"/>
    <mergeCell ref="SOT307:SOT308"/>
    <mergeCell ref="SOU307:SOU308"/>
    <mergeCell ref="SOX307:SOX308"/>
    <mergeCell ref="SPF307:SPF308"/>
    <mergeCell ref="SPG307:SPG310"/>
    <mergeCell ref="SPH307:SPH310"/>
    <mergeCell ref="SPJ307:SPJ308"/>
    <mergeCell ref="SPK307:SPK308"/>
    <mergeCell ref="SPN307:SPN308"/>
    <mergeCell ref="SPV307:SPV308"/>
    <mergeCell ref="SPW307:SPW310"/>
    <mergeCell ref="SPX307:SPX310"/>
    <mergeCell ref="SPZ307:SPZ308"/>
    <mergeCell ref="SQA307:SQA308"/>
    <mergeCell ref="SOP309:SOP310"/>
    <mergeCell ref="SOT309:SOT310"/>
    <mergeCell ref="SOU309:SOU310"/>
    <mergeCell ref="SOX309:SOX310"/>
    <mergeCell ref="SPF309:SPF310"/>
    <mergeCell ref="SPJ309:SPJ310"/>
    <mergeCell ref="SPK309:SPK310"/>
    <mergeCell ref="SPN309:SPN310"/>
    <mergeCell ref="SPV309:SPV310"/>
    <mergeCell ref="SPZ309:SPZ310"/>
    <mergeCell ref="SQA309:SQA310"/>
    <mergeCell ref="SMU307:SMU310"/>
    <mergeCell ref="SMV307:SMV310"/>
    <mergeCell ref="SMX307:SMX308"/>
    <mergeCell ref="SMY307:SMY308"/>
    <mergeCell ref="SNB307:SNB308"/>
    <mergeCell ref="SNJ307:SNJ308"/>
    <mergeCell ref="SNK307:SNK310"/>
    <mergeCell ref="SNL307:SNL310"/>
    <mergeCell ref="SNN307:SNN308"/>
    <mergeCell ref="SNO307:SNO308"/>
    <mergeCell ref="SNR307:SNR308"/>
    <mergeCell ref="SNZ307:SNZ308"/>
    <mergeCell ref="SOA307:SOA310"/>
    <mergeCell ref="SOB307:SOB310"/>
    <mergeCell ref="SOD307:SOD308"/>
    <mergeCell ref="SOE307:SOE308"/>
    <mergeCell ref="SOH307:SOH308"/>
    <mergeCell ref="SMX309:SMX310"/>
    <mergeCell ref="SMY309:SMY310"/>
    <mergeCell ref="SNB309:SNB310"/>
    <mergeCell ref="SNJ309:SNJ310"/>
    <mergeCell ref="SNN309:SNN310"/>
    <mergeCell ref="SNO309:SNO310"/>
    <mergeCell ref="SNR309:SNR310"/>
    <mergeCell ref="SNZ309:SNZ310"/>
    <mergeCell ref="SOD309:SOD310"/>
    <mergeCell ref="SOE309:SOE310"/>
    <mergeCell ref="SOH309:SOH310"/>
    <mergeCell ref="SKZ307:SKZ310"/>
    <mergeCell ref="SLB307:SLB308"/>
    <mergeCell ref="SLC307:SLC308"/>
    <mergeCell ref="SLF307:SLF308"/>
    <mergeCell ref="SLN307:SLN308"/>
    <mergeCell ref="SLO307:SLO310"/>
    <mergeCell ref="SLP307:SLP310"/>
    <mergeCell ref="SLR307:SLR308"/>
    <mergeCell ref="SLS307:SLS308"/>
    <mergeCell ref="SLV307:SLV308"/>
    <mergeCell ref="SMD307:SMD308"/>
    <mergeCell ref="SME307:SME310"/>
    <mergeCell ref="SMF307:SMF310"/>
    <mergeCell ref="SMH307:SMH308"/>
    <mergeCell ref="SMI307:SMI308"/>
    <mergeCell ref="SML307:SML308"/>
    <mergeCell ref="SMT307:SMT308"/>
    <mergeCell ref="SLB309:SLB310"/>
    <mergeCell ref="SLC309:SLC310"/>
    <mergeCell ref="SLF309:SLF310"/>
    <mergeCell ref="SLN309:SLN310"/>
    <mergeCell ref="SLR309:SLR310"/>
    <mergeCell ref="SLS309:SLS310"/>
    <mergeCell ref="SLV309:SLV310"/>
    <mergeCell ref="SMD309:SMD310"/>
    <mergeCell ref="SMH309:SMH310"/>
    <mergeCell ref="SMI309:SMI310"/>
    <mergeCell ref="SML309:SML310"/>
    <mergeCell ref="SMT309:SMT310"/>
    <mergeCell ref="SJF307:SJF308"/>
    <mergeCell ref="SJG307:SJG308"/>
    <mergeCell ref="SJJ307:SJJ308"/>
    <mergeCell ref="SJR307:SJR308"/>
    <mergeCell ref="SJS307:SJS310"/>
    <mergeCell ref="SJT307:SJT310"/>
    <mergeCell ref="SJV307:SJV308"/>
    <mergeCell ref="SJW307:SJW308"/>
    <mergeCell ref="SJZ307:SJZ308"/>
    <mergeCell ref="SKH307:SKH308"/>
    <mergeCell ref="SKI307:SKI310"/>
    <mergeCell ref="SKJ307:SKJ310"/>
    <mergeCell ref="SKL307:SKL308"/>
    <mergeCell ref="SKM307:SKM308"/>
    <mergeCell ref="SKP307:SKP308"/>
    <mergeCell ref="SKX307:SKX308"/>
    <mergeCell ref="SKY307:SKY310"/>
    <mergeCell ref="SJF309:SJF310"/>
    <mergeCell ref="SJG309:SJG310"/>
    <mergeCell ref="SJJ309:SJJ310"/>
    <mergeCell ref="SJR309:SJR310"/>
    <mergeCell ref="SJV309:SJV310"/>
    <mergeCell ref="SJW309:SJW310"/>
    <mergeCell ref="SJZ309:SJZ310"/>
    <mergeCell ref="SKH309:SKH310"/>
    <mergeCell ref="SKL309:SKL310"/>
    <mergeCell ref="SKM309:SKM310"/>
    <mergeCell ref="SKP309:SKP310"/>
    <mergeCell ref="SKX309:SKX310"/>
    <mergeCell ref="SHK307:SHK308"/>
    <mergeCell ref="SHN307:SHN308"/>
    <mergeCell ref="SHV307:SHV308"/>
    <mergeCell ref="SHW307:SHW310"/>
    <mergeCell ref="SHX307:SHX310"/>
    <mergeCell ref="SHZ307:SHZ308"/>
    <mergeCell ref="SIA307:SIA308"/>
    <mergeCell ref="SID307:SID308"/>
    <mergeCell ref="SIL307:SIL308"/>
    <mergeCell ref="SIM307:SIM310"/>
    <mergeCell ref="SIN307:SIN310"/>
    <mergeCell ref="SIP307:SIP308"/>
    <mergeCell ref="SIQ307:SIQ308"/>
    <mergeCell ref="SIT307:SIT308"/>
    <mergeCell ref="SJB307:SJB308"/>
    <mergeCell ref="SJC307:SJC310"/>
    <mergeCell ref="SJD307:SJD310"/>
    <mergeCell ref="SHK309:SHK310"/>
    <mergeCell ref="SHN309:SHN310"/>
    <mergeCell ref="SHV309:SHV310"/>
    <mergeCell ref="SHZ309:SHZ310"/>
    <mergeCell ref="SIA309:SIA310"/>
    <mergeCell ref="SID309:SID310"/>
    <mergeCell ref="SIL309:SIL310"/>
    <mergeCell ref="SIP309:SIP310"/>
    <mergeCell ref="SIQ309:SIQ310"/>
    <mergeCell ref="SIT309:SIT310"/>
    <mergeCell ref="SJB309:SJB310"/>
    <mergeCell ref="SFR307:SFR308"/>
    <mergeCell ref="SFZ307:SFZ308"/>
    <mergeCell ref="SGA307:SGA310"/>
    <mergeCell ref="SGB307:SGB310"/>
    <mergeCell ref="SGD307:SGD308"/>
    <mergeCell ref="SGE307:SGE308"/>
    <mergeCell ref="SGH307:SGH308"/>
    <mergeCell ref="SGP307:SGP308"/>
    <mergeCell ref="SGQ307:SGQ310"/>
    <mergeCell ref="SGR307:SGR310"/>
    <mergeCell ref="SGT307:SGT308"/>
    <mergeCell ref="SGU307:SGU308"/>
    <mergeCell ref="SGX307:SGX308"/>
    <mergeCell ref="SHF307:SHF308"/>
    <mergeCell ref="SHG307:SHG310"/>
    <mergeCell ref="SHH307:SHH310"/>
    <mergeCell ref="SHJ307:SHJ308"/>
    <mergeCell ref="SFR309:SFR310"/>
    <mergeCell ref="SFZ309:SFZ310"/>
    <mergeCell ref="SGD309:SGD310"/>
    <mergeCell ref="SGE309:SGE310"/>
    <mergeCell ref="SGH309:SGH310"/>
    <mergeCell ref="SGP309:SGP310"/>
    <mergeCell ref="SGT309:SGT310"/>
    <mergeCell ref="SGU309:SGU310"/>
    <mergeCell ref="SGX309:SGX310"/>
    <mergeCell ref="SHF309:SHF310"/>
    <mergeCell ref="SHJ309:SHJ310"/>
    <mergeCell ref="SED307:SED308"/>
    <mergeCell ref="SEE307:SEE310"/>
    <mergeCell ref="SEF307:SEF310"/>
    <mergeCell ref="SEH307:SEH308"/>
    <mergeCell ref="SEI307:SEI308"/>
    <mergeCell ref="SEL307:SEL308"/>
    <mergeCell ref="SET307:SET308"/>
    <mergeCell ref="SEU307:SEU310"/>
    <mergeCell ref="SEV307:SEV310"/>
    <mergeCell ref="SEX307:SEX308"/>
    <mergeCell ref="SEY307:SEY308"/>
    <mergeCell ref="SFB307:SFB308"/>
    <mergeCell ref="SFJ307:SFJ308"/>
    <mergeCell ref="SFK307:SFK310"/>
    <mergeCell ref="SFL307:SFL310"/>
    <mergeCell ref="SFN307:SFN308"/>
    <mergeCell ref="SFO307:SFO308"/>
    <mergeCell ref="SED309:SED310"/>
    <mergeCell ref="SEH309:SEH310"/>
    <mergeCell ref="SEI309:SEI310"/>
    <mergeCell ref="SEL309:SEL310"/>
    <mergeCell ref="SET309:SET310"/>
    <mergeCell ref="SEX309:SEX310"/>
    <mergeCell ref="SEY309:SEY310"/>
    <mergeCell ref="SFB309:SFB310"/>
    <mergeCell ref="SFJ309:SFJ310"/>
    <mergeCell ref="SFN309:SFN310"/>
    <mergeCell ref="SFO309:SFO310"/>
    <mergeCell ref="SCI307:SCI310"/>
    <mergeCell ref="SCJ307:SCJ310"/>
    <mergeCell ref="SCL307:SCL308"/>
    <mergeCell ref="SCM307:SCM308"/>
    <mergeCell ref="SCP307:SCP308"/>
    <mergeCell ref="SCX307:SCX308"/>
    <mergeCell ref="SCY307:SCY310"/>
    <mergeCell ref="SCZ307:SCZ310"/>
    <mergeCell ref="SDB307:SDB308"/>
    <mergeCell ref="SDC307:SDC308"/>
    <mergeCell ref="SDF307:SDF308"/>
    <mergeCell ref="SDN307:SDN308"/>
    <mergeCell ref="SDO307:SDO310"/>
    <mergeCell ref="SDP307:SDP310"/>
    <mergeCell ref="SDR307:SDR308"/>
    <mergeCell ref="SDS307:SDS308"/>
    <mergeCell ref="SDV307:SDV308"/>
    <mergeCell ref="SCL309:SCL310"/>
    <mergeCell ref="SCM309:SCM310"/>
    <mergeCell ref="SCP309:SCP310"/>
    <mergeCell ref="SCX309:SCX310"/>
    <mergeCell ref="SDB309:SDB310"/>
    <mergeCell ref="SDC309:SDC310"/>
    <mergeCell ref="SDF309:SDF310"/>
    <mergeCell ref="SDN309:SDN310"/>
    <mergeCell ref="SDR309:SDR310"/>
    <mergeCell ref="SDS309:SDS310"/>
    <mergeCell ref="SDV309:SDV310"/>
    <mergeCell ref="SAN307:SAN310"/>
    <mergeCell ref="SAP307:SAP308"/>
    <mergeCell ref="SAQ307:SAQ308"/>
    <mergeCell ref="SAT307:SAT308"/>
    <mergeCell ref="SBB307:SBB308"/>
    <mergeCell ref="SBC307:SBC310"/>
    <mergeCell ref="SBD307:SBD310"/>
    <mergeCell ref="SBF307:SBF308"/>
    <mergeCell ref="SBG307:SBG308"/>
    <mergeCell ref="SBJ307:SBJ308"/>
    <mergeCell ref="SBR307:SBR308"/>
    <mergeCell ref="SBS307:SBS310"/>
    <mergeCell ref="SBT307:SBT310"/>
    <mergeCell ref="SBV307:SBV308"/>
    <mergeCell ref="SBW307:SBW308"/>
    <mergeCell ref="SBZ307:SBZ308"/>
    <mergeCell ref="SCH307:SCH308"/>
    <mergeCell ref="SAP309:SAP310"/>
    <mergeCell ref="SAQ309:SAQ310"/>
    <mergeCell ref="SAT309:SAT310"/>
    <mergeCell ref="SBB309:SBB310"/>
    <mergeCell ref="SBF309:SBF310"/>
    <mergeCell ref="SBG309:SBG310"/>
    <mergeCell ref="SBJ309:SBJ310"/>
    <mergeCell ref="SBR309:SBR310"/>
    <mergeCell ref="SBV309:SBV310"/>
    <mergeCell ref="SBW309:SBW310"/>
    <mergeCell ref="SBZ309:SBZ310"/>
    <mergeCell ref="SCH309:SCH310"/>
    <mergeCell ref="RYT307:RYT308"/>
    <mergeCell ref="RYU307:RYU308"/>
    <mergeCell ref="RYX307:RYX308"/>
    <mergeCell ref="RZF307:RZF308"/>
    <mergeCell ref="RZG307:RZG310"/>
    <mergeCell ref="RZH307:RZH310"/>
    <mergeCell ref="RZJ307:RZJ308"/>
    <mergeCell ref="RZK307:RZK308"/>
    <mergeCell ref="RZN307:RZN308"/>
    <mergeCell ref="RZV307:RZV308"/>
    <mergeCell ref="RZW307:RZW310"/>
    <mergeCell ref="RZX307:RZX310"/>
    <mergeCell ref="RZZ307:RZZ308"/>
    <mergeCell ref="SAA307:SAA308"/>
    <mergeCell ref="SAD307:SAD308"/>
    <mergeCell ref="SAL307:SAL308"/>
    <mergeCell ref="SAM307:SAM310"/>
    <mergeCell ref="RYT309:RYT310"/>
    <mergeCell ref="RYU309:RYU310"/>
    <mergeCell ref="RYX309:RYX310"/>
    <mergeCell ref="RZF309:RZF310"/>
    <mergeCell ref="RZJ309:RZJ310"/>
    <mergeCell ref="RZK309:RZK310"/>
    <mergeCell ref="RZN309:RZN310"/>
    <mergeCell ref="RZV309:RZV310"/>
    <mergeCell ref="RZZ309:RZZ310"/>
    <mergeCell ref="SAA309:SAA310"/>
    <mergeCell ref="SAD309:SAD310"/>
    <mergeCell ref="SAL309:SAL310"/>
    <mergeCell ref="RWY307:RWY308"/>
    <mergeCell ref="RXB307:RXB308"/>
    <mergeCell ref="RXJ307:RXJ308"/>
    <mergeCell ref="RXK307:RXK310"/>
    <mergeCell ref="RXL307:RXL310"/>
    <mergeCell ref="RXN307:RXN308"/>
    <mergeCell ref="RXO307:RXO308"/>
    <mergeCell ref="RXR307:RXR308"/>
    <mergeCell ref="RXZ307:RXZ308"/>
    <mergeCell ref="RYA307:RYA310"/>
    <mergeCell ref="RYB307:RYB310"/>
    <mergeCell ref="RYD307:RYD308"/>
    <mergeCell ref="RYE307:RYE308"/>
    <mergeCell ref="RYH307:RYH308"/>
    <mergeCell ref="RYP307:RYP308"/>
    <mergeCell ref="RYQ307:RYQ310"/>
    <mergeCell ref="RYR307:RYR310"/>
    <mergeCell ref="RWY309:RWY310"/>
    <mergeCell ref="RXB309:RXB310"/>
    <mergeCell ref="RXJ309:RXJ310"/>
    <mergeCell ref="RXN309:RXN310"/>
    <mergeCell ref="RXO309:RXO310"/>
    <mergeCell ref="RXR309:RXR310"/>
    <mergeCell ref="RXZ309:RXZ310"/>
    <mergeCell ref="RYD309:RYD310"/>
    <mergeCell ref="RYE309:RYE310"/>
    <mergeCell ref="RYH309:RYH310"/>
    <mergeCell ref="RYP309:RYP310"/>
    <mergeCell ref="RVF307:RVF308"/>
    <mergeCell ref="RVN307:RVN308"/>
    <mergeCell ref="RVO307:RVO310"/>
    <mergeCell ref="RVP307:RVP310"/>
    <mergeCell ref="RVR307:RVR308"/>
    <mergeCell ref="RVS307:RVS308"/>
    <mergeCell ref="RVV307:RVV308"/>
    <mergeCell ref="RWD307:RWD308"/>
    <mergeCell ref="RWE307:RWE310"/>
    <mergeCell ref="RWF307:RWF310"/>
    <mergeCell ref="RWH307:RWH308"/>
    <mergeCell ref="RWI307:RWI308"/>
    <mergeCell ref="RWL307:RWL308"/>
    <mergeCell ref="RWT307:RWT308"/>
    <mergeCell ref="RWU307:RWU310"/>
    <mergeCell ref="RWV307:RWV310"/>
    <mergeCell ref="RWX307:RWX308"/>
    <mergeCell ref="RVF309:RVF310"/>
    <mergeCell ref="RVN309:RVN310"/>
    <mergeCell ref="RVR309:RVR310"/>
    <mergeCell ref="RVS309:RVS310"/>
    <mergeCell ref="RVV309:RVV310"/>
    <mergeCell ref="RWD309:RWD310"/>
    <mergeCell ref="RWH309:RWH310"/>
    <mergeCell ref="RWI309:RWI310"/>
    <mergeCell ref="RWL309:RWL310"/>
    <mergeCell ref="RWT309:RWT310"/>
    <mergeCell ref="RWX309:RWX310"/>
    <mergeCell ref="RTR307:RTR308"/>
    <mergeCell ref="RTS307:RTS310"/>
    <mergeCell ref="RTT307:RTT310"/>
    <mergeCell ref="RTV307:RTV308"/>
    <mergeCell ref="RTW307:RTW308"/>
    <mergeCell ref="RTZ307:RTZ308"/>
    <mergeCell ref="RUH307:RUH308"/>
    <mergeCell ref="RUI307:RUI310"/>
    <mergeCell ref="RUJ307:RUJ310"/>
    <mergeCell ref="RUL307:RUL308"/>
    <mergeCell ref="RUM307:RUM308"/>
    <mergeCell ref="RUP307:RUP308"/>
    <mergeCell ref="RUX307:RUX308"/>
    <mergeCell ref="RUY307:RUY310"/>
    <mergeCell ref="RUZ307:RUZ310"/>
    <mergeCell ref="RVB307:RVB308"/>
    <mergeCell ref="RVC307:RVC308"/>
    <mergeCell ref="RTR309:RTR310"/>
    <mergeCell ref="RTV309:RTV310"/>
    <mergeCell ref="RTW309:RTW310"/>
    <mergeCell ref="RTZ309:RTZ310"/>
    <mergeCell ref="RUH309:RUH310"/>
    <mergeCell ref="RUL309:RUL310"/>
    <mergeCell ref="RUM309:RUM310"/>
    <mergeCell ref="RUP309:RUP310"/>
    <mergeCell ref="RUX309:RUX310"/>
    <mergeCell ref="RVB309:RVB310"/>
    <mergeCell ref="RVC309:RVC310"/>
    <mergeCell ref="RRW307:RRW310"/>
    <mergeCell ref="RRX307:RRX310"/>
    <mergeCell ref="RRZ307:RRZ308"/>
    <mergeCell ref="RSA307:RSA308"/>
    <mergeCell ref="RSD307:RSD308"/>
    <mergeCell ref="RSL307:RSL308"/>
    <mergeCell ref="RSM307:RSM310"/>
    <mergeCell ref="RSN307:RSN310"/>
    <mergeCell ref="RSP307:RSP308"/>
    <mergeCell ref="RSQ307:RSQ308"/>
    <mergeCell ref="RST307:RST308"/>
    <mergeCell ref="RTB307:RTB308"/>
    <mergeCell ref="RTC307:RTC310"/>
    <mergeCell ref="RTD307:RTD310"/>
    <mergeCell ref="RTF307:RTF308"/>
    <mergeCell ref="RTG307:RTG308"/>
    <mergeCell ref="RTJ307:RTJ308"/>
    <mergeCell ref="RRZ309:RRZ310"/>
    <mergeCell ref="RSA309:RSA310"/>
    <mergeCell ref="RSD309:RSD310"/>
    <mergeCell ref="RSL309:RSL310"/>
    <mergeCell ref="RSP309:RSP310"/>
    <mergeCell ref="RSQ309:RSQ310"/>
    <mergeCell ref="RST309:RST310"/>
    <mergeCell ref="RTB309:RTB310"/>
    <mergeCell ref="RTF309:RTF310"/>
    <mergeCell ref="RTG309:RTG310"/>
    <mergeCell ref="RTJ309:RTJ310"/>
    <mergeCell ref="RQB307:RQB310"/>
    <mergeCell ref="RQD307:RQD308"/>
    <mergeCell ref="RQE307:RQE308"/>
    <mergeCell ref="RQH307:RQH308"/>
    <mergeCell ref="RQP307:RQP308"/>
    <mergeCell ref="RQQ307:RQQ310"/>
    <mergeCell ref="RQR307:RQR310"/>
    <mergeCell ref="RQT307:RQT308"/>
    <mergeCell ref="RQU307:RQU308"/>
    <mergeCell ref="RQX307:RQX308"/>
    <mergeCell ref="RRF307:RRF308"/>
    <mergeCell ref="RRG307:RRG310"/>
    <mergeCell ref="RRH307:RRH310"/>
    <mergeCell ref="RRJ307:RRJ308"/>
    <mergeCell ref="RRK307:RRK308"/>
    <mergeCell ref="RRN307:RRN308"/>
    <mergeCell ref="RRV307:RRV308"/>
    <mergeCell ref="RQD309:RQD310"/>
    <mergeCell ref="RQE309:RQE310"/>
    <mergeCell ref="RQH309:RQH310"/>
    <mergeCell ref="RQP309:RQP310"/>
    <mergeCell ref="RQT309:RQT310"/>
    <mergeCell ref="RQU309:RQU310"/>
    <mergeCell ref="RQX309:RQX310"/>
    <mergeCell ref="RRF309:RRF310"/>
    <mergeCell ref="RRJ309:RRJ310"/>
    <mergeCell ref="RRK309:RRK310"/>
    <mergeCell ref="RRN309:RRN310"/>
    <mergeCell ref="RRV309:RRV310"/>
    <mergeCell ref="ROH307:ROH308"/>
    <mergeCell ref="ROI307:ROI308"/>
    <mergeCell ref="ROL307:ROL308"/>
    <mergeCell ref="ROT307:ROT308"/>
    <mergeCell ref="ROU307:ROU310"/>
    <mergeCell ref="ROV307:ROV310"/>
    <mergeCell ref="ROX307:ROX308"/>
    <mergeCell ref="ROY307:ROY308"/>
    <mergeCell ref="RPB307:RPB308"/>
    <mergeCell ref="RPJ307:RPJ308"/>
    <mergeCell ref="RPK307:RPK310"/>
    <mergeCell ref="RPL307:RPL310"/>
    <mergeCell ref="RPN307:RPN308"/>
    <mergeCell ref="RPO307:RPO308"/>
    <mergeCell ref="RPR307:RPR308"/>
    <mergeCell ref="RPZ307:RPZ308"/>
    <mergeCell ref="RQA307:RQA310"/>
    <mergeCell ref="ROH309:ROH310"/>
    <mergeCell ref="ROI309:ROI310"/>
    <mergeCell ref="ROL309:ROL310"/>
    <mergeCell ref="ROT309:ROT310"/>
    <mergeCell ref="ROX309:ROX310"/>
    <mergeCell ref="ROY309:ROY310"/>
    <mergeCell ref="RPB309:RPB310"/>
    <mergeCell ref="RPJ309:RPJ310"/>
    <mergeCell ref="RPN309:RPN310"/>
    <mergeCell ref="RPO309:RPO310"/>
    <mergeCell ref="RPR309:RPR310"/>
    <mergeCell ref="RPZ309:RPZ310"/>
    <mergeCell ref="RMM307:RMM308"/>
    <mergeCell ref="RMP307:RMP308"/>
    <mergeCell ref="RMX307:RMX308"/>
    <mergeCell ref="RMY307:RMY310"/>
    <mergeCell ref="RMZ307:RMZ310"/>
    <mergeCell ref="RNB307:RNB308"/>
    <mergeCell ref="RNC307:RNC308"/>
    <mergeCell ref="RNF307:RNF308"/>
    <mergeCell ref="RNN307:RNN308"/>
    <mergeCell ref="RNO307:RNO310"/>
    <mergeCell ref="RNP307:RNP310"/>
    <mergeCell ref="RNR307:RNR308"/>
    <mergeCell ref="RNS307:RNS308"/>
    <mergeCell ref="RNV307:RNV308"/>
    <mergeCell ref="ROD307:ROD308"/>
    <mergeCell ref="ROE307:ROE310"/>
    <mergeCell ref="ROF307:ROF310"/>
    <mergeCell ref="RMM309:RMM310"/>
    <mergeCell ref="RMP309:RMP310"/>
    <mergeCell ref="RMX309:RMX310"/>
    <mergeCell ref="RNB309:RNB310"/>
    <mergeCell ref="RNC309:RNC310"/>
    <mergeCell ref="RNF309:RNF310"/>
    <mergeCell ref="RNN309:RNN310"/>
    <mergeCell ref="RNR309:RNR310"/>
    <mergeCell ref="RNS309:RNS310"/>
    <mergeCell ref="RNV309:RNV310"/>
    <mergeCell ref="ROD309:ROD310"/>
    <mergeCell ref="RKT307:RKT308"/>
    <mergeCell ref="RLB307:RLB308"/>
    <mergeCell ref="RLC307:RLC310"/>
    <mergeCell ref="RLD307:RLD310"/>
    <mergeCell ref="RLF307:RLF308"/>
    <mergeCell ref="RLG307:RLG308"/>
    <mergeCell ref="RLJ307:RLJ308"/>
    <mergeCell ref="RLR307:RLR308"/>
    <mergeCell ref="RLS307:RLS310"/>
    <mergeCell ref="RLT307:RLT310"/>
    <mergeCell ref="RLV307:RLV308"/>
    <mergeCell ref="RLW307:RLW308"/>
    <mergeCell ref="RLZ307:RLZ308"/>
    <mergeCell ref="RMH307:RMH308"/>
    <mergeCell ref="RMI307:RMI310"/>
    <mergeCell ref="RMJ307:RMJ310"/>
    <mergeCell ref="RML307:RML308"/>
    <mergeCell ref="RKT309:RKT310"/>
    <mergeCell ref="RLB309:RLB310"/>
    <mergeCell ref="RLF309:RLF310"/>
    <mergeCell ref="RLG309:RLG310"/>
    <mergeCell ref="RLJ309:RLJ310"/>
    <mergeCell ref="RLR309:RLR310"/>
    <mergeCell ref="RLV309:RLV310"/>
    <mergeCell ref="RLW309:RLW310"/>
    <mergeCell ref="RLZ309:RLZ310"/>
    <mergeCell ref="RMH309:RMH310"/>
    <mergeCell ref="RML309:RML310"/>
    <mergeCell ref="RJF307:RJF308"/>
    <mergeCell ref="RJG307:RJG310"/>
    <mergeCell ref="RJH307:RJH310"/>
    <mergeCell ref="RJJ307:RJJ308"/>
    <mergeCell ref="RJK307:RJK308"/>
    <mergeCell ref="RJN307:RJN308"/>
    <mergeCell ref="RJV307:RJV308"/>
    <mergeCell ref="RJW307:RJW310"/>
    <mergeCell ref="RJX307:RJX310"/>
    <mergeCell ref="RJZ307:RJZ308"/>
    <mergeCell ref="RKA307:RKA308"/>
    <mergeCell ref="RKD307:RKD308"/>
    <mergeCell ref="RKL307:RKL308"/>
    <mergeCell ref="RKM307:RKM310"/>
    <mergeCell ref="RKN307:RKN310"/>
    <mergeCell ref="RKP307:RKP308"/>
    <mergeCell ref="RKQ307:RKQ308"/>
    <mergeCell ref="RJF309:RJF310"/>
    <mergeCell ref="RJJ309:RJJ310"/>
    <mergeCell ref="RJK309:RJK310"/>
    <mergeCell ref="RJN309:RJN310"/>
    <mergeCell ref="RJV309:RJV310"/>
    <mergeCell ref="RJZ309:RJZ310"/>
    <mergeCell ref="RKA309:RKA310"/>
    <mergeCell ref="RKD309:RKD310"/>
    <mergeCell ref="RKL309:RKL310"/>
    <mergeCell ref="RKP309:RKP310"/>
    <mergeCell ref="RKQ309:RKQ310"/>
    <mergeCell ref="RHK307:RHK310"/>
    <mergeCell ref="RHL307:RHL310"/>
    <mergeCell ref="RHN307:RHN308"/>
    <mergeCell ref="RHO307:RHO308"/>
    <mergeCell ref="RHR307:RHR308"/>
    <mergeCell ref="RHZ307:RHZ308"/>
    <mergeCell ref="RIA307:RIA310"/>
    <mergeCell ref="RIB307:RIB310"/>
    <mergeCell ref="RID307:RID308"/>
    <mergeCell ref="RIE307:RIE308"/>
    <mergeCell ref="RIH307:RIH308"/>
    <mergeCell ref="RIP307:RIP308"/>
    <mergeCell ref="RIQ307:RIQ310"/>
    <mergeCell ref="RIR307:RIR310"/>
    <mergeCell ref="RIT307:RIT308"/>
    <mergeCell ref="RIU307:RIU308"/>
    <mergeCell ref="RIX307:RIX308"/>
    <mergeCell ref="RHN309:RHN310"/>
    <mergeCell ref="RHO309:RHO310"/>
    <mergeCell ref="RHR309:RHR310"/>
    <mergeCell ref="RHZ309:RHZ310"/>
    <mergeCell ref="RID309:RID310"/>
    <mergeCell ref="RIE309:RIE310"/>
    <mergeCell ref="RIH309:RIH310"/>
    <mergeCell ref="RIP309:RIP310"/>
    <mergeCell ref="RIT309:RIT310"/>
    <mergeCell ref="RIU309:RIU310"/>
    <mergeCell ref="RIX309:RIX310"/>
    <mergeCell ref="RFP307:RFP310"/>
    <mergeCell ref="RFR307:RFR308"/>
    <mergeCell ref="RFS307:RFS308"/>
    <mergeCell ref="RFV307:RFV308"/>
    <mergeCell ref="RGD307:RGD308"/>
    <mergeCell ref="RGE307:RGE310"/>
    <mergeCell ref="RGF307:RGF310"/>
    <mergeCell ref="RGH307:RGH308"/>
    <mergeCell ref="RGI307:RGI308"/>
    <mergeCell ref="RGL307:RGL308"/>
    <mergeCell ref="RGT307:RGT308"/>
    <mergeCell ref="RGU307:RGU310"/>
    <mergeCell ref="RGV307:RGV310"/>
    <mergeCell ref="RGX307:RGX308"/>
    <mergeCell ref="RGY307:RGY308"/>
    <mergeCell ref="RHB307:RHB308"/>
    <mergeCell ref="RHJ307:RHJ308"/>
    <mergeCell ref="RFR309:RFR310"/>
    <mergeCell ref="RFS309:RFS310"/>
    <mergeCell ref="RFV309:RFV310"/>
    <mergeCell ref="RGD309:RGD310"/>
    <mergeCell ref="RGH309:RGH310"/>
    <mergeCell ref="RGI309:RGI310"/>
    <mergeCell ref="RGL309:RGL310"/>
    <mergeCell ref="RGT309:RGT310"/>
    <mergeCell ref="RGX309:RGX310"/>
    <mergeCell ref="RGY309:RGY310"/>
    <mergeCell ref="RHB309:RHB310"/>
    <mergeCell ref="RHJ309:RHJ310"/>
    <mergeCell ref="RDV307:RDV308"/>
    <mergeCell ref="RDW307:RDW308"/>
    <mergeCell ref="RDZ307:RDZ308"/>
    <mergeCell ref="REH307:REH308"/>
    <mergeCell ref="REI307:REI310"/>
    <mergeCell ref="REJ307:REJ310"/>
    <mergeCell ref="REL307:REL308"/>
    <mergeCell ref="REM307:REM308"/>
    <mergeCell ref="REP307:REP308"/>
    <mergeCell ref="REX307:REX308"/>
    <mergeCell ref="REY307:REY310"/>
    <mergeCell ref="REZ307:REZ310"/>
    <mergeCell ref="RFB307:RFB308"/>
    <mergeCell ref="RFC307:RFC308"/>
    <mergeCell ref="RFF307:RFF308"/>
    <mergeCell ref="RFN307:RFN308"/>
    <mergeCell ref="RFO307:RFO310"/>
    <mergeCell ref="RDV309:RDV310"/>
    <mergeCell ref="RDW309:RDW310"/>
    <mergeCell ref="RDZ309:RDZ310"/>
    <mergeCell ref="REH309:REH310"/>
    <mergeCell ref="REL309:REL310"/>
    <mergeCell ref="REM309:REM310"/>
    <mergeCell ref="REP309:REP310"/>
    <mergeCell ref="REX309:REX310"/>
    <mergeCell ref="RFB309:RFB310"/>
    <mergeCell ref="RFC309:RFC310"/>
    <mergeCell ref="RFF309:RFF310"/>
    <mergeCell ref="RFN309:RFN310"/>
    <mergeCell ref="RCA307:RCA308"/>
    <mergeCell ref="RCD307:RCD308"/>
    <mergeCell ref="RCL307:RCL308"/>
    <mergeCell ref="RCM307:RCM310"/>
    <mergeCell ref="RCN307:RCN310"/>
    <mergeCell ref="RCP307:RCP308"/>
    <mergeCell ref="RCQ307:RCQ308"/>
    <mergeCell ref="RCT307:RCT308"/>
    <mergeCell ref="RDB307:RDB308"/>
    <mergeCell ref="RDC307:RDC310"/>
    <mergeCell ref="RDD307:RDD310"/>
    <mergeCell ref="RDF307:RDF308"/>
    <mergeCell ref="RDG307:RDG308"/>
    <mergeCell ref="RDJ307:RDJ308"/>
    <mergeCell ref="RDR307:RDR308"/>
    <mergeCell ref="RDS307:RDS310"/>
    <mergeCell ref="RDT307:RDT310"/>
    <mergeCell ref="RCA309:RCA310"/>
    <mergeCell ref="RCD309:RCD310"/>
    <mergeCell ref="RCL309:RCL310"/>
    <mergeCell ref="RCP309:RCP310"/>
    <mergeCell ref="RCQ309:RCQ310"/>
    <mergeCell ref="RCT309:RCT310"/>
    <mergeCell ref="RDB309:RDB310"/>
    <mergeCell ref="RDF309:RDF310"/>
    <mergeCell ref="RDG309:RDG310"/>
    <mergeCell ref="RDJ309:RDJ310"/>
    <mergeCell ref="RDR309:RDR310"/>
    <mergeCell ref="RAH307:RAH308"/>
    <mergeCell ref="RAP307:RAP308"/>
    <mergeCell ref="RAQ307:RAQ310"/>
    <mergeCell ref="RAR307:RAR310"/>
    <mergeCell ref="RAT307:RAT308"/>
    <mergeCell ref="RAU307:RAU308"/>
    <mergeCell ref="RAX307:RAX308"/>
    <mergeCell ref="RBF307:RBF308"/>
    <mergeCell ref="RBG307:RBG310"/>
    <mergeCell ref="RBH307:RBH310"/>
    <mergeCell ref="RBJ307:RBJ308"/>
    <mergeCell ref="RBK307:RBK308"/>
    <mergeCell ref="RBN307:RBN308"/>
    <mergeCell ref="RBV307:RBV308"/>
    <mergeCell ref="RBW307:RBW310"/>
    <mergeCell ref="RBX307:RBX310"/>
    <mergeCell ref="RBZ307:RBZ308"/>
    <mergeCell ref="RAH309:RAH310"/>
    <mergeCell ref="RAP309:RAP310"/>
    <mergeCell ref="RAT309:RAT310"/>
    <mergeCell ref="RAU309:RAU310"/>
    <mergeCell ref="RAX309:RAX310"/>
    <mergeCell ref="RBF309:RBF310"/>
    <mergeCell ref="RBJ309:RBJ310"/>
    <mergeCell ref="RBK309:RBK310"/>
    <mergeCell ref="RBN309:RBN310"/>
    <mergeCell ref="RBV309:RBV310"/>
    <mergeCell ref="RBZ309:RBZ310"/>
    <mergeCell ref="QYT307:QYT308"/>
    <mergeCell ref="QYU307:QYU310"/>
    <mergeCell ref="QYV307:QYV310"/>
    <mergeCell ref="QYX307:QYX308"/>
    <mergeCell ref="QYY307:QYY308"/>
    <mergeCell ref="QZB307:QZB308"/>
    <mergeCell ref="QZJ307:QZJ308"/>
    <mergeCell ref="QZK307:QZK310"/>
    <mergeCell ref="QZL307:QZL310"/>
    <mergeCell ref="QZN307:QZN308"/>
    <mergeCell ref="QZO307:QZO308"/>
    <mergeCell ref="QZR307:QZR308"/>
    <mergeCell ref="QZZ307:QZZ308"/>
    <mergeCell ref="RAA307:RAA310"/>
    <mergeCell ref="RAB307:RAB310"/>
    <mergeCell ref="RAD307:RAD308"/>
    <mergeCell ref="RAE307:RAE308"/>
    <mergeCell ref="QYT309:QYT310"/>
    <mergeCell ref="QYX309:QYX310"/>
    <mergeCell ref="QYY309:QYY310"/>
    <mergeCell ref="QZB309:QZB310"/>
    <mergeCell ref="QZJ309:QZJ310"/>
    <mergeCell ref="QZN309:QZN310"/>
    <mergeCell ref="QZO309:QZO310"/>
    <mergeCell ref="QZR309:QZR310"/>
    <mergeCell ref="QZZ309:QZZ310"/>
    <mergeCell ref="RAD309:RAD310"/>
    <mergeCell ref="RAE309:RAE310"/>
    <mergeCell ref="QWY307:QWY310"/>
    <mergeCell ref="QWZ307:QWZ310"/>
    <mergeCell ref="QXB307:QXB308"/>
    <mergeCell ref="QXC307:QXC308"/>
    <mergeCell ref="QXF307:QXF308"/>
    <mergeCell ref="QXN307:QXN308"/>
    <mergeCell ref="QXO307:QXO310"/>
    <mergeCell ref="QXP307:QXP310"/>
    <mergeCell ref="QXR307:QXR308"/>
    <mergeCell ref="QXS307:QXS308"/>
    <mergeCell ref="QXV307:QXV308"/>
    <mergeCell ref="QYD307:QYD308"/>
    <mergeCell ref="QYE307:QYE310"/>
    <mergeCell ref="QYF307:QYF310"/>
    <mergeCell ref="QYH307:QYH308"/>
    <mergeCell ref="QYI307:QYI308"/>
    <mergeCell ref="QYL307:QYL308"/>
    <mergeCell ref="QXB309:QXB310"/>
    <mergeCell ref="QXC309:QXC310"/>
    <mergeCell ref="QXF309:QXF310"/>
    <mergeCell ref="QXN309:QXN310"/>
    <mergeCell ref="QXR309:QXR310"/>
    <mergeCell ref="QXS309:QXS310"/>
    <mergeCell ref="QXV309:QXV310"/>
    <mergeCell ref="QYD309:QYD310"/>
    <mergeCell ref="QYH309:QYH310"/>
    <mergeCell ref="QYI309:QYI310"/>
    <mergeCell ref="QYL309:QYL310"/>
    <mergeCell ref="QVD307:QVD310"/>
    <mergeCell ref="QVF307:QVF308"/>
    <mergeCell ref="QVG307:QVG308"/>
    <mergeCell ref="QVJ307:QVJ308"/>
    <mergeCell ref="QVR307:QVR308"/>
    <mergeCell ref="QVS307:QVS310"/>
    <mergeCell ref="QVT307:QVT310"/>
    <mergeCell ref="QVV307:QVV308"/>
    <mergeCell ref="QVW307:QVW308"/>
    <mergeCell ref="QVZ307:QVZ308"/>
    <mergeCell ref="QWH307:QWH308"/>
    <mergeCell ref="QWI307:QWI310"/>
    <mergeCell ref="QWJ307:QWJ310"/>
    <mergeCell ref="QWL307:QWL308"/>
    <mergeCell ref="QWM307:QWM308"/>
    <mergeCell ref="QWP307:QWP308"/>
    <mergeCell ref="QWX307:QWX308"/>
    <mergeCell ref="QVF309:QVF310"/>
    <mergeCell ref="QVG309:QVG310"/>
    <mergeCell ref="QVJ309:QVJ310"/>
    <mergeCell ref="QVR309:QVR310"/>
    <mergeCell ref="QVV309:QVV310"/>
    <mergeCell ref="QVW309:QVW310"/>
    <mergeCell ref="QVZ309:QVZ310"/>
    <mergeCell ref="QWH309:QWH310"/>
    <mergeCell ref="QWL309:QWL310"/>
    <mergeCell ref="QWM309:QWM310"/>
    <mergeCell ref="QWP309:QWP310"/>
    <mergeCell ref="QWX309:QWX310"/>
    <mergeCell ref="QTJ307:QTJ308"/>
    <mergeCell ref="QTK307:QTK308"/>
    <mergeCell ref="QTN307:QTN308"/>
    <mergeCell ref="QTV307:QTV308"/>
    <mergeCell ref="QTW307:QTW310"/>
    <mergeCell ref="QTX307:QTX310"/>
    <mergeCell ref="QTZ307:QTZ308"/>
    <mergeCell ref="QUA307:QUA308"/>
    <mergeCell ref="QUD307:QUD308"/>
    <mergeCell ref="QUL307:QUL308"/>
    <mergeCell ref="QUM307:QUM310"/>
    <mergeCell ref="QUN307:QUN310"/>
    <mergeCell ref="QUP307:QUP308"/>
    <mergeCell ref="QUQ307:QUQ308"/>
    <mergeCell ref="QUT307:QUT308"/>
    <mergeCell ref="QVB307:QVB308"/>
    <mergeCell ref="QVC307:QVC310"/>
    <mergeCell ref="QTJ309:QTJ310"/>
    <mergeCell ref="QTK309:QTK310"/>
    <mergeCell ref="QTN309:QTN310"/>
    <mergeCell ref="QTV309:QTV310"/>
    <mergeCell ref="QTZ309:QTZ310"/>
    <mergeCell ref="QUA309:QUA310"/>
    <mergeCell ref="QUD309:QUD310"/>
    <mergeCell ref="QUL309:QUL310"/>
    <mergeCell ref="QUP309:QUP310"/>
    <mergeCell ref="QUQ309:QUQ310"/>
    <mergeCell ref="QUT309:QUT310"/>
    <mergeCell ref="QVB309:QVB310"/>
    <mergeCell ref="QRO307:QRO308"/>
    <mergeCell ref="QRR307:QRR308"/>
    <mergeCell ref="QRZ307:QRZ308"/>
    <mergeCell ref="QSA307:QSA310"/>
    <mergeCell ref="QSB307:QSB310"/>
    <mergeCell ref="QSD307:QSD308"/>
    <mergeCell ref="QSE307:QSE308"/>
    <mergeCell ref="QSH307:QSH308"/>
    <mergeCell ref="QSP307:QSP308"/>
    <mergeCell ref="QSQ307:QSQ310"/>
    <mergeCell ref="QSR307:QSR310"/>
    <mergeCell ref="QST307:QST308"/>
    <mergeCell ref="QSU307:QSU308"/>
    <mergeCell ref="QSX307:QSX308"/>
    <mergeCell ref="QTF307:QTF308"/>
    <mergeCell ref="QTG307:QTG310"/>
    <mergeCell ref="QTH307:QTH310"/>
    <mergeCell ref="QRO309:QRO310"/>
    <mergeCell ref="QRR309:QRR310"/>
    <mergeCell ref="QRZ309:QRZ310"/>
    <mergeCell ref="QSD309:QSD310"/>
    <mergeCell ref="QSE309:QSE310"/>
    <mergeCell ref="QSH309:QSH310"/>
    <mergeCell ref="QSP309:QSP310"/>
    <mergeCell ref="QST309:QST310"/>
    <mergeCell ref="QSU309:QSU310"/>
    <mergeCell ref="QSX309:QSX310"/>
    <mergeCell ref="QTF309:QTF310"/>
    <mergeCell ref="QPV307:QPV308"/>
    <mergeCell ref="QQD307:QQD308"/>
    <mergeCell ref="QQE307:QQE310"/>
    <mergeCell ref="QQF307:QQF310"/>
    <mergeCell ref="QQH307:QQH308"/>
    <mergeCell ref="QQI307:QQI308"/>
    <mergeCell ref="QQL307:QQL308"/>
    <mergeCell ref="QQT307:QQT308"/>
    <mergeCell ref="QQU307:QQU310"/>
    <mergeCell ref="QQV307:QQV310"/>
    <mergeCell ref="QQX307:QQX308"/>
    <mergeCell ref="QQY307:QQY308"/>
    <mergeCell ref="QRB307:QRB308"/>
    <mergeCell ref="QRJ307:QRJ308"/>
    <mergeCell ref="QRK307:QRK310"/>
    <mergeCell ref="QRL307:QRL310"/>
    <mergeCell ref="QRN307:QRN308"/>
    <mergeCell ref="QPV309:QPV310"/>
    <mergeCell ref="QQD309:QQD310"/>
    <mergeCell ref="QQH309:QQH310"/>
    <mergeCell ref="QQI309:QQI310"/>
    <mergeCell ref="QQL309:QQL310"/>
    <mergeCell ref="QQT309:QQT310"/>
    <mergeCell ref="QQX309:QQX310"/>
    <mergeCell ref="QQY309:QQY310"/>
    <mergeCell ref="QRB309:QRB310"/>
    <mergeCell ref="QRJ309:QRJ310"/>
    <mergeCell ref="QRN309:QRN310"/>
    <mergeCell ref="QOH307:QOH308"/>
    <mergeCell ref="QOI307:QOI310"/>
    <mergeCell ref="QOJ307:QOJ310"/>
    <mergeCell ref="QOL307:QOL308"/>
    <mergeCell ref="QOM307:QOM308"/>
    <mergeCell ref="QOP307:QOP308"/>
    <mergeCell ref="QOX307:QOX308"/>
    <mergeCell ref="QOY307:QOY310"/>
    <mergeCell ref="QOZ307:QOZ310"/>
    <mergeCell ref="QPB307:QPB308"/>
    <mergeCell ref="QPC307:QPC308"/>
    <mergeCell ref="QPF307:QPF308"/>
    <mergeCell ref="QPN307:QPN308"/>
    <mergeCell ref="QPO307:QPO310"/>
    <mergeCell ref="QPP307:QPP310"/>
    <mergeCell ref="QPR307:QPR308"/>
    <mergeCell ref="QPS307:QPS308"/>
    <mergeCell ref="QOH309:QOH310"/>
    <mergeCell ref="QOL309:QOL310"/>
    <mergeCell ref="QOM309:QOM310"/>
    <mergeCell ref="QOP309:QOP310"/>
    <mergeCell ref="QOX309:QOX310"/>
    <mergeCell ref="QPB309:QPB310"/>
    <mergeCell ref="QPC309:QPC310"/>
    <mergeCell ref="QPF309:QPF310"/>
    <mergeCell ref="QPN309:QPN310"/>
    <mergeCell ref="QPR309:QPR310"/>
    <mergeCell ref="QPS309:QPS310"/>
    <mergeCell ref="QMM307:QMM310"/>
    <mergeCell ref="QMN307:QMN310"/>
    <mergeCell ref="QMP307:QMP308"/>
    <mergeCell ref="QMQ307:QMQ308"/>
    <mergeCell ref="QMT307:QMT308"/>
    <mergeCell ref="QNB307:QNB308"/>
    <mergeCell ref="QNC307:QNC310"/>
    <mergeCell ref="QND307:QND310"/>
    <mergeCell ref="QNF307:QNF308"/>
    <mergeCell ref="QNG307:QNG308"/>
    <mergeCell ref="QNJ307:QNJ308"/>
    <mergeCell ref="QNR307:QNR308"/>
    <mergeCell ref="QNS307:QNS310"/>
    <mergeCell ref="QNT307:QNT310"/>
    <mergeCell ref="QNV307:QNV308"/>
    <mergeCell ref="QNW307:QNW308"/>
    <mergeCell ref="QNZ307:QNZ308"/>
    <mergeCell ref="QMP309:QMP310"/>
    <mergeCell ref="QMQ309:QMQ310"/>
    <mergeCell ref="QMT309:QMT310"/>
    <mergeCell ref="QNB309:QNB310"/>
    <mergeCell ref="QNF309:QNF310"/>
    <mergeCell ref="QNG309:QNG310"/>
    <mergeCell ref="QNJ309:QNJ310"/>
    <mergeCell ref="QNR309:QNR310"/>
    <mergeCell ref="QNV309:QNV310"/>
    <mergeCell ref="QNW309:QNW310"/>
    <mergeCell ref="QNZ309:QNZ310"/>
    <mergeCell ref="QKR307:QKR310"/>
    <mergeCell ref="QKT307:QKT308"/>
    <mergeCell ref="QKU307:QKU308"/>
    <mergeCell ref="QKX307:QKX308"/>
    <mergeCell ref="QLF307:QLF308"/>
    <mergeCell ref="QLG307:QLG310"/>
    <mergeCell ref="QLH307:QLH310"/>
    <mergeCell ref="QLJ307:QLJ308"/>
    <mergeCell ref="QLK307:QLK308"/>
    <mergeCell ref="QLN307:QLN308"/>
    <mergeCell ref="QLV307:QLV308"/>
    <mergeCell ref="QLW307:QLW310"/>
    <mergeCell ref="QLX307:QLX310"/>
    <mergeCell ref="QLZ307:QLZ308"/>
    <mergeCell ref="QMA307:QMA308"/>
    <mergeCell ref="QMD307:QMD308"/>
    <mergeCell ref="QML307:QML308"/>
    <mergeCell ref="QKT309:QKT310"/>
    <mergeCell ref="QKU309:QKU310"/>
    <mergeCell ref="QKX309:QKX310"/>
    <mergeCell ref="QLF309:QLF310"/>
    <mergeCell ref="QLJ309:QLJ310"/>
    <mergeCell ref="QLK309:QLK310"/>
    <mergeCell ref="QLN309:QLN310"/>
    <mergeCell ref="QLV309:QLV310"/>
    <mergeCell ref="QLZ309:QLZ310"/>
    <mergeCell ref="QMA309:QMA310"/>
    <mergeCell ref="QMD309:QMD310"/>
    <mergeCell ref="QML309:QML310"/>
    <mergeCell ref="QIX307:QIX308"/>
    <mergeCell ref="QIY307:QIY308"/>
    <mergeCell ref="QJB307:QJB308"/>
    <mergeCell ref="QJJ307:QJJ308"/>
    <mergeCell ref="QJK307:QJK310"/>
    <mergeCell ref="QJL307:QJL310"/>
    <mergeCell ref="QJN307:QJN308"/>
    <mergeCell ref="QJO307:QJO308"/>
    <mergeCell ref="QJR307:QJR308"/>
    <mergeCell ref="QJZ307:QJZ308"/>
    <mergeCell ref="QKA307:QKA310"/>
    <mergeCell ref="QKB307:QKB310"/>
    <mergeCell ref="QKD307:QKD308"/>
    <mergeCell ref="QKE307:QKE308"/>
    <mergeCell ref="QKH307:QKH308"/>
    <mergeCell ref="QKP307:QKP308"/>
    <mergeCell ref="QKQ307:QKQ310"/>
    <mergeCell ref="QIX309:QIX310"/>
    <mergeCell ref="QIY309:QIY310"/>
    <mergeCell ref="QJB309:QJB310"/>
    <mergeCell ref="QJJ309:QJJ310"/>
    <mergeCell ref="QJN309:QJN310"/>
    <mergeCell ref="QJO309:QJO310"/>
    <mergeCell ref="QJR309:QJR310"/>
    <mergeCell ref="QJZ309:QJZ310"/>
    <mergeCell ref="QKD309:QKD310"/>
    <mergeCell ref="QKE309:QKE310"/>
    <mergeCell ref="QKH309:QKH310"/>
    <mergeCell ref="QKP309:QKP310"/>
    <mergeCell ref="QHC307:QHC308"/>
    <mergeCell ref="QHF307:QHF308"/>
    <mergeCell ref="QHN307:QHN308"/>
    <mergeCell ref="QHO307:QHO310"/>
    <mergeCell ref="QHP307:QHP310"/>
    <mergeCell ref="QHR307:QHR308"/>
    <mergeCell ref="QHS307:QHS308"/>
    <mergeCell ref="QHV307:QHV308"/>
    <mergeCell ref="QID307:QID308"/>
    <mergeCell ref="QIE307:QIE310"/>
    <mergeCell ref="QIF307:QIF310"/>
    <mergeCell ref="QIH307:QIH308"/>
    <mergeCell ref="QII307:QII308"/>
    <mergeCell ref="QIL307:QIL308"/>
    <mergeCell ref="QIT307:QIT308"/>
    <mergeCell ref="QIU307:QIU310"/>
    <mergeCell ref="QIV307:QIV310"/>
    <mergeCell ref="QHC309:QHC310"/>
    <mergeCell ref="QHF309:QHF310"/>
    <mergeCell ref="QHN309:QHN310"/>
    <mergeCell ref="QHR309:QHR310"/>
    <mergeCell ref="QHS309:QHS310"/>
    <mergeCell ref="QHV309:QHV310"/>
    <mergeCell ref="QID309:QID310"/>
    <mergeCell ref="QIH309:QIH310"/>
    <mergeCell ref="QII309:QII310"/>
    <mergeCell ref="QIL309:QIL310"/>
    <mergeCell ref="QIT309:QIT310"/>
    <mergeCell ref="QFJ307:QFJ308"/>
    <mergeCell ref="QFR307:QFR308"/>
    <mergeCell ref="QFS307:QFS310"/>
    <mergeCell ref="QFT307:QFT310"/>
    <mergeCell ref="QFV307:QFV308"/>
    <mergeCell ref="QFW307:QFW308"/>
    <mergeCell ref="QFZ307:QFZ308"/>
    <mergeCell ref="QGH307:QGH308"/>
    <mergeCell ref="QGI307:QGI310"/>
    <mergeCell ref="QGJ307:QGJ310"/>
    <mergeCell ref="QGL307:QGL308"/>
    <mergeCell ref="QGM307:QGM308"/>
    <mergeCell ref="QGP307:QGP308"/>
    <mergeCell ref="QGX307:QGX308"/>
    <mergeCell ref="QGY307:QGY310"/>
    <mergeCell ref="QGZ307:QGZ310"/>
    <mergeCell ref="QHB307:QHB308"/>
    <mergeCell ref="QFJ309:QFJ310"/>
    <mergeCell ref="QFR309:QFR310"/>
    <mergeCell ref="QFV309:QFV310"/>
    <mergeCell ref="QFW309:QFW310"/>
    <mergeCell ref="QFZ309:QFZ310"/>
    <mergeCell ref="QGH309:QGH310"/>
    <mergeCell ref="QGL309:QGL310"/>
    <mergeCell ref="QGM309:QGM310"/>
    <mergeCell ref="QGP309:QGP310"/>
    <mergeCell ref="QGX309:QGX310"/>
    <mergeCell ref="QHB309:QHB310"/>
    <mergeCell ref="QDV307:QDV308"/>
    <mergeCell ref="QDW307:QDW310"/>
    <mergeCell ref="QDX307:QDX310"/>
    <mergeCell ref="QDZ307:QDZ308"/>
    <mergeCell ref="QEA307:QEA308"/>
    <mergeCell ref="QED307:QED308"/>
    <mergeCell ref="QEL307:QEL308"/>
    <mergeCell ref="QEM307:QEM310"/>
    <mergeCell ref="QEN307:QEN310"/>
    <mergeCell ref="QEP307:QEP308"/>
    <mergeCell ref="QEQ307:QEQ308"/>
    <mergeCell ref="QET307:QET308"/>
    <mergeCell ref="QFB307:QFB308"/>
    <mergeCell ref="QFC307:QFC310"/>
    <mergeCell ref="QFD307:QFD310"/>
    <mergeCell ref="QFF307:QFF308"/>
    <mergeCell ref="QFG307:QFG308"/>
    <mergeCell ref="QDV309:QDV310"/>
    <mergeCell ref="QDZ309:QDZ310"/>
    <mergeCell ref="QEA309:QEA310"/>
    <mergeCell ref="QED309:QED310"/>
    <mergeCell ref="QEL309:QEL310"/>
    <mergeCell ref="QEP309:QEP310"/>
    <mergeCell ref="QEQ309:QEQ310"/>
    <mergeCell ref="QET309:QET310"/>
    <mergeCell ref="QFB309:QFB310"/>
    <mergeCell ref="QFF309:QFF310"/>
    <mergeCell ref="QFG309:QFG310"/>
    <mergeCell ref="QCA307:QCA310"/>
    <mergeCell ref="QCB307:QCB310"/>
    <mergeCell ref="QCD307:QCD308"/>
    <mergeCell ref="QCE307:QCE308"/>
    <mergeCell ref="QCH307:QCH308"/>
    <mergeCell ref="QCP307:QCP308"/>
    <mergeCell ref="QCQ307:QCQ310"/>
    <mergeCell ref="QCR307:QCR310"/>
    <mergeCell ref="QCT307:QCT308"/>
    <mergeCell ref="QCU307:QCU308"/>
    <mergeCell ref="QCX307:QCX308"/>
    <mergeCell ref="QDF307:QDF308"/>
    <mergeCell ref="QDG307:QDG310"/>
    <mergeCell ref="QDH307:QDH310"/>
    <mergeCell ref="QDJ307:QDJ308"/>
    <mergeCell ref="QDK307:QDK308"/>
    <mergeCell ref="QDN307:QDN308"/>
    <mergeCell ref="QCD309:QCD310"/>
    <mergeCell ref="QCE309:QCE310"/>
    <mergeCell ref="QCH309:QCH310"/>
    <mergeCell ref="QCP309:QCP310"/>
    <mergeCell ref="QCT309:QCT310"/>
    <mergeCell ref="QCU309:QCU310"/>
    <mergeCell ref="QCX309:QCX310"/>
    <mergeCell ref="QDF309:QDF310"/>
    <mergeCell ref="QDJ309:QDJ310"/>
    <mergeCell ref="QDK309:QDK310"/>
    <mergeCell ref="QDN309:QDN310"/>
    <mergeCell ref="QAF307:QAF310"/>
    <mergeCell ref="QAH307:QAH308"/>
    <mergeCell ref="QAI307:QAI308"/>
    <mergeCell ref="QAL307:QAL308"/>
    <mergeCell ref="QAT307:QAT308"/>
    <mergeCell ref="QAU307:QAU310"/>
    <mergeCell ref="QAV307:QAV310"/>
    <mergeCell ref="QAX307:QAX308"/>
    <mergeCell ref="QAY307:QAY308"/>
    <mergeCell ref="QBB307:QBB308"/>
    <mergeCell ref="QBJ307:QBJ308"/>
    <mergeCell ref="QBK307:QBK310"/>
    <mergeCell ref="QBL307:QBL310"/>
    <mergeCell ref="QBN307:QBN308"/>
    <mergeCell ref="QBO307:QBO308"/>
    <mergeCell ref="QBR307:QBR308"/>
    <mergeCell ref="QBZ307:QBZ308"/>
    <mergeCell ref="QAH309:QAH310"/>
    <mergeCell ref="QAI309:QAI310"/>
    <mergeCell ref="QAL309:QAL310"/>
    <mergeCell ref="QAT309:QAT310"/>
    <mergeCell ref="QAX309:QAX310"/>
    <mergeCell ref="QAY309:QAY310"/>
    <mergeCell ref="QBB309:QBB310"/>
    <mergeCell ref="QBJ309:QBJ310"/>
    <mergeCell ref="QBN309:QBN310"/>
    <mergeCell ref="QBO309:QBO310"/>
    <mergeCell ref="QBR309:QBR310"/>
    <mergeCell ref="QBZ309:QBZ310"/>
    <mergeCell ref="PYL307:PYL308"/>
    <mergeCell ref="PYM307:PYM308"/>
    <mergeCell ref="PYP307:PYP308"/>
    <mergeCell ref="PYX307:PYX308"/>
    <mergeCell ref="PYY307:PYY310"/>
    <mergeCell ref="PYZ307:PYZ310"/>
    <mergeCell ref="PZB307:PZB308"/>
    <mergeCell ref="PZC307:PZC308"/>
    <mergeCell ref="PZF307:PZF308"/>
    <mergeCell ref="PZN307:PZN308"/>
    <mergeCell ref="PZO307:PZO310"/>
    <mergeCell ref="PZP307:PZP310"/>
    <mergeCell ref="PZR307:PZR308"/>
    <mergeCell ref="PZS307:PZS308"/>
    <mergeCell ref="PZV307:PZV308"/>
    <mergeCell ref="QAD307:QAD308"/>
    <mergeCell ref="QAE307:QAE310"/>
    <mergeCell ref="PYL309:PYL310"/>
    <mergeCell ref="PYM309:PYM310"/>
    <mergeCell ref="PYP309:PYP310"/>
    <mergeCell ref="PYX309:PYX310"/>
    <mergeCell ref="PZB309:PZB310"/>
    <mergeCell ref="PZC309:PZC310"/>
    <mergeCell ref="PZF309:PZF310"/>
    <mergeCell ref="PZN309:PZN310"/>
    <mergeCell ref="PZR309:PZR310"/>
    <mergeCell ref="PZS309:PZS310"/>
    <mergeCell ref="PZV309:PZV310"/>
    <mergeCell ref="QAD309:QAD310"/>
    <mergeCell ref="PWQ307:PWQ308"/>
    <mergeCell ref="PWT307:PWT308"/>
    <mergeCell ref="PXB307:PXB308"/>
    <mergeCell ref="PXC307:PXC310"/>
    <mergeCell ref="PXD307:PXD310"/>
    <mergeCell ref="PXF307:PXF308"/>
    <mergeCell ref="PXG307:PXG308"/>
    <mergeCell ref="PXJ307:PXJ308"/>
    <mergeCell ref="PXR307:PXR308"/>
    <mergeCell ref="PXS307:PXS310"/>
    <mergeCell ref="PXT307:PXT310"/>
    <mergeCell ref="PXV307:PXV308"/>
    <mergeCell ref="PXW307:PXW308"/>
    <mergeCell ref="PXZ307:PXZ308"/>
    <mergeCell ref="PYH307:PYH308"/>
    <mergeCell ref="PYI307:PYI310"/>
    <mergeCell ref="PYJ307:PYJ310"/>
    <mergeCell ref="PWQ309:PWQ310"/>
    <mergeCell ref="PWT309:PWT310"/>
    <mergeCell ref="PXB309:PXB310"/>
    <mergeCell ref="PXF309:PXF310"/>
    <mergeCell ref="PXG309:PXG310"/>
    <mergeCell ref="PXJ309:PXJ310"/>
    <mergeCell ref="PXR309:PXR310"/>
    <mergeCell ref="PXV309:PXV310"/>
    <mergeCell ref="PXW309:PXW310"/>
    <mergeCell ref="PXZ309:PXZ310"/>
    <mergeCell ref="PYH309:PYH310"/>
    <mergeCell ref="PUX307:PUX308"/>
    <mergeCell ref="PVF307:PVF308"/>
    <mergeCell ref="PVG307:PVG310"/>
    <mergeCell ref="PVH307:PVH310"/>
    <mergeCell ref="PVJ307:PVJ308"/>
    <mergeCell ref="PVK307:PVK308"/>
    <mergeCell ref="PVN307:PVN308"/>
    <mergeCell ref="PVV307:PVV308"/>
    <mergeCell ref="PVW307:PVW310"/>
    <mergeCell ref="PVX307:PVX310"/>
    <mergeCell ref="PVZ307:PVZ308"/>
    <mergeCell ref="PWA307:PWA308"/>
    <mergeCell ref="PWD307:PWD308"/>
    <mergeCell ref="PWL307:PWL308"/>
    <mergeCell ref="PWM307:PWM310"/>
    <mergeCell ref="PWN307:PWN310"/>
    <mergeCell ref="PWP307:PWP308"/>
    <mergeCell ref="PUX309:PUX310"/>
    <mergeCell ref="PVF309:PVF310"/>
    <mergeCell ref="PVJ309:PVJ310"/>
    <mergeCell ref="PVK309:PVK310"/>
    <mergeCell ref="PVN309:PVN310"/>
    <mergeCell ref="PVV309:PVV310"/>
    <mergeCell ref="PVZ309:PVZ310"/>
    <mergeCell ref="PWA309:PWA310"/>
    <mergeCell ref="PWD309:PWD310"/>
    <mergeCell ref="PWL309:PWL310"/>
    <mergeCell ref="PWP309:PWP310"/>
    <mergeCell ref="PTJ307:PTJ308"/>
    <mergeCell ref="PTK307:PTK310"/>
    <mergeCell ref="PTL307:PTL310"/>
    <mergeCell ref="PTN307:PTN308"/>
    <mergeCell ref="PTO307:PTO308"/>
    <mergeCell ref="PTR307:PTR308"/>
    <mergeCell ref="PTZ307:PTZ308"/>
    <mergeCell ref="PUA307:PUA310"/>
    <mergeCell ref="PUB307:PUB310"/>
    <mergeCell ref="PUD307:PUD308"/>
    <mergeCell ref="PUE307:PUE308"/>
    <mergeCell ref="PUH307:PUH308"/>
    <mergeCell ref="PUP307:PUP308"/>
    <mergeCell ref="PUQ307:PUQ310"/>
    <mergeCell ref="PUR307:PUR310"/>
    <mergeCell ref="PUT307:PUT308"/>
    <mergeCell ref="PUU307:PUU308"/>
    <mergeCell ref="PTJ309:PTJ310"/>
    <mergeCell ref="PTN309:PTN310"/>
    <mergeCell ref="PTO309:PTO310"/>
    <mergeCell ref="PTR309:PTR310"/>
    <mergeCell ref="PTZ309:PTZ310"/>
    <mergeCell ref="PUD309:PUD310"/>
    <mergeCell ref="PUE309:PUE310"/>
    <mergeCell ref="PUH309:PUH310"/>
    <mergeCell ref="PUP309:PUP310"/>
    <mergeCell ref="PUT309:PUT310"/>
    <mergeCell ref="PUU309:PUU310"/>
    <mergeCell ref="PRO307:PRO310"/>
    <mergeCell ref="PRP307:PRP310"/>
    <mergeCell ref="PRR307:PRR308"/>
    <mergeCell ref="PRS307:PRS308"/>
    <mergeCell ref="PRV307:PRV308"/>
    <mergeCell ref="PSD307:PSD308"/>
    <mergeCell ref="PSE307:PSE310"/>
    <mergeCell ref="PSF307:PSF310"/>
    <mergeCell ref="PSH307:PSH308"/>
    <mergeCell ref="PSI307:PSI308"/>
    <mergeCell ref="PSL307:PSL308"/>
    <mergeCell ref="PST307:PST308"/>
    <mergeCell ref="PSU307:PSU310"/>
    <mergeCell ref="PSV307:PSV310"/>
    <mergeCell ref="PSX307:PSX308"/>
    <mergeCell ref="PSY307:PSY308"/>
    <mergeCell ref="PTB307:PTB308"/>
    <mergeCell ref="PRR309:PRR310"/>
    <mergeCell ref="PRS309:PRS310"/>
    <mergeCell ref="PRV309:PRV310"/>
    <mergeCell ref="PSD309:PSD310"/>
    <mergeCell ref="PSH309:PSH310"/>
    <mergeCell ref="PSI309:PSI310"/>
    <mergeCell ref="PSL309:PSL310"/>
    <mergeCell ref="PST309:PST310"/>
    <mergeCell ref="PSX309:PSX310"/>
    <mergeCell ref="PSY309:PSY310"/>
    <mergeCell ref="PTB309:PTB310"/>
    <mergeCell ref="PPT307:PPT310"/>
    <mergeCell ref="PPV307:PPV308"/>
    <mergeCell ref="PPW307:PPW308"/>
    <mergeCell ref="PPZ307:PPZ308"/>
    <mergeCell ref="PQH307:PQH308"/>
    <mergeCell ref="PQI307:PQI310"/>
    <mergeCell ref="PQJ307:PQJ310"/>
    <mergeCell ref="PQL307:PQL308"/>
    <mergeCell ref="PQM307:PQM308"/>
    <mergeCell ref="PQP307:PQP308"/>
    <mergeCell ref="PQX307:PQX308"/>
    <mergeCell ref="PQY307:PQY310"/>
    <mergeCell ref="PQZ307:PQZ310"/>
    <mergeCell ref="PRB307:PRB308"/>
    <mergeCell ref="PRC307:PRC308"/>
    <mergeCell ref="PRF307:PRF308"/>
    <mergeCell ref="PRN307:PRN308"/>
    <mergeCell ref="PPV309:PPV310"/>
    <mergeCell ref="PPW309:PPW310"/>
    <mergeCell ref="PPZ309:PPZ310"/>
    <mergeCell ref="PQH309:PQH310"/>
    <mergeCell ref="PQL309:PQL310"/>
    <mergeCell ref="PQM309:PQM310"/>
    <mergeCell ref="PQP309:PQP310"/>
    <mergeCell ref="PQX309:PQX310"/>
    <mergeCell ref="PRB309:PRB310"/>
    <mergeCell ref="PRC309:PRC310"/>
    <mergeCell ref="PRF309:PRF310"/>
    <mergeCell ref="PRN309:PRN310"/>
    <mergeCell ref="PNZ307:PNZ308"/>
    <mergeCell ref="POA307:POA308"/>
    <mergeCell ref="POD307:POD308"/>
    <mergeCell ref="POL307:POL308"/>
    <mergeCell ref="POM307:POM310"/>
    <mergeCell ref="PON307:PON310"/>
    <mergeCell ref="POP307:POP308"/>
    <mergeCell ref="POQ307:POQ308"/>
    <mergeCell ref="POT307:POT308"/>
    <mergeCell ref="PPB307:PPB308"/>
    <mergeCell ref="PPC307:PPC310"/>
    <mergeCell ref="PPD307:PPD310"/>
    <mergeCell ref="PPF307:PPF308"/>
    <mergeCell ref="PPG307:PPG308"/>
    <mergeCell ref="PPJ307:PPJ308"/>
    <mergeCell ref="PPR307:PPR308"/>
    <mergeCell ref="PPS307:PPS310"/>
    <mergeCell ref="PNZ309:PNZ310"/>
    <mergeCell ref="POA309:POA310"/>
    <mergeCell ref="POD309:POD310"/>
    <mergeCell ref="POL309:POL310"/>
    <mergeCell ref="POP309:POP310"/>
    <mergeCell ref="POQ309:POQ310"/>
    <mergeCell ref="POT309:POT310"/>
    <mergeCell ref="PPB309:PPB310"/>
    <mergeCell ref="PPF309:PPF310"/>
    <mergeCell ref="PPG309:PPG310"/>
    <mergeCell ref="PPJ309:PPJ310"/>
    <mergeCell ref="PPR309:PPR310"/>
    <mergeCell ref="PME307:PME308"/>
    <mergeCell ref="PMH307:PMH308"/>
    <mergeCell ref="PMP307:PMP308"/>
    <mergeCell ref="PMQ307:PMQ310"/>
    <mergeCell ref="PMR307:PMR310"/>
    <mergeCell ref="PMT307:PMT308"/>
    <mergeCell ref="PMU307:PMU308"/>
    <mergeCell ref="PMX307:PMX308"/>
    <mergeCell ref="PNF307:PNF308"/>
    <mergeCell ref="PNG307:PNG310"/>
    <mergeCell ref="PNH307:PNH310"/>
    <mergeCell ref="PNJ307:PNJ308"/>
    <mergeCell ref="PNK307:PNK308"/>
    <mergeCell ref="PNN307:PNN308"/>
    <mergeCell ref="PNV307:PNV308"/>
    <mergeCell ref="PNW307:PNW310"/>
    <mergeCell ref="PNX307:PNX310"/>
    <mergeCell ref="PME309:PME310"/>
    <mergeCell ref="PMH309:PMH310"/>
    <mergeCell ref="PMP309:PMP310"/>
    <mergeCell ref="PMT309:PMT310"/>
    <mergeCell ref="PMU309:PMU310"/>
    <mergeCell ref="PMX309:PMX310"/>
    <mergeCell ref="PNF309:PNF310"/>
    <mergeCell ref="PNJ309:PNJ310"/>
    <mergeCell ref="PNK309:PNK310"/>
    <mergeCell ref="PNN309:PNN310"/>
    <mergeCell ref="PNV309:PNV310"/>
    <mergeCell ref="PKL307:PKL308"/>
    <mergeCell ref="PKT307:PKT308"/>
    <mergeCell ref="PKU307:PKU310"/>
    <mergeCell ref="PKV307:PKV310"/>
    <mergeCell ref="PKX307:PKX308"/>
    <mergeCell ref="PKY307:PKY308"/>
    <mergeCell ref="PLB307:PLB308"/>
    <mergeCell ref="PLJ307:PLJ308"/>
    <mergeCell ref="PLK307:PLK310"/>
    <mergeCell ref="PLL307:PLL310"/>
    <mergeCell ref="PLN307:PLN308"/>
    <mergeCell ref="PLO307:PLO308"/>
    <mergeCell ref="PLR307:PLR308"/>
    <mergeCell ref="PLZ307:PLZ308"/>
    <mergeCell ref="PMA307:PMA310"/>
    <mergeCell ref="PMB307:PMB310"/>
    <mergeCell ref="PMD307:PMD308"/>
    <mergeCell ref="PKL309:PKL310"/>
    <mergeCell ref="PKT309:PKT310"/>
    <mergeCell ref="PKX309:PKX310"/>
    <mergeCell ref="PKY309:PKY310"/>
    <mergeCell ref="PLB309:PLB310"/>
    <mergeCell ref="PLJ309:PLJ310"/>
    <mergeCell ref="PLN309:PLN310"/>
    <mergeCell ref="PLO309:PLO310"/>
    <mergeCell ref="PLR309:PLR310"/>
    <mergeCell ref="PLZ309:PLZ310"/>
    <mergeCell ref="PMD309:PMD310"/>
    <mergeCell ref="PIX307:PIX308"/>
    <mergeCell ref="PIY307:PIY310"/>
    <mergeCell ref="PIZ307:PIZ310"/>
    <mergeCell ref="PJB307:PJB308"/>
    <mergeCell ref="PJC307:PJC308"/>
    <mergeCell ref="PJF307:PJF308"/>
    <mergeCell ref="PJN307:PJN308"/>
    <mergeCell ref="PJO307:PJO310"/>
    <mergeCell ref="PJP307:PJP310"/>
    <mergeCell ref="PJR307:PJR308"/>
    <mergeCell ref="PJS307:PJS308"/>
    <mergeCell ref="PJV307:PJV308"/>
    <mergeCell ref="PKD307:PKD308"/>
    <mergeCell ref="PKE307:PKE310"/>
    <mergeCell ref="PKF307:PKF310"/>
    <mergeCell ref="PKH307:PKH308"/>
    <mergeCell ref="PKI307:PKI308"/>
    <mergeCell ref="PIX309:PIX310"/>
    <mergeCell ref="PJB309:PJB310"/>
    <mergeCell ref="PJC309:PJC310"/>
    <mergeCell ref="PJF309:PJF310"/>
    <mergeCell ref="PJN309:PJN310"/>
    <mergeCell ref="PJR309:PJR310"/>
    <mergeCell ref="PJS309:PJS310"/>
    <mergeCell ref="PJV309:PJV310"/>
    <mergeCell ref="PKD309:PKD310"/>
    <mergeCell ref="PKH309:PKH310"/>
    <mergeCell ref="PKI309:PKI310"/>
    <mergeCell ref="PHC307:PHC310"/>
    <mergeCell ref="PHD307:PHD310"/>
    <mergeCell ref="PHF307:PHF308"/>
    <mergeCell ref="PHG307:PHG308"/>
    <mergeCell ref="PHJ307:PHJ308"/>
    <mergeCell ref="PHR307:PHR308"/>
    <mergeCell ref="PHS307:PHS310"/>
    <mergeCell ref="PHT307:PHT310"/>
    <mergeCell ref="PHV307:PHV308"/>
    <mergeCell ref="PHW307:PHW308"/>
    <mergeCell ref="PHZ307:PHZ308"/>
    <mergeCell ref="PIH307:PIH308"/>
    <mergeCell ref="PII307:PII310"/>
    <mergeCell ref="PIJ307:PIJ310"/>
    <mergeCell ref="PIL307:PIL308"/>
    <mergeCell ref="PIM307:PIM308"/>
    <mergeCell ref="PIP307:PIP308"/>
    <mergeCell ref="PHF309:PHF310"/>
    <mergeCell ref="PHG309:PHG310"/>
    <mergeCell ref="PHJ309:PHJ310"/>
    <mergeCell ref="PHR309:PHR310"/>
    <mergeCell ref="PHV309:PHV310"/>
    <mergeCell ref="PHW309:PHW310"/>
    <mergeCell ref="PHZ309:PHZ310"/>
    <mergeCell ref="PIH309:PIH310"/>
    <mergeCell ref="PIL309:PIL310"/>
    <mergeCell ref="PIM309:PIM310"/>
    <mergeCell ref="PIP309:PIP310"/>
    <mergeCell ref="PFH307:PFH310"/>
    <mergeCell ref="PFJ307:PFJ308"/>
    <mergeCell ref="PFK307:PFK308"/>
    <mergeCell ref="PFN307:PFN308"/>
    <mergeCell ref="PFV307:PFV308"/>
    <mergeCell ref="PFW307:PFW310"/>
    <mergeCell ref="PFX307:PFX310"/>
    <mergeCell ref="PFZ307:PFZ308"/>
    <mergeCell ref="PGA307:PGA308"/>
    <mergeCell ref="PGD307:PGD308"/>
    <mergeCell ref="PGL307:PGL308"/>
    <mergeCell ref="PGM307:PGM310"/>
    <mergeCell ref="PGN307:PGN310"/>
    <mergeCell ref="PGP307:PGP308"/>
    <mergeCell ref="PGQ307:PGQ308"/>
    <mergeCell ref="PGT307:PGT308"/>
    <mergeCell ref="PHB307:PHB308"/>
    <mergeCell ref="PFJ309:PFJ310"/>
    <mergeCell ref="PFK309:PFK310"/>
    <mergeCell ref="PFN309:PFN310"/>
    <mergeCell ref="PFV309:PFV310"/>
    <mergeCell ref="PFZ309:PFZ310"/>
    <mergeCell ref="PGA309:PGA310"/>
    <mergeCell ref="PGD309:PGD310"/>
    <mergeCell ref="PGL309:PGL310"/>
    <mergeCell ref="PGP309:PGP310"/>
    <mergeCell ref="PGQ309:PGQ310"/>
    <mergeCell ref="PGT309:PGT310"/>
    <mergeCell ref="PHB309:PHB310"/>
    <mergeCell ref="PDN307:PDN308"/>
    <mergeCell ref="PDO307:PDO308"/>
    <mergeCell ref="PDR307:PDR308"/>
    <mergeCell ref="PDZ307:PDZ308"/>
    <mergeCell ref="PEA307:PEA310"/>
    <mergeCell ref="PEB307:PEB310"/>
    <mergeCell ref="PED307:PED308"/>
    <mergeCell ref="PEE307:PEE308"/>
    <mergeCell ref="PEH307:PEH308"/>
    <mergeCell ref="PEP307:PEP308"/>
    <mergeCell ref="PEQ307:PEQ310"/>
    <mergeCell ref="PER307:PER310"/>
    <mergeCell ref="PET307:PET308"/>
    <mergeCell ref="PEU307:PEU308"/>
    <mergeCell ref="PEX307:PEX308"/>
    <mergeCell ref="PFF307:PFF308"/>
    <mergeCell ref="PFG307:PFG310"/>
    <mergeCell ref="PDN309:PDN310"/>
    <mergeCell ref="PDO309:PDO310"/>
    <mergeCell ref="PDR309:PDR310"/>
    <mergeCell ref="PDZ309:PDZ310"/>
    <mergeCell ref="PED309:PED310"/>
    <mergeCell ref="PEE309:PEE310"/>
    <mergeCell ref="PEH309:PEH310"/>
    <mergeCell ref="PEP309:PEP310"/>
    <mergeCell ref="PET309:PET310"/>
    <mergeCell ref="PEU309:PEU310"/>
    <mergeCell ref="PEX309:PEX310"/>
    <mergeCell ref="PFF309:PFF310"/>
    <mergeCell ref="PBS307:PBS308"/>
    <mergeCell ref="PBV307:PBV308"/>
    <mergeCell ref="PCD307:PCD308"/>
    <mergeCell ref="PCE307:PCE310"/>
    <mergeCell ref="PCF307:PCF310"/>
    <mergeCell ref="PCH307:PCH308"/>
    <mergeCell ref="PCI307:PCI308"/>
    <mergeCell ref="PCL307:PCL308"/>
    <mergeCell ref="PCT307:PCT308"/>
    <mergeCell ref="PCU307:PCU310"/>
    <mergeCell ref="PCV307:PCV310"/>
    <mergeCell ref="PCX307:PCX308"/>
    <mergeCell ref="PCY307:PCY308"/>
    <mergeCell ref="PDB307:PDB308"/>
    <mergeCell ref="PDJ307:PDJ308"/>
    <mergeCell ref="PDK307:PDK310"/>
    <mergeCell ref="PDL307:PDL310"/>
    <mergeCell ref="PBS309:PBS310"/>
    <mergeCell ref="PBV309:PBV310"/>
    <mergeCell ref="PCD309:PCD310"/>
    <mergeCell ref="PCH309:PCH310"/>
    <mergeCell ref="PCI309:PCI310"/>
    <mergeCell ref="PCL309:PCL310"/>
    <mergeCell ref="PCT309:PCT310"/>
    <mergeCell ref="PCX309:PCX310"/>
    <mergeCell ref="PCY309:PCY310"/>
    <mergeCell ref="PDB309:PDB310"/>
    <mergeCell ref="PDJ309:PDJ310"/>
    <mergeCell ref="OZZ307:OZZ308"/>
    <mergeCell ref="PAH307:PAH308"/>
    <mergeCell ref="PAI307:PAI310"/>
    <mergeCell ref="PAJ307:PAJ310"/>
    <mergeCell ref="PAL307:PAL308"/>
    <mergeCell ref="PAM307:PAM308"/>
    <mergeCell ref="PAP307:PAP308"/>
    <mergeCell ref="PAX307:PAX308"/>
    <mergeCell ref="PAY307:PAY310"/>
    <mergeCell ref="PAZ307:PAZ310"/>
    <mergeCell ref="PBB307:PBB308"/>
    <mergeCell ref="PBC307:PBC308"/>
    <mergeCell ref="PBF307:PBF308"/>
    <mergeCell ref="PBN307:PBN308"/>
    <mergeCell ref="PBO307:PBO310"/>
    <mergeCell ref="PBP307:PBP310"/>
    <mergeCell ref="PBR307:PBR308"/>
    <mergeCell ref="OZZ309:OZZ310"/>
    <mergeCell ref="PAH309:PAH310"/>
    <mergeCell ref="PAL309:PAL310"/>
    <mergeCell ref="PAM309:PAM310"/>
    <mergeCell ref="PAP309:PAP310"/>
    <mergeCell ref="PAX309:PAX310"/>
    <mergeCell ref="PBB309:PBB310"/>
    <mergeCell ref="PBC309:PBC310"/>
    <mergeCell ref="PBF309:PBF310"/>
    <mergeCell ref="PBN309:PBN310"/>
    <mergeCell ref="PBR309:PBR310"/>
    <mergeCell ref="OYL307:OYL308"/>
    <mergeCell ref="OYM307:OYM310"/>
    <mergeCell ref="OYN307:OYN310"/>
    <mergeCell ref="OYP307:OYP308"/>
    <mergeCell ref="OYQ307:OYQ308"/>
    <mergeCell ref="OYT307:OYT308"/>
    <mergeCell ref="OZB307:OZB308"/>
    <mergeCell ref="OZC307:OZC310"/>
    <mergeCell ref="OZD307:OZD310"/>
    <mergeCell ref="OZF307:OZF308"/>
    <mergeCell ref="OZG307:OZG308"/>
    <mergeCell ref="OZJ307:OZJ308"/>
    <mergeCell ref="OZR307:OZR308"/>
    <mergeCell ref="OZS307:OZS310"/>
    <mergeCell ref="OZT307:OZT310"/>
    <mergeCell ref="OZV307:OZV308"/>
    <mergeCell ref="OZW307:OZW308"/>
    <mergeCell ref="OYL309:OYL310"/>
    <mergeCell ref="OYP309:OYP310"/>
    <mergeCell ref="OYQ309:OYQ310"/>
    <mergeCell ref="OYT309:OYT310"/>
    <mergeCell ref="OZB309:OZB310"/>
    <mergeCell ref="OZF309:OZF310"/>
    <mergeCell ref="OZG309:OZG310"/>
    <mergeCell ref="OZJ309:OZJ310"/>
    <mergeCell ref="OZR309:OZR310"/>
    <mergeCell ref="OZV309:OZV310"/>
    <mergeCell ref="OZW309:OZW310"/>
    <mergeCell ref="OWQ307:OWQ310"/>
    <mergeCell ref="OWR307:OWR310"/>
    <mergeCell ref="OWT307:OWT308"/>
    <mergeCell ref="OWU307:OWU308"/>
    <mergeCell ref="OWX307:OWX308"/>
    <mergeCell ref="OXF307:OXF308"/>
    <mergeCell ref="OXG307:OXG310"/>
    <mergeCell ref="OXH307:OXH310"/>
    <mergeCell ref="OXJ307:OXJ308"/>
    <mergeCell ref="OXK307:OXK308"/>
    <mergeCell ref="OXN307:OXN308"/>
    <mergeCell ref="OXV307:OXV308"/>
    <mergeCell ref="OXW307:OXW310"/>
    <mergeCell ref="OXX307:OXX310"/>
    <mergeCell ref="OXZ307:OXZ308"/>
    <mergeCell ref="OYA307:OYA308"/>
    <mergeCell ref="OYD307:OYD308"/>
    <mergeCell ref="OWT309:OWT310"/>
    <mergeCell ref="OWU309:OWU310"/>
    <mergeCell ref="OWX309:OWX310"/>
    <mergeCell ref="OXF309:OXF310"/>
    <mergeCell ref="OXJ309:OXJ310"/>
    <mergeCell ref="OXK309:OXK310"/>
    <mergeCell ref="OXN309:OXN310"/>
    <mergeCell ref="OXV309:OXV310"/>
    <mergeCell ref="OXZ309:OXZ310"/>
    <mergeCell ref="OYA309:OYA310"/>
    <mergeCell ref="OYD309:OYD310"/>
    <mergeCell ref="OUV307:OUV310"/>
    <mergeCell ref="OUX307:OUX308"/>
    <mergeCell ref="OUY307:OUY308"/>
    <mergeCell ref="OVB307:OVB308"/>
    <mergeCell ref="OVJ307:OVJ308"/>
    <mergeCell ref="OVK307:OVK310"/>
    <mergeCell ref="OVL307:OVL310"/>
    <mergeCell ref="OVN307:OVN308"/>
    <mergeCell ref="OVO307:OVO308"/>
    <mergeCell ref="OVR307:OVR308"/>
    <mergeCell ref="OVZ307:OVZ308"/>
    <mergeCell ref="OWA307:OWA310"/>
    <mergeCell ref="OWB307:OWB310"/>
    <mergeCell ref="OWD307:OWD308"/>
    <mergeCell ref="OWE307:OWE308"/>
    <mergeCell ref="OWH307:OWH308"/>
    <mergeCell ref="OWP307:OWP308"/>
    <mergeCell ref="OUX309:OUX310"/>
    <mergeCell ref="OUY309:OUY310"/>
    <mergeCell ref="OVB309:OVB310"/>
    <mergeCell ref="OVJ309:OVJ310"/>
    <mergeCell ref="OVN309:OVN310"/>
    <mergeCell ref="OVO309:OVO310"/>
    <mergeCell ref="OVR309:OVR310"/>
    <mergeCell ref="OVZ309:OVZ310"/>
    <mergeCell ref="OWD309:OWD310"/>
    <mergeCell ref="OWE309:OWE310"/>
    <mergeCell ref="OWH309:OWH310"/>
    <mergeCell ref="OWP309:OWP310"/>
    <mergeCell ref="OTB307:OTB308"/>
    <mergeCell ref="OTC307:OTC308"/>
    <mergeCell ref="OTF307:OTF308"/>
    <mergeCell ref="OTN307:OTN308"/>
    <mergeCell ref="OTO307:OTO310"/>
    <mergeCell ref="OTP307:OTP310"/>
    <mergeCell ref="OTR307:OTR308"/>
    <mergeCell ref="OTS307:OTS308"/>
    <mergeCell ref="OTV307:OTV308"/>
    <mergeCell ref="OUD307:OUD308"/>
    <mergeCell ref="OUE307:OUE310"/>
    <mergeCell ref="OUF307:OUF310"/>
    <mergeCell ref="OUH307:OUH308"/>
    <mergeCell ref="OUI307:OUI308"/>
    <mergeCell ref="OUL307:OUL308"/>
    <mergeCell ref="OUT307:OUT308"/>
    <mergeCell ref="OUU307:OUU310"/>
    <mergeCell ref="OTB309:OTB310"/>
    <mergeCell ref="OTC309:OTC310"/>
    <mergeCell ref="OTF309:OTF310"/>
    <mergeCell ref="OTN309:OTN310"/>
    <mergeCell ref="OTR309:OTR310"/>
    <mergeCell ref="OTS309:OTS310"/>
    <mergeCell ref="OTV309:OTV310"/>
    <mergeCell ref="OUD309:OUD310"/>
    <mergeCell ref="OUH309:OUH310"/>
    <mergeCell ref="OUI309:OUI310"/>
    <mergeCell ref="OUL309:OUL310"/>
    <mergeCell ref="OUT309:OUT310"/>
    <mergeCell ref="ORG307:ORG308"/>
    <mergeCell ref="ORJ307:ORJ308"/>
    <mergeCell ref="ORR307:ORR308"/>
    <mergeCell ref="ORS307:ORS310"/>
    <mergeCell ref="ORT307:ORT310"/>
    <mergeCell ref="ORV307:ORV308"/>
    <mergeCell ref="ORW307:ORW308"/>
    <mergeCell ref="ORZ307:ORZ308"/>
    <mergeCell ref="OSH307:OSH308"/>
    <mergeCell ref="OSI307:OSI310"/>
    <mergeCell ref="OSJ307:OSJ310"/>
    <mergeCell ref="OSL307:OSL308"/>
    <mergeCell ref="OSM307:OSM308"/>
    <mergeCell ref="OSP307:OSP308"/>
    <mergeCell ref="OSX307:OSX308"/>
    <mergeCell ref="OSY307:OSY310"/>
    <mergeCell ref="OSZ307:OSZ310"/>
    <mergeCell ref="ORG309:ORG310"/>
    <mergeCell ref="ORJ309:ORJ310"/>
    <mergeCell ref="ORR309:ORR310"/>
    <mergeCell ref="ORV309:ORV310"/>
    <mergeCell ref="ORW309:ORW310"/>
    <mergeCell ref="ORZ309:ORZ310"/>
    <mergeCell ref="OSH309:OSH310"/>
    <mergeCell ref="OSL309:OSL310"/>
    <mergeCell ref="OSM309:OSM310"/>
    <mergeCell ref="OSP309:OSP310"/>
    <mergeCell ref="OSX309:OSX310"/>
    <mergeCell ref="OPN307:OPN308"/>
    <mergeCell ref="OPV307:OPV308"/>
    <mergeCell ref="OPW307:OPW310"/>
    <mergeCell ref="OPX307:OPX310"/>
    <mergeCell ref="OPZ307:OPZ308"/>
    <mergeCell ref="OQA307:OQA308"/>
    <mergeCell ref="OQD307:OQD308"/>
    <mergeCell ref="OQL307:OQL308"/>
    <mergeCell ref="OQM307:OQM310"/>
    <mergeCell ref="OQN307:OQN310"/>
    <mergeCell ref="OQP307:OQP308"/>
    <mergeCell ref="OQQ307:OQQ308"/>
    <mergeCell ref="OQT307:OQT308"/>
    <mergeCell ref="ORB307:ORB308"/>
    <mergeCell ref="ORC307:ORC310"/>
    <mergeCell ref="ORD307:ORD310"/>
    <mergeCell ref="ORF307:ORF308"/>
    <mergeCell ref="OPN309:OPN310"/>
    <mergeCell ref="OPV309:OPV310"/>
    <mergeCell ref="OPZ309:OPZ310"/>
    <mergeCell ref="OQA309:OQA310"/>
    <mergeCell ref="OQD309:OQD310"/>
    <mergeCell ref="OQL309:OQL310"/>
    <mergeCell ref="OQP309:OQP310"/>
    <mergeCell ref="OQQ309:OQQ310"/>
    <mergeCell ref="OQT309:OQT310"/>
    <mergeCell ref="ORB309:ORB310"/>
    <mergeCell ref="ORF309:ORF310"/>
    <mergeCell ref="ONZ307:ONZ308"/>
    <mergeCell ref="OOA307:OOA310"/>
    <mergeCell ref="OOB307:OOB310"/>
    <mergeCell ref="OOD307:OOD308"/>
    <mergeCell ref="OOE307:OOE308"/>
    <mergeCell ref="OOH307:OOH308"/>
    <mergeCell ref="OOP307:OOP308"/>
    <mergeCell ref="OOQ307:OOQ310"/>
    <mergeCell ref="OOR307:OOR310"/>
    <mergeCell ref="OOT307:OOT308"/>
    <mergeCell ref="OOU307:OOU308"/>
    <mergeCell ref="OOX307:OOX308"/>
    <mergeCell ref="OPF307:OPF308"/>
    <mergeCell ref="OPG307:OPG310"/>
    <mergeCell ref="OPH307:OPH310"/>
    <mergeCell ref="OPJ307:OPJ308"/>
    <mergeCell ref="OPK307:OPK308"/>
    <mergeCell ref="ONZ309:ONZ310"/>
    <mergeCell ref="OOD309:OOD310"/>
    <mergeCell ref="OOE309:OOE310"/>
    <mergeCell ref="OOH309:OOH310"/>
    <mergeCell ref="OOP309:OOP310"/>
    <mergeCell ref="OOT309:OOT310"/>
    <mergeCell ref="OOU309:OOU310"/>
    <mergeCell ref="OOX309:OOX310"/>
    <mergeCell ref="OPF309:OPF310"/>
    <mergeCell ref="OPJ309:OPJ310"/>
    <mergeCell ref="OPK309:OPK310"/>
    <mergeCell ref="OME307:OME310"/>
    <mergeCell ref="OMF307:OMF310"/>
    <mergeCell ref="OMH307:OMH308"/>
    <mergeCell ref="OMI307:OMI308"/>
    <mergeCell ref="OML307:OML308"/>
    <mergeCell ref="OMT307:OMT308"/>
    <mergeCell ref="OMU307:OMU310"/>
    <mergeCell ref="OMV307:OMV310"/>
    <mergeCell ref="OMX307:OMX308"/>
    <mergeCell ref="OMY307:OMY308"/>
    <mergeCell ref="ONB307:ONB308"/>
    <mergeCell ref="ONJ307:ONJ308"/>
    <mergeCell ref="ONK307:ONK310"/>
    <mergeCell ref="ONL307:ONL310"/>
    <mergeCell ref="ONN307:ONN308"/>
    <mergeCell ref="ONO307:ONO308"/>
    <mergeCell ref="ONR307:ONR308"/>
    <mergeCell ref="OMH309:OMH310"/>
    <mergeCell ref="OMI309:OMI310"/>
    <mergeCell ref="OML309:OML310"/>
    <mergeCell ref="OMT309:OMT310"/>
    <mergeCell ref="OMX309:OMX310"/>
    <mergeCell ref="OMY309:OMY310"/>
    <mergeCell ref="ONB309:ONB310"/>
    <mergeCell ref="ONJ309:ONJ310"/>
    <mergeCell ref="ONN309:ONN310"/>
    <mergeCell ref="ONO309:ONO310"/>
    <mergeCell ref="ONR309:ONR310"/>
    <mergeCell ref="OKJ307:OKJ310"/>
    <mergeCell ref="OKL307:OKL308"/>
    <mergeCell ref="OKM307:OKM308"/>
    <mergeCell ref="OKP307:OKP308"/>
    <mergeCell ref="OKX307:OKX308"/>
    <mergeCell ref="OKY307:OKY310"/>
    <mergeCell ref="OKZ307:OKZ310"/>
    <mergeCell ref="OLB307:OLB308"/>
    <mergeCell ref="OLC307:OLC308"/>
    <mergeCell ref="OLF307:OLF308"/>
    <mergeCell ref="OLN307:OLN308"/>
    <mergeCell ref="OLO307:OLO310"/>
    <mergeCell ref="OLP307:OLP310"/>
    <mergeCell ref="OLR307:OLR308"/>
    <mergeCell ref="OLS307:OLS308"/>
    <mergeCell ref="OLV307:OLV308"/>
    <mergeCell ref="OMD307:OMD308"/>
    <mergeCell ref="OKL309:OKL310"/>
    <mergeCell ref="OKM309:OKM310"/>
    <mergeCell ref="OKP309:OKP310"/>
    <mergeCell ref="OKX309:OKX310"/>
    <mergeCell ref="OLB309:OLB310"/>
    <mergeCell ref="OLC309:OLC310"/>
    <mergeCell ref="OLF309:OLF310"/>
    <mergeCell ref="OLN309:OLN310"/>
    <mergeCell ref="OLR309:OLR310"/>
    <mergeCell ref="OLS309:OLS310"/>
    <mergeCell ref="OLV309:OLV310"/>
    <mergeCell ref="OMD309:OMD310"/>
    <mergeCell ref="OIP307:OIP308"/>
    <mergeCell ref="OIQ307:OIQ308"/>
    <mergeCell ref="OIT307:OIT308"/>
    <mergeCell ref="OJB307:OJB308"/>
    <mergeCell ref="OJC307:OJC310"/>
    <mergeCell ref="OJD307:OJD310"/>
    <mergeCell ref="OJF307:OJF308"/>
    <mergeCell ref="OJG307:OJG308"/>
    <mergeCell ref="OJJ307:OJJ308"/>
    <mergeCell ref="OJR307:OJR308"/>
    <mergeCell ref="OJS307:OJS310"/>
    <mergeCell ref="OJT307:OJT310"/>
    <mergeCell ref="OJV307:OJV308"/>
    <mergeCell ref="OJW307:OJW308"/>
    <mergeCell ref="OJZ307:OJZ308"/>
    <mergeCell ref="OKH307:OKH308"/>
    <mergeCell ref="OKI307:OKI310"/>
    <mergeCell ref="OIP309:OIP310"/>
    <mergeCell ref="OIQ309:OIQ310"/>
    <mergeCell ref="OIT309:OIT310"/>
    <mergeCell ref="OJB309:OJB310"/>
    <mergeCell ref="OJF309:OJF310"/>
    <mergeCell ref="OJG309:OJG310"/>
    <mergeCell ref="OJJ309:OJJ310"/>
    <mergeCell ref="OJR309:OJR310"/>
    <mergeCell ref="OJV309:OJV310"/>
    <mergeCell ref="OJW309:OJW310"/>
    <mergeCell ref="OJZ309:OJZ310"/>
    <mergeCell ref="OKH309:OKH310"/>
    <mergeCell ref="OGU307:OGU308"/>
    <mergeCell ref="OGX307:OGX308"/>
    <mergeCell ref="OHF307:OHF308"/>
    <mergeCell ref="OHG307:OHG310"/>
    <mergeCell ref="OHH307:OHH310"/>
    <mergeCell ref="OHJ307:OHJ308"/>
    <mergeCell ref="OHK307:OHK308"/>
    <mergeCell ref="OHN307:OHN308"/>
    <mergeCell ref="OHV307:OHV308"/>
    <mergeCell ref="OHW307:OHW310"/>
    <mergeCell ref="OHX307:OHX310"/>
    <mergeCell ref="OHZ307:OHZ308"/>
    <mergeCell ref="OIA307:OIA308"/>
    <mergeCell ref="OID307:OID308"/>
    <mergeCell ref="OIL307:OIL308"/>
    <mergeCell ref="OIM307:OIM310"/>
    <mergeCell ref="OIN307:OIN310"/>
    <mergeCell ref="OGU309:OGU310"/>
    <mergeCell ref="OGX309:OGX310"/>
    <mergeCell ref="OHF309:OHF310"/>
    <mergeCell ref="OHJ309:OHJ310"/>
    <mergeCell ref="OHK309:OHK310"/>
    <mergeCell ref="OHN309:OHN310"/>
    <mergeCell ref="OHV309:OHV310"/>
    <mergeCell ref="OHZ309:OHZ310"/>
    <mergeCell ref="OIA309:OIA310"/>
    <mergeCell ref="OID309:OID310"/>
    <mergeCell ref="OIL309:OIL310"/>
    <mergeCell ref="OFB307:OFB308"/>
    <mergeCell ref="OFJ307:OFJ308"/>
    <mergeCell ref="OFK307:OFK310"/>
    <mergeCell ref="OFL307:OFL310"/>
    <mergeCell ref="OFN307:OFN308"/>
    <mergeCell ref="OFO307:OFO308"/>
    <mergeCell ref="OFR307:OFR308"/>
    <mergeCell ref="OFZ307:OFZ308"/>
    <mergeCell ref="OGA307:OGA310"/>
    <mergeCell ref="OGB307:OGB310"/>
    <mergeCell ref="OGD307:OGD308"/>
    <mergeCell ref="OGE307:OGE308"/>
    <mergeCell ref="OGH307:OGH308"/>
    <mergeCell ref="OGP307:OGP308"/>
    <mergeCell ref="OGQ307:OGQ310"/>
    <mergeCell ref="OGR307:OGR310"/>
    <mergeCell ref="OGT307:OGT308"/>
    <mergeCell ref="OFB309:OFB310"/>
    <mergeCell ref="OFJ309:OFJ310"/>
    <mergeCell ref="OFN309:OFN310"/>
    <mergeCell ref="OFO309:OFO310"/>
    <mergeCell ref="OFR309:OFR310"/>
    <mergeCell ref="OFZ309:OFZ310"/>
    <mergeCell ref="OGD309:OGD310"/>
    <mergeCell ref="OGE309:OGE310"/>
    <mergeCell ref="OGH309:OGH310"/>
    <mergeCell ref="OGP309:OGP310"/>
    <mergeCell ref="OGT309:OGT310"/>
    <mergeCell ref="ODN307:ODN308"/>
    <mergeCell ref="ODO307:ODO310"/>
    <mergeCell ref="ODP307:ODP310"/>
    <mergeCell ref="ODR307:ODR308"/>
    <mergeCell ref="ODS307:ODS308"/>
    <mergeCell ref="ODV307:ODV308"/>
    <mergeCell ref="OED307:OED308"/>
    <mergeCell ref="OEE307:OEE310"/>
    <mergeCell ref="OEF307:OEF310"/>
    <mergeCell ref="OEH307:OEH308"/>
    <mergeCell ref="OEI307:OEI308"/>
    <mergeCell ref="OEL307:OEL308"/>
    <mergeCell ref="OET307:OET308"/>
    <mergeCell ref="OEU307:OEU310"/>
    <mergeCell ref="OEV307:OEV310"/>
    <mergeCell ref="OEX307:OEX308"/>
    <mergeCell ref="OEY307:OEY308"/>
    <mergeCell ref="ODN309:ODN310"/>
    <mergeCell ref="ODR309:ODR310"/>
    <mergeCell ref="ODS309:ODS310"/>
    <mergeCell ref="ODV309:ODV310"/>
    <mergeCell ref="OED309:OED310"/>
    <mergeCell ref="OEH309:OEH310"/>
    <mergeCell ref="OEI309:OEI310"/>
    <mergeCell ref="OEL309:OEL310"/>
    <mergeCell ref="OET309:OET310"/>
    <mergeCell ref="OEX309:OEX310"/>
    <mergeCell ref="OEY309:OEY310"/>
    <mergeCell ref="OBS307:OBS310"/>
    <mergeCell ref="OBT307:OBT310"/>
    <mergeCell ref="OBV307:OBV308"/>
    <mergeCell ref="OBW307:OBW308"/>
    <mergeCell ref="OBZ307:OBZ308"/>
    <mergeCell ref="OCH307:OCH308"/>
    <mergeCell ref="OCI307:OCI310"/>
    <mergeCell ref="OCJ307:OCJ310"/>
    <mergeCell ref="OCL307:OCL308"/>
    <mergeCell ref="OCM307:OCM308"/>
    <mergeCell ref="OCP307:OCP308"/>
    <mergeCell ref="OCX307:OCX308"/>
    <mergeCell ref="OCY307:OCY310"/>
    <mergeCell ref="OCZ307:OCZ310"/>
    <mergeCell ref="ODB307:ODB308"/>
    <mergeCell ref="ODC307:ODC308"/>
    <mergeCell ref="ODF307:ODF308"/>
    <mergeCell ref="OBV309:OBV310"/>
    <mergeCell ref="OBW309:OBW310"/>
    <mergeCell ref="OBZ309:OBZ310"/>
    <mergeCell ref="OCH309:OCH310"/>
    <mergeCell ref="OCL309:OCL310"/>
    <mergeCell ref="OCM309:OCM310"/>
    <mergeCell ref="OCP309:OCP310"/>
    <mergeCell ref="OCX309:OCX310"/>
    <mergeCell ref="ODB309:ODB310"/>
    <mergeCell ref="ODC309:ODC310"/>
    <mergeCell ref="ODF309:ODF310"/>
    <mergeCell ref="NZX307:NZX310"/>
    <mergeCell ref="NZZ307:NZZ308"/>
    <mergeCell ref="OAA307:OAA308"/>
    <mergeCell ref="OAD307:OAD308"/>
    <mergeCell ref="OAL307:OAL308"/>
    <mergeCell ref="OAM307:OAM310"/>
    <mergeCell ref="OAN307:OAN310"/>
    <mergeCell ref="OAP307:OAP308"/>
    <mergeCell ref="OAQ307:OAQ308"/>
    <mergeCell ref="OAT307:OAT308"/>
    <mergeCell ref="OBB307:OBB308"/>
    <mergeCell ref="OBC307:OBC310"/>
    <mergeCell ref="OBD307:OBD310"/>
    <mergeCell ref="OBF307:OBF308"/>
    <mergeCell ref="OBG307:OBG308"/>
    <mergeCell ref="OBJ307:OBJ308"/>
    <mergeCell ref="OBR307:OBR308"/>
    <mergeCell ref="NZZ309:NZZ310"/>
    <mergeCell ref="OAA309:OAA310"/>
    <mergeCell ref="OAD309:OAD310"/>
    <mergeCell ref="OAL309:OAL310"/>
    <mergeCell ref="OAP309:OAP310"/>
    <mergeCell ref="OAQ309:OAQ310"/>
    <mergeCell ref="OAT309:OAT310"/>
    <mergeCell ref="OBB309:OBB310"/>
    <mergeCell ref="OBF309:OBF310"/>
    <mergeCell ref="OBG309:OBG310"/>
    <mergeCell ref="OBJ309:OBJ310"/>
    <mergeCell ref="OBR309:OBR310"/>
    <mergeCell ref="NYD307:NYD308"/>
    <mergeCell ref="NYE307:NYE308"/>
    <mergeCell ref="NYH307:NYH308"/>
    <mergeCell ref="NYP307:NYP308"/>
    <mergeCell ref="NYQ307:NYQ310"/>
    <mergeCell ref="NYR307:NYR310"/>
    <mergeCell ref="NYT307:NYT308"/>
    <mergeCell ref="NYU307:NYU308"/>
    <mergeCell ref="NYX307:NYX308"/>
    <mergeCell ref="NZF307:NZF308"/>
    <mergeCell ref="NZG307:NZG310"/>
    <mergeCell ref="NZH307:NZH310"/>
    <mergeCell ref="NZJ307:NZJ308"/>
    <mergeCell ref="NZK307:NZK308"/>
    <mergeCell ref="NZN307:NZN308"/>
    <mergeCell ref="NZV307:NZV308"/>
    <mergeCell ref="NZW307:NZW310"/>
    <mergeCell ref="NYD309:NYD310"/>
    <mergeCell ref="NYE309:NYE310"/>
    <mergeCell ref="NYH309:NYH310"/>
    <mergeCell ref="NYP309:NYP310"/>
    <mergeCell ref="NYT309:NYT310"/>
    <mergeCell ref="NYU309:NYU310"/>
    <mergeCell ref="NYX309:NYX310"/>
    <mergeCell ref="NZF309:NZF310"/>
    <mergeCell ref="NZJ309:NZJ310"/>
    <mergeCell ref="NZK309:NZK310"/>
    <mergeCell ref="NZN309:NZN310"/>
    <mergeCell ref="NZV309:NZV310"/>
    <mergeCell ref="NWI307:NWI308"/>
    <mergeCell ref="NWL307:NWL308"/>
    <mergeCell ref="NWT307:NWT308"/>
    <mergeCell ref="NWU307:NWU310"/>
    <mergeCell ref="NWV307:NWV310"/>
    <mergeCell ref="NWX307:NWX308"/>
    <mergeCell ref="NWY307:NWY308"/>
    <mergeCell ref="NXB307:NXB308"/>
    <mergeCell ref="NXJ307:NXJ308"/>
    <mergeCell ref="NXK307:NXK310"/>
    <mergeCell ref="NXL307:NXL310"/>
    <mergeCell ref="NXN307:NXN308"/>
    <mergeCell ref="NXO307:NXO308"/>
    <mergeCell ref="NXR307:NXR308"/>
    <mergeCell ref="NXZ307:NXZ308"/>
    <mergeCell ref="NYA307:NYA310"/>
    <mergeCell ref="NYB307:NYB310"/>
    <mergeCell ref="NWI309:NWI310"/>
    <mergeCell ref="NWL309:NWL310"/>
    <mergeCell ref="NWT309:NWT310"/>
    <mergeCell ref="NWX309:NWX310"/>
    <mergeCell ref="NWY309:NWY310"/>
    <mergeCell ref="NXB309:NXB310"/>
    <mergeCell ref="NXJ309:NXJ310"/>
    <mergeCell ref="NXN309:NXN310"/>
    <mergeCell ref="NXO309:NXO310"/>
    <mergeCell ref="NXR309:NXR310"/>
    <mergeCell ref="NXZ309:NXZ310"/>
    <mergeCell ref="NUP307:NUP308"/>
    <mergeCell ref="NUX307:NUX308"/>
    <mergeCell ref="NUY307:NUY310"/>
    <mergeCell ref="NUZ307:NUZ310"/>
    <mergeCell ref="NVB307:NVB308"/>
    <mergeCell ref="NVC307:NVC308"/>
    <mergeCell ref="NVF307:NVF308"/>
    <mergeCell ref="NVN307:NVN308"/>
    <mergeCell ref="NVO307:NVO310"/>
    <mergeCell ref="NVP307:NVP310"/>
    <mergeCell ref="NVR307:NVR308"/>
    <mergeCell ref="NVS307:NVS308"/>
    <mergeCell ref="NVV307:NVV308"/>
    <mergeCell ref="NWD307:NWD308"/>
    <mergeCell ref="NWE307:NWE310"/>
    <mergeCell ref="NWF307:NWF310"/>
    <mergeCell ref="NWH307:NWH308"/>
    <mergeCell ref="NUP309:NUP310"/>
    <mergeCell ref="NUX309:NUX310"/>
    <mergeCell ref="NVB309:NVB310"/>
    <mergeCell ref="NVC309:NVC310"/>
    <mergeCell ref="NVF309:NVF310"/>
    <mergeCell ref="NVN309:NVN310"/>
    <mergeCell ref="NVR309:NVR310"/>
    <mergeCell ref="NVS309:NVS310"/>
    <mergeCell ref="NVV309:NVV310"/>
    <mergeCell ref="NWD309:NWD310"/>
    <mergeCell ref="NWH309:NWH310"/>
    <mergeCell ref="NTB307:NTB308"/>
    <mergeCell ref="NTC307:NTC310"/>
    <mergeCell ref="NTD307:NTD310"/>
    <mergeCell ref="NTF307:NTF308"/>
    <mergeCell ref="NTG307:NTG308"/>
    <mergeCell ref="NTJ307:NTJ308"/>
    <mergeCell ref="NTR307:NTR308"/>
    <mergeCell ref="NTS307:NTS310"/>
    <mergeCell ref="NTT307:NTT310"/>
    <mergeCell ref="NTV307:NTV308"/>
    <mergeCell ref="NTW307:NTW308"/>
    <mergeCell ref="NTZ307:NTZ308"/>
    <mergeCell ref="NUH307:NUH308"/>
    <mergeCell ref="NUI307:NUI310"/>
    <mergeCell ref="NUJ307:NUJ310"/>
    <mergeCell ref="NUL307:NUL308"/>
    <mergeCell ref="NUM307:NUM308"/>
    <mergeCell ref="NTB309:NTB310"/>
    <mergeCell ref="NTF309:NTF310"/>
    <mergeCell ref="NTG309:NTG310"/>
    <mergeCell ref="NTJ309:NTJ310"/>
    <mergeCell ref="NTR309:NTR310"/>
    <mergeCell ref="NTV309:NTV310"/>
    <mergeCell ref="NTW309:NTW310"/>
    <mergeCell ref="NTZ309:NTZ310"/>
    <mergeCell ref="NUH309:NUH310"/>
    <mergeCell ref="NUL309:NUL310"/>
    <mergeCell ref="NUM309:NUM310"/>
    <mergeCell ref="NRG307:NRG310"/>
    <mergeCell ref="NRH307:NRH310"/>
    <mergeCell ref="NRJ307:NRJ308"/>
    <mergeCell ref="NRK307:NRK308"/>
    <mergeCell ref="NRN307:NRN308"/>
    <mergeCell ref="NRV307:NRV308"/>
    <mergeCell ref="NRW307:NRW310"/>
    <mergeCell ref="NRX307:NRX310"/>
    <mergeCell ref="NRZ307:NRZ308"/>
    <mergeCell ref="NSA307:NSA308"/>
    <mergeCell ref="NSD307:NSD308"/>
    <mergeCell ref="NSL307:NSL308"/>
    <mergeCell ref="NSM307:NSM310"/>
    <mergeCell ref="NSN307:NSN310"/>
    <mergeCell ref="NSP307:NSP308"/>
    <mergeCell ref="NSQ307:NSQ308"/>
    <mergeCell ref="NST307:NST308"/>
    <mergeCell ref="NRJ309:NRJ310"/>
    <mergeCell ref="NRK309:NRK310"/>
    <mergeCell ref="NRN309:NRN310"/>
    <mergeCell ref="NRV309:NRV310"/>
    <mergeCell ref="NRZ309:NRZ310"/>
    <mergeCell ref="NSA309:NSA310"/>
    <mergeCell ref="NSD309:NSD310"/>
    <mergeCell ref="NSL309:NSL310"/>
    <mergeCell ref="NSP309:NSP310"/>
    <mergeCell ref="NSQ309:NSQ310"/>
    <mergeCell ref="NST309:NST310"/>
    <mergeCell ref="NPL307:NPL310"/>
    <mergeCell ref="NPN307:NPN308"/>
    <mergeCell ref="NPO307:NPO308"/>
    <mergeCell ref="NPR307:NPR308"/>
    <mergeCell ref="NPZ307:NPZ308"/>
    <mergeCell ref="NQA307:NQA310"/>
    <mergeCell ref="NQB307:NQB310"/>
    <mergeCell ref="NQD307:NQD308"/>
    <mergeCell ref="NQE307:NQE308"/>
    <mergeCell ref="NQH307:NQH308"/>
    <mergeCell ref="NQP307:NQP308"/>
    <mergeCell ref="NQQ307:NQQ310"/>
    <mergeCell ref="NQR307:NQR310"/>
    <mergeCell ref="NQT307:NQT308"/>
    <mergeCell ref="NQU307:NQU308"/>
    <mergeCell ref="NQX307:NQX308"/>
    <mergeCell ref="NRF307:NRF308"/>
    <mergeCell ref="NPN309:NPN310"/>
    <mergeCell ref="NPO309:NPO310"/>
    <mergeCell ref="NPR309:NPR310"/>
    <mergeCell ref="NPZ309:NPZ310"/>
    <mergeCell ref="NQD309:NQD310"/>
    <mergeCell ref="NQE309:NQE310"/>
    <mergeCell ref="NQH309:NQH310"/>
    <mergeCell ref="NQP309:NQP310"/>
    <mergeCell ref="NQT309:NQT310"/>
    <mergeCell ref="NQU309:NQU310"/>
    <mergeCell ref="NQX309:NQX310"/>
    <mergeCell ref="NRF309:NRF310"/>
    <mergeCell ref="NNR307:NNR308"/>
    <mergeCell ref="NNS307:NNS308"/>
    <mergeCell ref="NNV307:NNV308"/>
    <mergeCell ref="NOD307:NOD308"/>
    <mergeCell ref="NOE307:NOE310"/>
    <mergeCell ref="NOF307:NOF310"/>
    <mergeCell ref="NOH307:NOH308"/>
    <mergeCell ref="NOI307:NOI308"/>
    <mergeCell ref="NOL307:NOL308"/>
    <mergeCell ref="NOT307:NOT308"/>
    <mergeCell ref="NOU307:NOU310"/>
    <mergeCell ref="NOV307:NOV310"/>
    <mergeCell ref="NOX307:NOX308"/>
    <mergeCell ref="NOY307:NOY308"/>
    <mergeCell ref="NPB307:NPB308"/>
    <mergeCell ref="NPJ307:NPJ308"/>
    <mergeCell ref="NPK307:NPK310"/>
    <mergeCell ref="NNR309:NNR310"/>
    <mergeCell ref="NNS309:NNS310"/>
    <mergeCell ref="NNV309:NNV310"/>
    <mergeCell ref="NOD309:NOD310"/>
    <mergeCell ref="NOH309:NOH310"/>
    <mergeCell ref="NOI309:NOI310"/>
    <mergeCell ref="NOL309:NOL310"/>
    <mergeCell ref="NOT309:NOT310"/>
    <mergeCell ref="NOX309:NOX310"/>
    <mergeCell ref="NOY309:NOY310"/>
    <mergeCell ref="NPB309:NPB310"/>
    <mergeCell ref="NPJ309:NPJ310"/>
    <mergeCell ref="NLW307:NLW308"/>
    <mergeCell ref="NLZ307:NLZ308"/>
    <mergeCell ref="NMH307:NMH308"/>
    <mergeCell ref="NMI307:NMI310"/>
    <mergeCell ref="NMJ307:NMJ310"/>
    <mergeCell ref="NML307:NML308"/>
    <mergeCell ref="NMM307:NMM308"/>
    <mergeCell ref="NMP307:NMP308"/>
    <mergeCell ref="NMX307:NMX308"/>
    <mergeCell ref="NMY307:NMY310"/>
    <mergeCell ref="NMZ307:NMZ310"/>
    <mergeCell ref="NNB307:NNB308"/>
    <mergeCell ref="NNC307:NNC308"/>
    <mergeCell ref="NNF307:NNF308"/>
    <mergeCell ref="NNN307:NNN308"/>
    <mergeCell ref="NNO307:NNO310"/>
    <mergeCell ref="NNP307:NNP310"/>
    <mergeCell ref="NLW309:NLW310"/>
    <mergeCell ref="NLZ309:NLZ310"/>
    <mergeCell ref="NMH309:NMH310"/>
    <mergeCell ref="NML309:NML310"/>
    <mergeCell ref="NMM309:NMM310"/>
    <mergeCell ref="NMP309:NMP310"/>
    <mergeCell ref="NMX309:NMX310"/>
    <mergeCell ref="NNB309:NNB310"/>
    <mergeCell ref="NNC309:NNC310"/>
    <mergeCell ref="NNF309:NNF310"/>
    <mergeCell ref="NNN309:NNN310"/>
    <mergeCell ref="NKD307:NKD308"/>
    <mergeCell ref="NKL307:NKL308"/>
    <mergeCell ref="NKM307:NKM310"/>
    <mergeCell ref="NKN307:NKN310"/>
    <mergeCell ref="NKP307:NKP308"/>
    <mergeCell ref="NKQ307:NKQ308"/>
    <mergeCell ref="NKT307:NKT308"/>
    <mergeCell ref="NLB307:NLB308"/>
    <mergeCell ref="NLC307:NLC310"/>
    <mergeCell ref="NLD307:NLD310"/>
    <mergeCell ref="NLF307:NLF308"/>
    <mergeCell ref="NLG307:NLG308"/>
    <mergeCell ref="NLJ307:NLJ308"/>
    <mergeCell ref="NLR307:NLR308"/>
    <mergeCell ref="NLS307:NLS310"/>
    <mergeCell ref="NLT307:NLT310"/>
    <mergeCell ref="NLV307:NLV308"/>
    <mergeCell ref="NKD309:NKD310"/>
    <mergeCell ref="NKL309:NKL310"/>
    <mergeCell ref="NKP309:NKP310"/>
    <mergeCell ref="NKQ309:NKQ310"/>
    <mergeCell ref="NKT309:NKT310"/>
    <mergeCell ref="NLB309:NLB310"/>
    <mergeCell ref="NLF309:NLF310"/>
    <mergeCell ref="NLG309:NLG310"/>
    <mergeCell ref="NLJ309:NLJ310"/>
    <mergeCell ref="NLR309:NLR310"/>
    <mergeCell ref="NLV309:NLV310"/>
    <mergeCell ref="NIP307:NIP308"/>
    <mergeCell ref="NIQ307:NIQ310"/>
    <mergeCell ref="NIR307:NIR310"/>
    <mergeCell ref="NIT307:NIT308"/>
    <mergeCell ref="NIU307:NIU308"/>
    <mergeCell ref="NIX307:NIX308"/>
    <mergeCell ref="NJF307:NJF308"/>
    <mergeCell ref="NJG307:NJG310"/>
    <mergeCell ref="NJH307:NJH310"/>
    <mergeCell ref="NJJ307:NJJ308"/>
    <mergeCell ref="NJK307:NJK308"/>
    <mergeCell ref="NJN307:NJN308"/>
    <mergeCell ref="NJV307:NJV308"/>
    <mergeCell ref="NJW307:NJW310"/>
    <mergeCell ref="NJX307:NJX310"/>
    <mergeCell ref="NJZ307:NJZ308"/>
    <mergeCell ref="NKA307:NKA308"/>
    <mergeCell ref="NIP309:NIP310"/>
    <mergeCell ref="NIT309:NIT310"/>
    <mergeCell ref="NIU309:NIU310"/>
    <mergeCell ref="NIX309:NIX310"/>
    <mergeCell ref="NJF309:NJF310"/>
    <mergeCell ref="NJJ309:NJJ310"/>
    <mergeCell ref="NJK309:NJK310"/>
    <mergeCell ref="NJN309:NJN310"/>
    <mergeCell ref="NJV309:NJV310"/>
    <mergeCell ref="NJZ309:NJZ310"/>
    <mergeCell ref="NKA309:NKA310"/>
    <mergeCell ref="NGU307:NGU310"/>
    <mergeCell ref="NGV307:NGV310"/>
    <mergeCell ref="NGX307:NGX308"/>
    <mergeCell ref="NGY307:NGY308"/>
    <mergeCell ref="NHB307:NHB308"/>
    <mergeCell ref="NHJ307:NHJ308"/>
    <mergeCell ref="NHK307:NHK310"/>
    <mergeCell ref="NHL307:NHL310"/>
    <mergeCell ref="NHN307:NHN308"/>
    <mergeCell ref="NHO307:NHO308"/>
    <mergeCell ref="NHR307:NHR308"/>
    <mergeCell ref="NHZ307:NHZ308"/>
    <mergeCell ref="NIA307:NIA310"/>
    <mergeCell ref="NIB307:NIB310"/>
    <mergeCell ref="NID307:NID308"/>
    <mergeCell ref="NIE307:NIE308"/>
    <mergeCell ref="NIH307:NIH308"/>
    <mergeCell ref="NGX309:NGX310"/>
    <mergeCell ref="NGY309:NGY310"/>
    <mergeCell ref="NHB309:NHB310"/>
    <mergeCell ref="NHJ309:NHJ310"/>
    <mergeCell ref="NHN309:NHN310"/>
    <mergeCell ref="NHO309:NHO310"/>
    <mergeCell ref="NHR309:NHR310"/>
    <mergeCell ref="NHZ309:NHZ310"/>
    <mergeCell ref="NID309:NID310"/>
    <mergeCell ref="NIE309:NIE310"/>
    <mergeCell ref="NIH309:NIH310"/>
    <mergeCell ref="NEZ307:NEZ310"/>
    <mergeCell ref="NFB307:NFB308"/>
    <mergeCell ref="NFC307:NFC308"/>
    <mergeCell ref="NFF307:NFF308"/>
    <mergeCell ref="NFN307:NFN308"/>
    <mergeCell ref="NFO307:NFO310"/>
    <mergeCell ref="NFP307:NFP310"/>
    <mergeCell ref="NFR307:NFR308"/>
    <mergeCell ref="NFS307:NFS308"/>
    <mergeCell ref="NFV307:NFV308"/>
    <mergeCell ref="NGD307:NGD308"/>
    <mergeCell ref="NGE307:NGE310"/>
    <mergeCell ref="NGF307:NGF310"/>
    <mergeCell ref="NGH307:NGH308"/>
    <mergeCell ref="NGI307:NGI308"/>
    <mergeCell ref="NGL307:NGL308"/>
    <mergeCell ref="NGT307:NGT308"/>
    <mergeCell ref="NFB309:NFB310"/>
    <mergeCell ref="NFC309:NFC310"/>
    <mergeCell ref="NFF309:NFF310"/>
    <mergeCell ref="NFN309:NFN310"/>
    <mergeCell ref="NFR309:NFR310"/>
    <mergeCell ref="NFS309:NFS310"/>
    <mergeCell ref="NFV309:NFV310"/>
    <mergeCell ref="NGD309:NGD310"/>
    <mergeCell ref="NGH309:NGH310"/>
    <mergeCell ref="NGI309:NGI310"/>
    <mergeCell ref="NGL309:NGL310"/>
    <mergeCell ref="NGT309:NGT310"/>
    <mergeCell ref="NDF307:NDF308"/>
    <mergeCell ref="NDG307:NDG308"/>
    <mergeCell ref="NDJ307:NDJ308"/>
    <mergeCell ref="NDR307:NDR308"/>
    <mergeCell ref="NDS307:NDS310"/>
    <mergeCell ref="NDT307:NDT310"/>
    <mergeCell ref="NDV307:NDV308"/>
    <mergeCell ref="NDW307:NDW308"/>
    <mergeCell ref="NDZ307:NDZ308"/>
    <mergeCell ref="NEH307:NEH308"/>
    <mergeCell ref="NEI307:NEI310"/>
    <mergeCell ref="NEJ307:NEJ310"/>
    <mergeCell ref="NEL307:NEL308"/>
    <mergeCell ref="NEM307:NEM308"/>
    <mergeCell ref="NEP307:NEP308"/>
    <mergeCell ref="NEX307:NEX308"/>
    <mergeCell ref="NEY307:NEY310"/>
    <mergeCell ref="NDF309:NDF310"/>
    <mergeCell ref="NDG309:NDG310"/>
    <mergeCell ref="NDJ309:NDJ310"/>
    <mergeCell ref="NDR309:NDR310"/>
    <mergeCell ref="NDV309:NDV310"/>
    <mergeCell ref="NDW309:NDW310"/>
    <mergeCell ref="NDZ309:NDZ310"/>
    <mergeCell ref="NEH309:NEH310"/>
    <mergeCell ref="NEL309:NEL310"/>
    <mergeCell ref="NEM309:NEM310"/>
    <mergeCell ref="NEP309:NEP310"/>
    <mergeCell ref="NEX309:NEX310"/>
    <mergeCell ref="NBK307:NBK308"/>
    <mergeCell ref="NBN307:NBN308"/>
    <mergeCell ref="NBV307:NBV308"/>
    <mergeCell ref="NBW307:NBW310"/>
    <mergeCell ref="NBX307:NBX310"/>
    <mergeCell ref="NBZ307:NBZ308"/>
    <mergeCell ref="NCA307:NCA308"/>
    <mergeCell ref="NCD307:NCD308"/>
    <mergeCell ref="NCL307:NCL308"/>
    <mergeCell ref="NCM307:NCM310"/>
    <mergeCell ref="NCN307:NCN310"/>
    <mergeCell ref="NCP307:NCP308"/>
    <mergeCell ref="NCQ307:NCQ308"/>
    <mergeCell ref="NCT307:NCT308"/>
    <mergeCell ref="NDB307:NDB308"/>
    <mergeCell ref="NDC307:NDC310"/>
    <mergeCell ref="NDD307:NDD310"/>
    <mergeCell ref="NBK309:NBK310"/>
    <mergeCell ref="NBN309:NBN310"/>
    <mergeCell ref="NBV309:NBV310"/>
    <mergeCell ref="NBZ309:NBZ310"/>
    <mergeCell ref="NCA309:NCA310"/>
    <mergeCell ref="NCD309:NCD310"/>
    <mergeCell ref="NCL309:NCL310"/>
    <mergeCell ref="NCP309:NCP310"/>
    <mergeCell ref="NCQ309:NCQ310"/>
    <mergeCell ref="NCT309:NCT310"/>
    <mergeCell ref="NDB309:NDB310"/>
    <mergeCell ref="MZR307:MZR308"/>
    <mergeCell ref="MZZ307:MZZ308"/>
    <mergeCell ref="NAA307:NAA310"/>
    <mergeCell ref="NAB307:NAB310"/>
    <mergeCell ref="NAD307:NAD308"/>
    <mergeCell ref="NAE307:NAE308"/>
    <mergeCell ref="NAH307:NAH308"/>
    <mergeCell ref="NAP307:NAP308"/>
    <mergeCell ref="NAQ307:NAQ310"/>
    <mergeCell ref="NAR307:NAR310"/>
    <mergeCell ref="NAT307:NAT308"/>
    <mergeCell ref="NAU307:NAU308"/>
    <mergeCell ref="NAX307:NAX308"/>
    <mergeCell ref="NBF307:NBF308"/>
    <mergeCell ref="NBG307:NBG310"/>
    <mergeCell ref="NBH307:NBH310"/>
    <mergeCell ref="NBJ307:NBJ308"/>
    <mergeCell ref="MZR309:MZR310"/>
    <mergeCell ref="MZZ309:MZZ310"/>
    <mergeCell ref="NAD309:NAD310"/>
    <mergeCell ref="NAE309:NAE310"/>
    <mergeCell ref="NAH309:NAH310"/>
    <mergeCell ref="NAP309:NAP310"/>
    <mergeCell ref="NAT309:NAT310"/>
    <mergeCell ref="NAU309:NAU310"/>
    <mergeCell ref="NAX309:NAX310"/>
    <mergeCell ref="NBF309:NBF310"/>
    <mergeCell ref="NBJ309:NBJ310"/>
    <mergeCell ref="MYD307:MYD308"/>
    <mergeCell ref="MYE307:MYE310"/>
    <mergeCell ref="MYF307:MYF310"/>
    <mergeCell ref="MYH307:MYH308"/>
    <mergeCell ref="MYI307:MYI308"/>
    <mergeCell ref="MYL307:MYL308"/>
    <mergeCell ref="MYT307:MYT308"/>
    <mergeCell ref="MYU307:MYU310"/>
    <mergeCell ref="MYV307:MYV310"/>
    <mergeCell ref="MYX307:MYX308"/>
    <mergeCell ref="MYY307:MYY308"/>
    <mergeCell ref="MZB307:MZB308"/>
    <mergeCell ref="MZJ307:MZJ308"/>
    <mergeCell ref="MZK307:MZK310"/>
    <mergeCell ref="MZL307:MZL310"/>
    <mergeCell ref="MZN307:MZN308"/>
    <mergeCell ref="MZO307:MZO308"/>
    <mergeCell ref="MYD309:MYD310"/>
    <mergeCell ref="MYH309:MYH310"/>
    <mergeCell ref="MYI309:MYI310"/>
    <mergeCell ref="MYL309:MYL310"/>
    <mergeCell ref="MYT309:MYT310"/>
    <mergeCell ref="MYX309:MYX310"/>
    <mergeCell ref="MYY309:MYY310"/>
    <mergeCell ref="MZB309:MZB310"/>
    <mergeCell ref="MZJ309:MZJ310"/>
    <mergeCell ref="MZN309:MZN310"/>
    <mergeCell ref="MZO309:MZO310"/>
    <mergeCell ref="MWI307:MWI310"/>
    <mergeCell ref="MWJ307:MWJ310"/>
    <mergeCell ref="MWL307:MWL308"/>
    <mergeCell ref="MWM307:MWM308"/>
    <mergeCell ref="MWP307:MWP308"/>
    <mergeCell ref="MWX307:MWX308"/>
    <mergeCell ref="MWY307:MWY310"/>
    <mergeCell ref="MWZ307:MWZ310"/>
    <mergeCell ref="MXB307:MXB308"/>
    <mergeCell ref="MXC307:MXC308"/>
    <mergeCell ref="MXF307:MXF308"/>
    <mergeCell ref="MXN307:MXN308"/>
    <mergeCell ref="MXO307:MXO310"/>
    <mergeCell ref="MXP307:MXP310"/>
    <mergeCell ref="MXR307:MXR308"/>
    <mergeCell ref="MXS307:MXS308"/>
    <mergeCell ref="MXV307:MXV308"/>
    <mergeCell ref="MWL309:MWL310"/>
    <mergeCell ref="MWM309:MWM310"/>
    <mergeCell ref="MWP309:MWP310"/>
    <mergeCell ref="MWX309:MWX310"/>
    <mergeCell ref="MXB309:MXB310"/>
    <mergeCell ref="MXC309:MXC310"/>
    <mergeCell ref="MXF309:MXF310"/>
    <mergeCell ref="MXN309:MXN310"/>
    <mergeCell ref="MXR309:MXR310"/>
    <mergeCell ref="MXS309:MXS310"/>
    <mergeCell ref="MXV309:MXV310"/>
    <mergeCell ref="MUN307:MUN310"/>
    <mergeCell ref="MUP307:MUP308"/>
    <mergeCell ref="MUQ307:MUQ308"/>
    <mergeCell ref="MUT307:MUT308"/>
    <mergeCell ref="MVB307:MVB308"/>
    <mergeCell ref="MVC307:MVC310"/>
    <mergeCell ref="MVD307:MVD310"/>
    <mergeCell ref="MVF307:MVF308"/>
    <mergeCell ref="MVG307:MVG308"/>
    <mergeCell ref="MVJ307:MVJ308"/>
    <mergeCell ref="MVR307:MVR308"/>
    <mergeCell ref="MVS307:MVS310"/>
    <mergeCell ref="MVT307:MVT310"/>
    <mergeCell ref="MVV307:MVV308"/>
    <mergeCell ref="MVW307:MVW308"/>
    <mergeCell ref="MVZ307:MVZ308"/>
    <mergeCell ref="MWH307:MWH308"/>
    <mergeCell ref="MUP309:MUP310"/>
    <mergeCell ref="MUQ309:MUQ310"/>
    <mergeCell ref="MUT309:MUT310"/>
    <mergeCell ref="MVB309:MVB310"/>
    <mergeCell ref="MVF309:MVF310"/>
    <mergeCell ref="MVG309:MVG310"/>
    <mergeCell ref="MVJ309:MVJ310"/>
    <mergeCell ref="MVR309:MVR310"/>
    <mergeCell ref="MVV309:MVV310"/>
    <mergeCell ref="MVW309:MVW310"/>
    <mergeCell ref="MVZ309:MVZ310"/>
    <mergeCell ref="MWH309:MWH310"/>
    <mergeCell ref="MST307:MST308"/>
    <mergeCell ref="MSU307:MSU308"/>
    <mergeCell ref="MSX307:MSX308"/>
    <mergeCell ref="MTF307:MTF308"/>
    <mergeCell ref="MTG307:MTG310"/>
    <mergeCell ref="MTH307:MTH310"/>
    <mergeCell ref="MTJ307:MTJ308"/>
    <mergeCell ref="MTK307:MTK308"/>
    <mergeCell ref="MTN307:MTN308"/>
    <mergeCell ref="MTV307:MTV308"/>
    <mergeCell ref="MTW307:MTW310"/>
    <mergeCell ref="MTX307:MTX310"/>
    <mergeCell ref="MTZ307:MTZ308"/>
    <mergeCell ref="MUA307:MUA308"/>
    <mergeCell ref="MUD307:MUD308"/>
    <mergeCell ref="MUL307:MUL308"/>
    <mergeCell ref="MUM307:MUM310"/>
    <mergeCell ref="MST309:MST310"/>
    <mergeCell ref="MSU309:MSU310"/>
    <mergeCell ref="MSX309:MSX310"/>
    <mergeCell ref="MTF309:MTF310"/>
    <mergeCell ref="MTJ309:MTJ310"/>
    <mergeCell ref="MTK309:MTK310"/>
    <mergeCell ref="MTN309:MTN310"/>
    <mergeCell ref="MTV309:MTV310"/>
    <mergeCell ref="MTZ309:MTZ310"/>
    <mergeCell ref="MUA309:MUA310"/>
    <mergeCell ref="MUD309:MUD310"/>
    <mergeCell ref="MUL309:MUL310"/>
    <mergeCell ref="MQY307:MQY308"/>
    <mergeCell ref="MRB307:MRB308"/>
    <mergeCell ref="MRJ307:MRJ308"/>
    <mergeCell ref="MRK307:MRK310"/>
    <mergeCell ref="MRL307:MRL310"/>
    <mergeCell ref="MRN307:MRN308"/>
    <mergeCell ref="MRO307:MRO308"/>
    <mergeCell ref="MRR307:MRR308"/>
    <mergeCell ref="MRZ307:MRZ308"/>
    <mergeCell ref="MSA307:MSA310"/>
    <mergeCell ref="MSB307:MSB310"/>
    <mergeCell ref="MSD307:MSD308"/>
    <mergeCell ref="MSE307:MSE308"/>
    <mergeCell ref="MSH307:MSH308"/>
    <mergeCell ref="MSP307:MSP308"/>
    <mergeCell ref="MSQ307:MSQ310"/>
    <mergeCell ref="MSR307:MSR310"/>
    <mergeCell ref="MQY309:MQY310"/>
    <mergeCell ref="MRB309:MRB310"/>
    <mergeCell ref="MRJ309:MRJ310"/>
    <mergeCell ref="MRN309:MRN310"/>
    <mergeCell ref="MRO309:MRO310"/>
    <mergeCell ref="MRR309:MRR310"/>
    <mergeCell ref="MRZ309:MRZ310"/>
    <mergeCell ref="MSD309:MSD310"/>
    <mergeCell ref="MSE309:MSE310"/>
    <mergeCell ref="MSH309:MSH310"/>
    <mergeCell ref="MSP309:MSP310"/>
    <mergeCell ref="MPF307:MPF308"/>
    <mergeCell ref="MPN307:MPN308"/>
    <mergeCell ref="MPO307:MPO310"/>
    <mergeCell ref="MPP307:MPP310"/>
    <mergeCell ref="MPR307:MPR308"/>
    <mergeCell ref="MPS307:MPS308"/>
    <mergeCell ref="MPV307:MPV308"/>
    <mergeCell ref="MQD307:MQD308"/>
    <mergeCell ref="MQE307:MQE310"/>
    <mergeCell ref="MQF307:MQF310"/>
    <mergeCell ref="MQH307:MQH308"/>
    <mergeCell ref="MQI307:MQI308"/>
    <mergeCell ref="MQL307:MQL308"/>
    <mergeCell ref="MQT307:MQT308"/>
    <mergeCell ref="MQU307:MQU310"/>
    <mergeCell ref="MQV307:MQV310"/>
    <mergeCell ref="MQX307:MQX308"/>
    <mergeCell ref="MPF309:MPF310"/>
    <mergeCell ref="MPN309:MPN310"/>
    <mergeCell ref="MPR309:MPR310"/>
    <mergeCell ref="MPS309:MPS310"/>
    <mergeCell ref="MPV309:MPV310"/>
    <mergeCell ref="MQD309:MQD310"/>
    <mergeCell ref="MQH309:MQH310"/>
    <mergeCell ref="MQI309:MQI310"/>
    <mergeCell ref="MQL309:MQL310"/>
    <mergeCell ref="MQT309:MQT310"/>
    <mergeCell ref="MQX309:MQX310"/>
    <mergeCell ref="MNR307:MNR308"/>
    <mergeCell ref="MNS307:MNS310"/>
    <mergeCell ref="MNT307:MNT310"/>
    <mergeCell ref="MNV307:MNV308"/>
    <mergeCell ref="MNW307:MNW308"/>
    <mergeCell ref="MNZ307:MNZ308"/>
    <mergeCell ref="MOH307:MOH308"/>
    <mergeCell ref="MOI307:MOI310"/>
    <mergeCell ref="MOJ307:MOJ310"/>
    <mergeCell ref="MOL307:MOL308"/>
    <mergeCell ref="MOM307:MOM308"/>
    <mergeCell ref="MOP307:MOP308"/>
    <mergeCell ref="MOX307:MOX308"/>
    <mergeCell ref="MOY307:MOY310"/>
    <mergeCell ref="MOZ307:MOZ310"/>
    <mergeCell ref="MPB307:MPB308"/>
    <mergeCell ref="MPC307:MPC308"/>
    <mergeCell ref="MNR309:MNR310"/>
    <mergeCell ref="MNV309:MNV310"/>
    <mergeCell ref="MNW309:MNW310"/>
    <mergeCell ref="MNZ309:MNZ310"/>
    <mergeCell ref="MOH309:MOH310"/>
    <mergeCell ref="MOL309:MOL310"/>
    <mergeCell ref="MOM309:MOM310"/>
    <mergeCell ref="MOP309:MOP310"/>
    <mergeCell ref="MOX309:MOX310"/>
    <mergeCell ref="MPB309:MPB310"/>
    <mergeCell ref="MPC309:MPC310"/>
    <mergeCell ref="MLW307:MLW310"/>
    <mergeCell ref="MLX307:MLX310"/>
    <mergeCell ref="MLZ307:MLZ308"/>
    <mergeCell ref="MMA307:MMA308"/>
    <mergeCell ref="MMD307:MMD308"/>
    <mergeCell ref="MML307:MML308"/>
    <mergeCell ref="MMM307:MMM310"/>
    <mergeCell ref="MMN307:MMN310"/>
    <mergeCell ref="MMP307:MMP308"/>
    <mergeCell ref="MMQ307:MMQ308"/>
    <mergeCell ref="MMT307:MMT308"/>
    <mergeCell ref="MNB307:MNB308"/>
    <mergeCell ref="MNC307:MNC310"/>
    <mergeCell ref="MND307:MND310"/>
    <mergeCell ref="MNF307:MNF308"/>
    <mergeCell ref="MNG307:MNG308"/>
    <mergeCell ref="MNJ307:MNJ308"/>
    <mergeCell ref="MLZ309:MLZ310"/>
    <mergeCell ref="MMA309:MMA310"/>
    <mergeCell ref="MMD309:MMD310"/>
    <mergeCell ref="MML309:MML310"/>
    <mergeCell ref="MMP309:MMP310"/>
    <mergeCell ref="MMQ309:MMQ310"/>
    <mergeCell ref="MMT309:MMT310"/>
    <mergeCell ref="MNB309:MNB310"/>
    <mergeCell ref="MNF309:MNF310"/>
    <mergeCell ref="MNG309:MNG310"/>
    <mergeCell ref="MNJ309:MNJ310"/>
    <mergeCell ref="MKB307:MKB310"/>
    <mergeCell ref="MKD307:MKD308"/>
    <mergeCell ref="MKE307:MKE308"/>
    <mergeCell ref="MKH307:MKH308"/>
    <mergeCell ref="MKP307:MKP308"/>
    <mergeCell ref="MKQ307:MKQ310"/>
    <mergeCell ref="MKR307:MKR310"/>
    <mergeCell ref="MKT307:MKT308"/>
    <mergeCell ref="MKU307:MKU308"/>
    <mergeCell ref="MKX307:MKX308"/>
    <mergeCell ref="MLF307:MLF308"/>
    <mergeCell ref="MLG307:MLG310"/>
    <mergeCell ref="MLH307:MLH310"/>
    <mergeCell ref="MLJ307:MLJ308"/>
    <mergeCell ref="MLK307:MLK308"/>
    <mergeCell ref="MLN307:MLN308"/>
    <mergeCell ref="MLV307:MLV308"/>
    <mergeCell ref="MKD309:MKD310"/>
    <mergeCell ref="MKE309:MKE310"/>
    <mergeCell ref="MKH309:MKH310"/>
    <mergeCell ref="MKP309:MKP310"/>
    <mergeCell ref="MKT309:MKT310"/>
    <mergeCell ref="MKU309:MKU310"/>
    <mergeCell ref="MKX309:MKX310"/>
    <mergeCell ref="MLF309:MLF310"/>
    <mergeCell ref="MLJ309:MLJ310"/>
    <mergeCell ref="MLK309:MLK310"/>
    <mergeCell ref="MLN309:MLN310"/>
    <mergeCell ref="MLV309:MLV310"/>
    <mergeCell ref="MIH307:MIH308"/>
    <mergeCell ref="MII307:MII308"/>
    <mergeCell ref="MIL307:MIL308"/>
    <mergeCell ref="MIT307:MIT308"/>
    <mergeCell ref="MIU307:MIU310"/>
    <mergeCell ref="MIV307:MIV310"/>
    <mergeCell ref="MIX307:MIX308"/>
    <mergeCell ref="MIY307:MIY308"/>
    <mergeCell ref="MJB307:MJB308"/>
    <mergeCell ref="MJJ307:MJJ308"/>
    <mergeCell ref="MJK307:MJK310"/>
    <mergeCell ref="MJL307:MJL310"/>
    <mergeCell ref="MJN307:MJN308"/>
    <mergeCell ref="MJO307:MJO308"/>
    <mergeCell ref="MJR307:MJR308"/>
    <mergeCell ref="MJZ307:MJZ308"/>
    <mergeCell ref="MKA307:MKA310"/>
    <mergeCell ref="MIH309:MIH310"/>
    <mergeCell ref="MII309:MII310"/>
    <mergeCell ref="MIL309:MIL310"/>
    <mergeCell ref="MIT309:MIT310"/>
    <mergeCell ref="MIX309:MIX310"/>
    <mergeCell ref="MIY309:MIY310"/>
    <mergeCell ref="MJB309:MJB310"/>
    <mergeCell ref="MJJ309:MJJ310"/>
    <mergeCell ref="MJN309:MJN310"/>
    <mergeCell ref="MJO309:MJO310"/>
    <mergeCell ref="MJR309:MJR310"/>
    <mergeCell ref="MJZ309:MJZ310"/>
    <mergeCell ref="MGM307:MGM308"/>
    <mergeCell ref="MGP307:MGP308"/>
    <mergeCell ref="MGX307:MGX308"/>
    <mergeCell ref="MGY307:MGY310"/>
    <mergeCell ref="MGZ307:MGZ310"/>
    <mergeCell ref="MHB307:MHB308"/>
    <mergeCell ref="MHC307:MHC308"/>
    <mergeCell ref="MHF307:MHF308"/>
    <mergeCell ref="MHN307:MHN308"/>
    <mergeCell ref="MHO307:MHO310"/>
    <mergeCell ref="MHP307:MHP310"/>
    <mergeCell ref="MHR307:MHR308"/>
    <mergeCell ref="MHS307:MHS308"/>
    <mergeCell ref="MHV307:MHV308"/>
    <mergeCell ref="MID307:MID308"/>
    <mergeCell ref="MIE307:MIE310"/>
    <mergeCell ref="MIF307:MIF310"/>
    <mergeCell ref="MGM309:MGM310"/>
    <mergeCell ref="MGP309:MGP310"/>
    <mergeCell ref="MGX309:MGX310"/>
    <mergeCell ref="MHB309:MHB310"/>
    <mergeCell ref="MHC309:MHC310"/>
    <mergeCell ref="MHF309:MHF310"/>
    <mergeCell ref="MHN309:MHN310"/>
    <mergeCell ref="MHR309:MHR310"/>
    <mergeCell ref="MHS309:MHS310"/>
    <mergeCell ref="MHV309:MHV310"/>
    <mergeCell ref="MID309:MID310"/>
    <mergeCell ref="MET307:MET308"/>
    <mergeCell ref="MFB307:MFB308"/>
    <mergeCell ref="MFC307:MFC310"/>
    <mergeCell ref="MFD307:MFD310"/>
    <mergeCell ref="MFF307:MFF308"/>
    <mergeCell ref="MFG307:MFG308"/>
    <mergeCell ref="MFJ307:MFJ308"/>
    <mergeCell ref="MFR307:MFR308"/>
    <mergeCell ref="MFS307:MFS310"/>
    <mergeCell ref="MFT307:MFT310"/>
    <mergeCell ref="MFV307:MFV308"/>
    <mergeCell ref="MFW307:MFW308"/>
    <mergeCell ref="MFZ307:MFZ308"/>
    <mergeCell ref="MGH307:MGH308"/>
    <mergeCell ref="MGI307:MGI310"/>
    <mergeCell ref="MGJ307:MGJ310"/>
    <mergeCell ref="MGL307:MGL308"/>
    <mergeCell ref="MET309:MET310"/>
    <mergeCell ref="MFB309:MFB310"/>
    <mergeCell ref="MFF309:MFF310"/>
    <mergeCell ref="MFG309:MFG310"/>
    <mergeCell ref="MFJ309:MFJ310"/>
    <mergeCell ref="MFR309:MFR310"/>
    <mergeCell ref="MFV309:MFV310"/>
    <mergeCell ref="MFW309:MFW310"/>
    <mergeCell ref="MFZ309:MFZ310"/>
    <mergeCell ref="MGH309:MGH310"/>
    <mergeCell ref="MGL309:MGL310"/>
    <mergeCell ref="MDF307:MDF308"/>
    <mergeCell ref="MDG307:MDG310"/>
    <mergeCell ref="MDH307:MDH310"/>
    <mergeCell ref="MDJ307:MDJ308"/>
    <mergeCell ref="MDK307:MDK308"/>
    <mergeCell ref="MDN307:MDN308"/>
    <mergeCell ref="MDV307:MDV308"/>
    <mergeCell ref="MDW307:MDW310"/>
    <mergeCell ref="MDX307:MDX310"/>
    <mergeCell ref="MDZ307:MDZ308"/>
    <mergeCell ref="MEA307:MEA308"/>
    <mergeCell ref="MED307:MED308"/>
    <mergeCell ref="MEL307:MEL308"/>
    <mergeCell ref="MEM307:MEM310"/>
    <mergeCell ref="MEN307:MEN310"/>
    <mergeCell ref="MEP307:MEP308"/>
    <mergeCell ref="MEQ307:MEQ308"/>
    <mergeCell ref="MDF309:MDF310"/>
    <mergeCell ref="MDJ309:MDJ310"/>
    <mergeCell ref="MDK309:MDK310"/>
    <mergeCell ref="MDN309:MDN310"/>
    <mergeCell ref="MDV309:MDV310"/>
    <mergeCell ref="MDZ309:MDZ310"/>
    <mergeCell ref="MEA309:MEA310"/>
    <mergeCell ref="MED309:MED310"/>
    <mergeCell ref="MEL309:MEL310"/>
    <mergeCell ref="MEP309:MEP310"/>
    <mergeCell ref="MEQ309:MEQ310"/>
    <mergeCell ref="MBK307:MBK310"/>
    <mergeCell ref="MBL307:MBL310"/>
    <mergeCell ref="MBN307:MBN308"/>
    <mergeCell ref="MBO307:MBO308"/>
    <mergeCell ref="MBR307:MBR308"/>
    <mergeCell ref="MBZ307:MBZ308"/>
    <mergeCell ref="MCA307:MCA310"/>
    <mergeCell ref="MCB307:MCB310"/>
    <mergeCell ref="MCD307:MCD308"/>
    <mergeCell ref="MCE307:MCE308"/>
    <mergeCell ref="MCH307:MCH308"/>
    <mergeCell ref="MCP307:MCP308"/>
    <mergeCell ref="MCQ307:MCQ310"/>
    <mergeCell ref="MCR307:MCR310"/>
    <mergeCell ref="MCT307:MCT308"/>
    <mergeCell ref="MCU307:MCU308"/>
    <mergeCell ref="MCX307:MCX308"/>
    <mergeCell ref="MBN309:MBN310"/>
    <mergeCell ref="MBO309:MBO310"/>
    <mergeCell ref="MBR309:MBR310"/>
    <mergeCell ref="MBZ309:MBZ310"/>
    <mergeCell ref="MCD309:MCD310"/>
    <mergeCell ref="MCE309:MCE310"/>
    <mergeCell ref="MCH309:MCH310"/>
    <mergeCell ref="MCP309:MCP310"/>
    <mergeCell ref="MCT309:MCT310"/>
    <mergeCell ref="MCU309:MCU310"/>
    <mergeCell ref="MCX309:MCX310"/>
    <mergeCell ref="LZP307:LZP310"/>
    <mergeCell ref="LZR307:LZR308"/>
    <mergeCell ref="LZS307:LZS308"/>
    <mergeCell ref="LZV307:LZV308"/>
    <mergeCell ref="MAD307:MAD308"/>
    <mergeCell ref="MAE307:MAE310"/>
    <mergeCell ref="MAF307:MAF310"/>
    <mergeCell ref="MAH307:MAH308"/>
    <mergeCell ref="MAI307:MAI308"/>
    <mergeCell ref="MAL307:MAL308"/>
    <mergeCell ref="MAT307:MAT308"/>
    <mergeCell ref="MAU307:MAU310"/>
    <mergeCell ref="MAV307:MAV310"/>
    <mergeCell ref="MAX307:MAX308"/>
    <mergeCell ref="MAY307:MAY308"/>
    <mergeCell ref="MBB307:MBB308"/>
    <mergeCell ref="MBJ307:MBJ308"/>
    <mergeCell ref="LZR309:LZR310"/>
    <mergeCell ref="LZS309:LZS310"/>
    <mergeCell ref="LZV309:LZV310"/>
    <mergeCell ref="MAD309:MAD310"/>
    <mergeCell ref="MAH309:MAH310"/>
    <mergeCell ref="MAI309:MAI310"/>
    <mergeCell ref="MAL309:MAL310"/>
    <mergeCell ref="MAT309:MAT310"/>
    <mergeCell ref="MAX309:MAX310"/>
    <mergeCell ref="MAY309:MAY310"/>
    <mergeCell ref="MBB309:MBB310"/>
    <mergeCell ref="MBJ309:MBJ310"/>
    <mergeCell ref="LXV307:LXV308"/>
    <mergeCell ref="LXW307:LXW308"/>
    <mergeCell ref="LXZ307:LXZ308"/>
    <mergeCell ref="LYH307:LYH308"/>
    <mergeCell ref="LYI307:LYI310"/>
    <mergeCell ref="LYJ307:LYJ310"/>
    <mergeCell ref="LYL307:LYL308"/>
    <mergeCell ref="LYM307:LYM308"/>
    <mergeCell ref="LYP307:LYP308"/>
    <mergeCell ref="LYX307:LYX308"/>
    <mergeCell ref="LYY307:LYY310"/>
    <mergeCell ref="LYZ307:LYZ310"/>
    <mergeCell ref="LZB307:LZB308"/>
    <mergeCell ref="LZC307:LZC308"/>
    <mergeCell ref="LZF307:LZF308"/>
    <mergeCell ref="LZN307:LZN308"/>
    <mergeCell ref="LZO307:LZO310"/>
    <mergeCell ref="LXV309:LXV310"/>
    <mergeCell ref="LXW309:LXW310"/>
    <mergeCell ref="LXZ309:LXZ310"/>
    <mergeCell ref="LYH309:LYH310"/>
    <mergeCell ref="LYL309:LYL310"/>
    <mergeCell ref="LYM309:LYM310"/>
    <mergeCell ref="LYP309:LYP310"/>
    <mergeCell ref="LYX309:LYX310"/>
    <mergeCell ref="LZB309:LZB310"/>
    <mergeCell ref="LZC309:LZC310"/>
    <mergeCell ref="LZF309:LZF310"/>
    <mergeCell ref="LZN309:LZN310"/>
    <mergeCell ref="LWA307:LWA308"/>
    <mergeCell ref="LWD307:LWD308"/>
    <mergeCell ref="LWL307:LWL308"/>
    <mergeCell ref="LWM307:LWM310"/>
    <mergeCell ref="LWN307:LWN310"/>
    <mergeCell ref="LWP307:LWP308"/>
    <mergeCell ref="LWQ307:LWQ308"/>
    <mergeCell ref="LWT307:LWT308"/>
    <mergeCell ref="LXB307:LXB308"/>
    <mergeCell ref="LXC307:LXC310"/>
    <mergeCell ref="LXD307:LXD310"/>
    <mergeCell ref="LXF307:LXF308"/>
    <mergeCell ref="LXG307:LXG308"/>
    <mergeCell ref="LXJ307:LXJ308"/>
    <mergeCell ref="LXR307:LXR308"/>
    <mergeCell ref="LXS307:LXS310"/>
    <mergeCell ref="LXT307:LXT310"/>
    <mergeCell ref="LWA309:LWA310"/>
    <mergeCell ref="LWD309:LWD310"/>
    <mergeCell ref="LWL309:LWL310"/>
    <mergeCell ref="LWP309:LWP310"/>
    <mergeCell ref="LWQ309:LWQ310"/>
    <mergeCell ref="LWT309:LWT310"/>
    <mergeCell ref="LXB309:LXB310"/>
    <mergeCell ref="LXF309:LXF310"/>
    <mergeCell ref="LXG309:LXG310"/>
    <mergeCell ref="LXJ309:LXJ310"/>
    <mergeCell ref="LXR309:LXR310"/>
    <mergeCell ref="LUH307:LUH308"/>
    <mergeCell ref="LUP307:LUP308"/>
    <mergeCell ref="LUQ307:LUQ310"/>
    <mergeCell ref="LUR307:LUR310"/>
    <mergeCell ref="LUT307:LUT308"/>
    <mergeCell ref="LUU307:LUU308"/>
    <mergeCell ref="LUX307:LUX308"/>
    <mergeCell ref="LVF307:LVF308"/>
    <mergeCell ref="LVG307:LVG310"/>
    <mergeCell ref="LVH307:LVH310"/>
    <mergeCell ref="LVJ307:LVJ308"/>
    <mergeCell ref="LVK307:LVK308"/>
    <mergeCell ref="LVN307:LVN308"/>
    <mergeCell ref="LVV307:LVV308"/>
    <mergeCell ref="LVW307:LVW310"/>
    <mergeCell ref="LVX307:LVX310"/>
    <mergeCell ref="LVZ307:LVZ308"/>
    <mergeCell ref="LUH309:LUH310"/>
    <mergeCell ref="LUP309:LUP310"/>
    <mergeCell ref="LUT309:LUT310"/>
    <mergeCell ref="LUU309:LUU310"/>
    <mergeCell ref="LUX309:LUX310"/>
    <mergeCell ref="LVF309:LVF310"/>
    <mergeCell ref="LVJ309:LVJ310"/>
    <mergeCell ref="LVK309:LVK310"/>
    <mergeCell ref="LVN309:LVN310"/>
    <mergeCell ref="LVV309:LVV310"/>
    <mergeCell ref="LVZ309:LVZ310"/>
    <mergeCell ref="LST307:LST308"/>
    <mergeCell ref="LSU307:LSU310"/>
    <mergeCell ref="LSV307:LSV310"/>
    <mergeCell ref="LSX307:LSX308"/>
    <mergeCell ref="LSY307:LSY308"/>
    <mergeCell ref="LTB307:LTB308"/>
    <mergeCell ref="LTJ307:LTJ308"/>
    <mergeCell ref="LTK307:LTK310"/>
    <mergeCell ref="LTL307:LTL310"/>
    <mergeCell ref="LTN307:LTN308"/>
    <mergeCell ref="LTO307:LTO308"/>
    <mergeCell ref="LTR307:LTR308"/>
    <mergeCell ref="LTZ307:LTZ308"/>
    <mergeCell ref="LUA307:LUA310"/>
    <mergeCell ref="LUB307:LUB310"/>
    <mergeCell ref="LUD307:LUD308"/>
    <mergeCell ref="LUE307:LUE308"/>
    <mergeCell ref="LST309:LST310"/>
    <mergeCell ref="LSX309:LSX310"/>
    <mergeCell ref="LSY309:LSY310"/>
    <mergeCell ref="LTB309:LTB310"/>
    <mergeCell ref="LTJ309:LTJ310"/>
    <mergeCell ref="LTN309:LTN310"/>
    <mergeCell ref="LTO309:LTO310"/>
    <mergeCell ref="LTR309:LTR310"/>
    <mergeCell ref="LTZ309:LTZ310"/>
    <mergeCell ref="LUD309:LUD310"/>
    <mergeCell ref="LUE309:LUE310"/>
    <mergeCell ref="LQY307:LQY310"/>
    <mergeCell ref="LQZ307:LQZ310"/>
    <mergeCell ref="LRB307:LRB308"/>
    <mergeCell ref="LRC307:LRC308"/>
    <mergeCell ref="LRF307:LRF308"/>
    <mergeCell ref="LRN307:LRN308"/>
    <mergeCell ref="LRO307:LRO310"/>
    <mergeCell ref="LRP307:LRP310"/>
    <mergeCell ref="LRR307:LRR308"/>
    <mergeCell ref="LRS307:LRS308"/>
    <mergeCell ref="LRV307:LRV308"/>
    <mergeCell ref="LSD307:LSD308"/>
    <mergeCell ref="LSE307:LSE310"/>
    <mergeCell ref="LSF307:LSF310"/>
    <mergeCell ref="LSH307:LSH308"/>
    <mergeCell ref="LSI307:LSI308"/>
    <mergeCell ref="LSL307:LSL308"/>
    <mergeCell ref="LRB309:LRB310"/>
    <mergeCell ref="LRC309:LRC310"/>
    <mergeCell ref="LRF309:LRF310"/>
    <mergeCell ref="LRN309:LRN310"/>
    <mergeCell ref="LRR309:LRR310"/>
    <mergeCell ref="LRS309:LRS310"/>
    <mergeCell ref="LRV309:LRV310"/>
    <mergeCell ref="LSD309:LSD310"/>
    <mergeCell ref="LSH309:LSH310"/>
    <mergeCell ref="LSI309:LSI310"/>
    <mergeCell ref="LSL309:LSL310"/>
    <mergeCell ref="LPD307:LPD310"/>
    <mergeCell ref="LPF307:LPF308"/>
    <mergeCell ref="LPG307:LPG308"/>
    <mergeCell ref="LPJ307:LPJ308"/>
    <mergeCell ref="LPR307:LPR308"/>
    <mergeCell ref="LPS307:LPS310"/>
    <mergeCell ref="LPT307:LPT310"/>
    <mergeCell ref="LPV307:LPV308"/>
    <mergeCell ref="LPW307:LPW308"/>
    <mergeCell ref="LPZ307:LPZ308"/>
    <mergeCell ref="LQH307:LQH308"/>
    <mergeCell ref="LQI307:LQI310"/>
    <mergeCell ref="LQJ307:LQJ310"/>
    <mergeCell ref="LQL307:LQL308"/>
    <mergeCell ref="LQM307:LQM308"/>
    <mergeCell ref="LQP307:LQP308"/>
    <mergeCell ref="LQX307:LQX308"/>
    <mergeCell ref="LPF309:LPF310"/>
    <mergeCell ref="LPG309:LPG310"/>
    <mergeCell ref="LPJ309:LPJ310"/>
    <mergeCell ref="LPR309:LPR310"/>
    <mergeCell ref="LPV309:LPV310"/>
    <mergeCell ref="LPW309:LPW310"/>
    <mergeCell ref="LPZ309:LPZ310"/>
    <mergeCell ref="LQH309:LQH310"/>
    <mergeCell ref="LQL309:LQL310"/>
    <mergeCell ref="LQM309:LQM310"/>
    <mergeCell ref="LQP309:LQP310"/>
    <mergeCell ref="LQX309:LQX310"/>
    <mergeCell ref="LNJ307:LNJ308"/>
    <mergeCell ref="LNK307:LNK308"/>
    <mergeCell ref="LNN307:LNN308"/>
    <mergeCell ref="LNV307:LNV308"/>
    <mergeCell ref="LNW307:LNW310"/>
    <mergeCell ref="LNX307:LNX310"/>
    <mergeCell ref="LNZ307:LNZ308"/>
    <mergeCell ref="LOA307:LOA308"/>
    <mergeCell ref="LOD307:LOD308"/>
    <mergeCell ref="LOL307:LOL308"/>
    <mergeCell ref="LOM307:LOM310"/>
    <mergeCell ref="LON307:LON310"/>
    <mergeCell ref="LOP307:LOP308"/>
    <mergeCell ref="LOQ307:LOQ308"/>
    <mergeCell ref="LOT307:LOT308"/>
    <mergeCell ref="LPB307:LPB308"/>
    <mergeCell ref="LPC307:LPC310"/>
    <mergeCell ref="LNJ309:LNJ310"/>
    <mergeCell ref="LNK309:LNK310"/>
    <mergeCell ref="LNN309:LNN310"/>
    <mergeCell ref="LNV309:LNV310"/>
    <mergeCell ref="LNZ309:LNZ310"/>
    <mergeCell ref="LOA309:LOA310"/>
    <mergeCell ref="LOD309:LOD310"/>
    <mergeCell ref="LOL309:LOL310"/>
    <mergeCell ref="LOP309:LOP310"/>
    <mergeCell ref="LOQ309:LOQ310"/>
    <mergeCell ref="LOT309:LOT310"/>
    <mergeCell ref="LPB309:LPB310"/>
    <mergeCell ref="LLO307:LLO308"/>
    <mergeCell ref="LLR307:LLR308"/>
    <mergeCell ref="LLZ307:LLZ308"/>
    <mergeCell ref="LMA307:LMA310"/>
    <mergeCell ref="LMB307:LMB310"/>
    <mergeCell ref="LMD307:LMD308"/>
    <mergeCell ref="LME307:LME308"/>
    <mergeCell ref="LMH307:LMH308"/>
    <mergeCell ref="LMP307:LMP308"/>
    <mergeCell ref="LMQ307:LMQ310"/>
    <mergeCell ref="LMR307:LMR310"/>
    <mergeCell ref="LMT307:LMT308"/>
    <mergeCell ref="LMU307:LMU308"/>
    <mergeCell ref="LMX307:LMX308"/>
    <mergeCell ref="LNF307:LNF308"/>
    <mergeCell ref="LNG307:LNG310"/>
    <mergeCell ref="LNH307:LNH310"/>
    <mergeCell ref="LLO309:LLO310"/>
    <mergeCell ref="LLR309:LLR310"/>
    <mergeCell ref="LLZ309:LLZ310"/>
    <mergeCell ref="LMD309:LMD310"/>
    <mergeCell ref="LME309:LME310"/>
    <mergeCell ref="LMH309:LMH310"/>
    <mergeCell ref="LMP309:LMP310"/>
    <mergeCell ref="LMT309:LMT310"/>
    <mergeCell ref="LMU309:LMU310"/>
    <mergeCell ref="LMX309:LMX310"/>
    <mergeCell ref="LNF309:LNF310"/>
    <mergeCell ref="LJV307:LJV308"/>
    <mergeCell ref="LKD307:LKD308"/>
    <mergeCell ref="LKE307:LKE310"/>
    <mergeCell ref="LKF307:LKF310"/>
    <mergeCell ref="LKH307:LKH308"/>
    <mergeCell ref="LKI307:LKI308"/>
    <mergeCell ref="LKL307:LKL308"/>
    <mergeCell ref="LKT307:LKT308"/>
    <mergeCell ref="LKU307:LKU310"/>
    <mergeCell ref="LKV307:LKV310"/>
    <mergeCell ref="LKX307:LKX308"/>
    <mergeCell ref="LKY307:LKY308"/>
    <mergeCell ref="LLB307:LLB308"/>
    <mergeCell ref="LLJ307:LLJ308"/>
    <mergeCell ref="LLK307:LLK310"/>
    <mergeCell ref="LLL307:LLL310"/>
    <mergeCell ref="LLN307:LLN308"/>
    <mergeCell ref="LJV309:LJV310"/>
    <mergeCell ref="LKD309:LKD310"/>
    <mergeCell ref="LKH309:LKH310"/>
    <mergeCell ref="LKI309:LKI310"/>
    <mergeCell ref="LKL309:LKL310"/>
    <mergeCell ref="LKT309:LKT310"/>
    <mergeCell ref="LKX309:LKX310"/>
    <mergeCell ref="LKY309:LKY310"/>
    <mergeCell ref="LLB309:LLB310"/>
    <mergeCell ref="LLJ309:LLJ310"/>
    <mergeCell ref="LLN309:LLN310"/>
    <mergeCell ref="LIH307:LIH308"/>
    <mergeCell ref="LII307:LII310"/>
    <mergeCell ref="LIJ307:LIJ310"/>
    <mergeCell ref="LIL307:LIL308"/>
    <mergeCell ref="LIM307:LIM308"/>
    <mergeCell ref="LIP307:LIP308"/>
    <mergeCell ref="LIX307:LIX308"/>
    <mergeCell ref="LIY307:LIY310"/>
    <mergeCell ref="LIZ307:LIZ310"/>
    <mergeCell ref="LJB307:LJB308"/>
    <mergeCell ref="LJC307:LJC308"/>
    <mergeCell ref="LJF307:LJF308"/>
    <mergeCell ref="LJN307:LJN308"/>
    <mergeCell ref="LJO307:LJO310"/>
    <mergeCell ref="LJP307:LJP310"/>
    <mergeCell ref="LJR307:LJR308"/>
    <mergeCell ref="LJS307:LJS308"/>
    <mergeCell ref="LIH309:LIH310"/>
    <mergeCell ref="LIL309:LIL310"/>
    <mergeCell ref="LIM309:LIM310"/>
    <mergeCell ref="LIP309:LIP310"/>
    <mergeCell ref="LIX309:LIX310"/>
    <mergeCell ref="LJB309:LJB310"/>
    <mergeCell ref="LJC309:LJC310"/>
    <mergeCell ref="LJF309:LJF310"/>
    <mergeCell ref="LJN309:LJN310"/>
    <mergeCell ref="LJR309:LJR310"/>
    <mergeCell ref="LJS309:LJS310"/>
    <mergeCell ref="LGM307:LGM310"/>
    <mergeCell ref="LGN307:LGN310"/>
    <mergeCell ref="LGP307:LGP308"/>
    <mergeCell ref="LGQ307:LGQ308"/>
    <mergeCell ref="LGT307:LGT308"/>
    <mergeCell ref="LHB307:LHB308"/>
    <mergeCell ref="LHC307:LHC310"/>
    <mergeCell ref="LHD307:LHD310"/>
    <mergeCell ref="LHF307:LHF308"/>
    <mergeCell ref="LHG307:LHG308"/>
    <mergeCell ref="LHJ307:LHJ308"/>
    <mergeCell ref="LHR307:LHR308"/>
    <mergeCell ref="LHS307:LHS310"/>
    <mergeCell ref="LHT307:LHT310"/>
    <mergeCell ref="LHV307:LHV308"/>
    <mergeCell ref="LHW307:LHW308"/>
    <mergeCell ref="LHZ307:LHZ308"/>
    <mergeCell ref="LGP309:LGP310"/>
    <mergeCell ref="LGQ309:LGQ310"/>
    <mergeCell ref="LGT309:LGT310"/>
    <mergeCell ref="LHB309:LHB310"/>
    <mergeCell ref="LHF309:LHF310"/>
    <mergeCell ref="LHG309:LHG310"/>
    <mergeCell ref="LHJ309:LHJ310"/>
    <mergeCell ref="LHR309:LHR310"/>
    <mergeCell ref="LHV309:LHV310"/>
    <mergeCell ref="LHW309:LHW310"/>
    <mergeCell ref="LHZ309:LHZ310"/>
    <mergeCell ref="LER307:LER310"/>
    <mergeCell ref="LET307:LET308"/>
    <mergeCell ref="LEU307:LEU308"/>
    <mergeCell ref="LEX307:LEX308"/>
    <mergeCell ref="LFF307:LFF308"/>
    <mergeCell ref="LFG307:LFG310"/>
    <mergeCell ref="LFH307:LFH310"/>
    <mergeCell ref="LFJ307:LFJ308"/>
    <mergeCell ref="LFK307:LFK308"/>
    <mergeCell ref="LFN307:LFN308"/>
    <mergeCell ref="LFV307:LFV308"/>
    <mergeCell ref="LFW307:LFW310"/>
    <mergeCell ref="LFX307:LFX310"/>
    <mergeCell ref="LFZ307:LFZ308"/>
    <mergeCell ref="LGA307:LGA308"/>
    <mergeCell ref="LGD307:LGD308"/>
    <mergeCell ref="LGL307:LGL308"/>
    <mergeCell ref="LET309:LET310"/>
    <mergeCell ref="LEU309:LEU310"/>
    <mergeCell ref="LEX309:LEX310"/>
    <mergeCell ref="LFF309:LFF310"/>
    <mergeCell ref="LFJ309:LFJ310"/>
    <mergeCell ref="LFK309:LFK310"/>
    <mergeCell ref="LFN309:LFN310"/>
    <mergeCell ref="LFV309:LFV310"/>
    <mergeCell ref="LFZ309:LFZ310"/>
    <mergeCell ref="LGA309:LGA310"/>
    <mergeCell ref="LGD309:LGD310"/>
    <mergeCell ref="LGL309:LGL310"/>
    <mergeCell ref="LCX307:LCX308"/>
    <mergeCell ref="LCY307:LCY308"/>
    <mergeCell ref="LDB307:LDB308"/>
    <mergeCell ref="LDJ307:LDJ308"/>
    <mergeCell ref="LDK307:LDK310"/>
    <mergeCell ref="LDL307:LDL310"/>
    <mergeCell ref="LDN307:LDN308"/>
    <mergeCell ref="LDO307:LDO308"/>
    <mergeCell ref="LDR307:LDR308"/>
    <mergeCell ref="LDZ307:LDZ308"/>
    <mergeCell ref="LEA307:LEA310"/>
    <mergeCell ref="LEB307:LEB310"/>
    <mergeCell ref="LED307:LED308"/>
    <mergeCell ref="LEE307:LEE308"/>
    <mergeCell ref="LEH307:LEH308"/>
    <mergeCell ref="LEP307:LEP308"/>
    <mergeCell ref="LEQ307:LEQ310"/>
    <mergeCell ref="LCX309:LCX310"/>
    <mergeCell ref="LCY309:LCY310"/>
    <mergeCell ref="LDB309:LDB310"/>
    <mergeCell ref="LDJ309:LDJ310"/>
    <mergeCell ref="LDN309:LDN310"/>
    <mergeCell ref="LDO309:LDO310"/>
    <mergeCell ref="LDR309:LDR310"/>
    <mergeCell ref="LDZ309:LDZ310"/>
    <mergeCell ref="LED309:LED310"/>
    <mergeCell ref="LEE309:LEE310"/>
    <mergeCell ref="LEH309:LEH310"/>
    <mergeCell ref="LEP309:LEP310"/>
    <mergeCell ref="LBC307:LBC308"/>
    <mergeCell ref="LBF307:LBF308"/>
    <mergeCell ref="LBN307:LBN308"/>
    <mergeCell ref="LBO307:LBO310"/>
    <mergeCell ref="LBP307:LBP310"/>
    <mergeCell ref="LBR307:LBR308"/>
    <mergeCell ref="LBS307:LBS308"/>
    <mergeCell ref="LBV307:LBV308"/>
    <mergeCell ref="LCD307:LCD308"/>
    <mergeCell ref="LCE307:LCE310"/>
    <mergeCell ref="LCF307:LCF310"/>
    <mergeCell ref="LCH307:LCH308"/>
    <mergeCell ref="LCI307:LCI308"/>
    <mergeCell ref="LCL307:LCL308"/>
    <mergeCell ref="LCT307:LCT308"/>
    <mergeCell ref="LCU307:LCU310"/>
    <mergeCell ref="LCV307:LCV310"/>
    <mergeCell ref="LBC309:LBC310"/>
    <mergeCell ref="LBF309:LBF310"/>
    <mergeCell ref="LBN309:LBN310"/>
    <mergeCell ref="LBR309:LBR310"/>
    <mergeCell ref="LBS309:LBS310"/>
    <mergeCell ref="LBV309:LBV310"/>
    <mergeCell ref="LCD309:LCD310"/>
    <mergeCell ref="LCH309:LCH310"/>
    <mergeCell ref="LCI309:LCI310"/>
    <mergeCell ref="LCL309:LCL310"/>
    <mergeCell ref="LCT309:LCT310"/>
    <mergeCell ref="KZJ307:KZJ308"/>
    <mergeCell ref="KZR307:KZR308"/>
    <mergeCell ref="KZS307:KZS310"/>
    <mergeCell ref="KZT307:KZT310"/>
    <mergeCell ref="KZV307:KZV308"/>
    <mergeCell ref="KZW307:KZW308"/>
    <mergeCell ref="KZZ307:KZZ308"/>
    <mergeCell ref="LAH307:LAH308"/>
    <mergeCell ref="LAI307:LAI310"/>
    <mergeCell ref="LAJ307:LAJ310"/>
    <mergeCell ref="LAL307:LAL308"/>
    <mergeCell ref="LAM307:LAM308"/>
    <mergeCell ref="LAP307:LAP308"/>
    <mergeCell ref="LAX307:LAX308"/>
    <mergeCell ref="LAY307:LAY310"/>
    <mergeCell ref="LAZ307:LAZ310"/>
    <mergeCell ref="LBB307:LBB308"/>
    <mergeCell ref="KZJ309:KZJ310"/>
    <mergeCell ref="KZR309:KZR310"/>
    <mergeCell ref="KZV309:KZV310"/>
    <mergeCell ref="KZW309:KZW310"/>
    <mergeCell ref="KZZ309:KZZ310"/>
    <mergeCell ref="LAH309:LAH310"/>
    <mergeCell ref="LAL309:LAL310"/>
    <mergeCell ref="LAM309:LAM310"/>
    <mergeCell ref="LAP309:LAP310"/>
    <mergeCell ref="LAX309:LAX310"/>
    <mergeCell ref="LBB309:LBB310"/>
    <mergeCell ref="KXV307:KXV308"/>
    <mergeCell ref="KXW307:KXW310"/>
    <mergeCell ref="KXX307:KXX310"/>
    <mergeCell ref="KXZ307:KXZ308"/>
    <mergeCell ref="KYA307:KYA308"/>
    <mergeCell ref="KYD307:KYD308"/>
    <mergeCell ref="KYL307:KYL308"/>
    <mergeCell ref="KYM307:KYM310"/>
    <mergeCell ref="KYN307:KYN310"/>
    <mergeCell ref="KYP307:KYP308"/>
    <mergeCell ref="KYQ307:KYQ308"/>
    <mergeCell ref="KYT307:KYT308"/>
    <mergeCell ref="KZB307:KZB308"/>
    <mergeCell ref="KZC307:KZC310"/>
    <mergeCell ref="KZD307:KZD310"/>
    <mergeCell ref="KZF307:KZF308"/>
    <mergeCell ref="KZG307:KZG308"/>
    <mergeCell ref="KXV309:KXV310"/>
    <mergeCell ref="KXZ309:KXZ310"/>
    <mergeCell ref="KYA309:KYA310"/>
    <mergeCell ref="KYD309:KYD310"/>
    <mergeCell ref="KYL309:KYL310"/>
    <mergeCell ref="KYP309:KYP310"/>
    <mergeCell ref="KYQ309:KYQ310"/>
    <mergeCell ref="KYT309:KYT310"/>
    <mergeCell ref="KZB309:KZB310"/>
    <mergeCell ref="KZF309:KZF310"/>
    <mergeCell ref="KZG309:KZG310"/>
    <mergeCell ref="KWA307:KWA310"/>
    <mergeCell ref="KWB307:KWB310"/>
    <mergeCell ref="KWD307:KWD308"/>
    <mergeCell ref="KWE307:KWE308"/>
    <mergeCell ref="KWH307:KWH308"/>
    <mergeCell ref="KWP307:KWP308"/>
    <mergeCell ref="KWQ307:KWQ310"/>
    <mergeCell ref="KWR307:KWR310"/>
    <mergeCell ref="KWT307:KWT308"/>
    <mergeCell ref="KWU307:KWU308"/>
    <mergeCell ref="KWX307:KWX308"/>
    <mergeCell ref="KXF307:KXF308"/>
    <mergeCell ref="KXG307:KXG310"/>
    <mergeCell ref="KXH307:KXH310"/>
    <mergeCell ref="KXJ307:KXJ308"/>
    <mergeCell ref="KXK307:KXK308"/>
    <mergeCell ref="KXN307:KXN308"/>
    <mergeCell ref="KWD309:KWD310"/>
    <mergeCell ref="KWE309:KWE310"/>
    <mergeCell ref="KWH309:KWH310"/>
    <mergeCell ref="KWP309:KWP310"/>
    <mergeCell ref="KWT309:KWT310"/>
    <mergeCell ref="KWU309:KWU310"/>
    <mergeCell ref="KWX309:KWX310"/>
    <mergeCell ref="KXF309:KXF310"/>
    <mergeCell ref="KXJ309:KXJ310"/>
    <mergeCell ref="KXK309:KXK310"/>
    <mergeCell ref="KXN309:KXN310"/>
    <mergeCell ref="KUF307:KUF310"/>
    <mergeCell ref="KUH307:KUH308"/>
    <mergeCell ref="KUI307:KUI308"/>
    <mergeCell ref="KUL307:KUL308"/>
    <mergeCell ref="KUT307:KUT308"/>
    <mergeCell ref="KUU307:KUU310"/>
    <mergeCell ref="KUV307:KUV310"/>
    <mergeCell ref="KUX307:KUX308"/>
    <mergeCell ref="KUY307:KUY308"/>
    <mergeCell ref="KVB307:KVB308"/>
    <mergeCell ref="KVJ307:KVJ308"/>
    <mergeCell ref="KVK307:KVK310"/>
    <mergeCell ref="KVL307:KVL310"/>
    <mergeCell ref="KVN307:KVN308"/>
    <mergeCell ref="KVO307:KVO308"/>
    <mergeCell ref="KVR307:KVR308"/>
    <mergeCell ref="KVZ307:KVZ308"/>
    <mergeCell ref="KUH309:KUH310"/>
    <mergeCell ref="KUI309:KUI310"/>
    <mergeCell ref="KUL309:KUL310"/>
    <mergeCell ref="KUT309:KUT310"/>
    <mergeCell ref="KUX309:KUX310"/>
    <mergeCell ref="KUY309:KUY310"/>
    <mergeCell ref="KVB309:KVB310"/>
    <mergeCell ref="KVJ309:KVJ310"/>
    <mergeCell ref="KVN309:KVN310"/>
    <mergeCell ref="KVO309:KVO310"/>
    <mergeCell ref="KVR309:KVR310"/>
    <mergeCell ref="KVZ309:KVZ310"/>
    <mergeCell ref="KSL307:KSL308"/>
    <mergeCell ref="KSM307:KSM308"/>
    <mergeCell ref="KSP307:KSP308"/>
    <mergeCell ref="KSX307:KSX308"/>
    <mergeCell ref="KSY307:KSY310"/>
    <mergeCell ref="KSZ307:KSZ310"/>
    <mergeCell ref="KTB307:KTB308"/>
    <mergeCell ref="KTC307:KTC308"/>
    <mergeCell ref="KTF307:KTF308"/>
    <mergeCell ref="KTN307:KTN308"/>
    <mergeCell ref="KTO307:KTO310"/>
    <mergeCell ref="KTP307:KTP310"/>
    <mergeCell ref="KTR307:KTR308"/>
    <mergeCell ref="KTS307:KTS308"/>
    <mergeCell ref="KTV307:KTV308"/>
    <mergeCell ref="KUD307:KUD308"/>
    <mergeCell ref="KUE307:KUE310"/>
    <mergeCell ref="KSL309:KSL310"/>
    <mergeCell ref="KSM309:KSM310"/>
    <mergeCell ref="KSP309:KSP310"/>
    <mergeCell ref="KSX309:KSX310"/>
    <mergeCell ref="KTB309:KTB310"/>
    <mergeCell ref="KTC309:KTC310"/>
    <mergeCell ref="KTF309:KTF310"/>
    <mergeCell ref="KTN309:KTN310"/>
    <mergeCell ref="KTR309:KTR310"/>
    <mergeCell ref="KTS309:KTS310"/>
    <mergeCell ref="KTV309:KTV310"/>
    <mergeCell ref="KUD309:KUD310"/>
    <mergeCell ref="KQQ307:KQQ308"/>
    <mergeCell ref="KQT307:KQT308"/>
    <mergeCell ref="KRB307:KRB308"/>
    <mergeCell ref="KRC307:KRC310"/>
    <mergeCell ref="KRD307:KRD310"/>
    <mergeCell ref="KRF307:KRF308"/>
    <mergeCell ref="KRG307:KRG308"/>
    <mergeCell ref="KRJ307:KRJ308"/>
    <mergeCell ref="KRR307:KRR308"/>
    <mergeCell ref="KRS307:KRS310"/>
    <mergeCell ref="KRT307:KRT310"/>
    <mergeCell ref="KRV307:KRV308"/>
    <mergeCell ref="KRW307:KRW308"/>
    <mergeCell ref="KRZ307:KRZ308"/>
    <mergeCell ref="KSH307:KSH308"/>
    <mergeCell ref="KSI307:KSI310"/>
    <mergeCell ref="KSJ307:KSJ310"/>
    <mergeCell ref="KQQ309:KQQ310"/>
    <mergeCell ref="KQT309:KQT310"/>
    <mergeCell ref="KRB309:KRB310"/>
    <mergeCell ref="KRF309:KRF310"/>
    <mergeCell ref="KRG309:KRG310"/>
    <mergeCell ref="KRJ309:KRJ310"/>
    <mergeCell ref="KRR309:KRR310"/>
    <mergeCell ref="KRV309:KRV310"/>
    <mergeCell ref="KRW309:KRW310"/>
    <mergeCell ref="KRZ309:KRZ310"/>
    <mergeCell ref="KSH309:KSH310"/>
    <mergeCell ref="KOX307:KOX308"/>
    <mergeCell ref="KPF307:KPF308"/>
    <mergeCell ref="KPG307:KPG310"/>
    <mergeCell ref="KPH307:KPH310"/>
    <mergeCell ref="KPJ307:KPJ308"/>
    <mergeCell ref="KPK307:KPK308"/>
    <mergeCell ref="KPN307:KPN308"/>
    <mergeCell ref="KPV307:KPV308"/>
    <mergeCell ref="KPW307:KPW310"/>
    <mergeCell ref="KPX307:KPX310"/>
    <mergeCell ref="KPZ307:KPZ308"/>
    <mergeCell ref="KQA307:KQA308"/>
    <mergeCell ref="KQD307:KQD308"/>
    <mergeCell ref="KQL307:KQL308"/>
    <mergeCell ref="KQM307:KQM310"/>
    <mergeCell ref="KQN307:KQN310"/>
    <mergeCell ref="KQP307:KQP308"/>
    <mergeCell ref="KOX309:KOX310"/>
    <mergeCell ref="KPF309:KPF310"/>
    <mergeCell ref="KPJ309:KPJ310"/>
    <mergeCell ref="KPK309:KPK310"/>
    <mergeCell ref="KPN309:KPN310"/>
    <mergeCell ref="KPV309:KPV310"/>
    <mergeCell ref="KPZ309:KPZ310"/>
    <mergeCell ref="KQA309:KQA310"/>
    <mergeCell ref="KQD309:KQD310"/>
    <mergeCell ref="KQL309:KQL310"/>
    <mergeCell ref="KQP309:KQP310"/>
    <mergeCell ref="KNJ307:KNJ308"/>
    <mergeCell ref="KNK307:KNK310"/>
    <mergeCell ref="KNL307:KNL310"/>
    <mergeCell ref="KNN307:KNN308"/>
    <mergeCell ref="KNO307:KNO308"/>
    <mergeCell ref="KNR307:KNR308"/>
    <mergeCell ref="KNZ307:KNZ308"/>
    <mergeCell ref="KOA307:KOA310"/>
    <mergeCell ref="KOB307:KOB310"/>
    <mergeCell ref="KOD307:KOD308"/>
    <mergeCell ref="KOE307:KOE308"/>
    <mergeCell ref="KOH307:KOH308"/>
    <mergeCell ref="KOP307:KOP308"/>
    <mergeCell ref="KOQ307:KOQ310"/>
    <mergeCell ref="KOR307:KOR310"/>
    <mergeCell ref="KOT307:KOT308"/>
    <mergeCell ref="KOU307:KOU308"/>
    <mergeCell ref="KNJ309:KNJ310"/>
    <mergeCell ref="KNN309:KNN310"/>
    <mergeCell ref="KNO309:KNO310"/>
    <mergeCell ref="KNR309:KNR310"/>
    <mergeCell ref="KNZ309:KNZ310"/>
    <mergeCell ref="KOD309:KOD310"/>
    <mergeCell ref="KOE309:KOE310"/>
    <mergeCell ref="KOH309:KOH310"/>
    <mergeCell ref="KOP309:KOP310"/>
    <mergeCell ref="KOT309:KOT310"/>
    <mergeCell ref="KOU309:KOU310"/>
    <mergeCell ref="KLO307:KLO310"/>
    <mergeCell ref="KLP307:KLP310"/>
    <mergeCell ref="KLR307:KLR308"/>
    <mergeCell ref="KLS307:KLS308"/>
    <mergeCell ref="KLV307:KLV308"/>
    <mergeCell ref="KMD307:KMD308"/>
    <mergeCell ref="KME307:KME310"/>
    <mergeCell ref="KMF307:KMF310"/>
    <mergeCell ref="KMH307:KMH308"/>
    <mergeCell ref="KMI307:KMI308"/>
    <mergeCell ref="KML307:KML308"/>
    <mergeCell ref="KMT307:KMT308"/>
    <mergeCell ref="KMU307:KMU310"/>
    <mergeCell ref="KMV307:KMV310"/>
    <mergeCell ref="KMX307:KMX308"/>
    <mergeCell ref="KMY307:KMY308"/>
    <mergeCell ref="KNB307:KNB308"/>
    <mergeCell ref="KLR309:KLR310"/>
    <mergeCell ref="KLS309:KLS310"/>
    <mergeCell ref="KLV309:KLV310"/>
    <mergeCell ref="KMD309:KMD310"/>
    <mergeCell ref="KMH309:KMH310"/>
    <mergeCell ref="KMI309:KMI310"/>
    <mergeCell ref="KML309:KML310"/>
    <mergeCell ref="KMT309:KMT310"/>
    <mergeCell ref="KMX309:KMX310"/>
    <mergeCell ref="KMY309:KMY310"/>
    <mergeCell ref="KNB309:KNB310"/>
    <mergeCell ref="KJT307:KJT310"/>
    <mergeCell ref="KJV307:KJV308"/>
    <mergeCell ref="KJW307:KJW308"/>
    <mergeCell ref="KJZ307:KJZ308"/>
    <mergeCell ref="KKH307:KKH308"/>
    <mergeCell ref="KKI307:KKI310"/>
    <mergeCell ref="KKJ307:KKJ310"/>
    <mergeCell ref="KKL307:KKL308"/>
    <mergeCell ref="KKM307:KKM308"/>
    <mergeCell ref="KKP307:KKP308"/>
    <mergeCell ref="KKX307:KKX308"/>
    <mergeCell ref="KKY307:KKY310"/>
    <mergeCell ref="KKZ307:KKZ310"/>
    <mergeCell ref="KLB307:KLB308"/>
    <mergeCell ref="KLC307:KLC308"/>
    <mergeCell ref="KLF307:KLF308"/>
    <mergeCell ref="KLN307:KLN308"/>
    <mergeCell ref="KJV309:KJV310"/>
    <mergeCell ref="KJW309:KJW310"/>
    <mergeCell ref="KJZ309:KJZ310"/>
    <mergeCell ref="KKH309:KKH310"/>
    <mergeCell ref="KKL309:KKL310"/>
    <mergeCell ref="KKM309:KKM310"/>
    <mergeCell ref="KKP309:KKP310"/>
    <mergeCell ref="KKX309:KKX310"/>
    <mergeCell ref="KLB309:KLB310"/>
    <mergeCell ref="KLC309:KLC310"/>
    <mergeCell ref="KLF309:KLF310"/>
    <mergeCell ref="KLN309:KLN310"/>
    <mergeCell ref="KHZ307:KHZ308"/>
    <mergeCell ref="KIA307:KIA308"/>
    <mergeCell ref="KID307:KID308"/>
    <mergeCell ref="KIL307:KIL308"/>
    <mergeCell ref="KIM307:KIM310"/>
    <mergeCell ref="KIN307:KIN310"/>
    <mergeCell ref="KIP307:KIP308"/>
    <mergeCell ref="KIQ307:KIQ308"/>
    <mergeCell ref="KIT307:KIT308"/>
    <mergeCell ref="KJB307:KJB308"/>
    <mergeCell ref="KJC307:KJC310"/>
    <mergeCell ref="KJD307:KJD310"/>
    <mergeCell ref="KJF307:KJF308"/>
    <mergeCell ref="KJG307:KJG308"/>
    <mergeCell ref="KJJ307:KJJ308"/>
    <mergeCell ref="KJR307:KJR308"/>
    <mergeCell ref="KJS307:KJS310"/>
    <mergeCell ref="KHZ309:KHZ310"/>
    <mergeCell ref="KIA309:KIA310"/>
    <mergeCell ref="KID309:KID310"/>
    <mergeCell ref="KIL309:KIL310"/>
    <mergeCell ref="KIP309:KIP310"/>
    <mergeCell ref="KIQ309:KIQ310"/>
    <mergeCell ref="KIT309:KIT310"/>
    <mergeCell ref="KJB309:KJB310"/>
    <mergeCell ref="KJF309:KJF310"/>
    <mergeCell ref="KJG309:KJG310"/>
    <mergeCell ref="KJJ309:KJJ310"/>
    <mergeCell ref="KJR309:KJR310"/>
    <mergeCell ref="KGE307:KGE308"/>
    <mergeCell ref="KGH307:KGH308"/>
    <mergeCell ref="KGP307:KGP308"/>
    <mergeCell ref="KGQ307:KGQ310"/>
    <mergeCell ref="KGR307:KGR310"/>
    <mergeCell ref="KGT307:KGT308"/>
    <mergeCell ref="KGU307:KGU308"/>
    <mergeCell ref="KGX307:KGX308"/>
    <mergeCell ref="KHF307:KHF308"/>
    <mergeCell ref="KHG307:KHG310"/>
    <mergeCell ref="KHH307:KHH310"/>
    <mergeCell ref="KHJ307:KHJ308"/>
    <mergeCell ref="KHK307:KHK308"/>
    <mergeCell ref="KHN307:KHN308"/>
    <mergeCell ref="KHV307:KHV308"/>
    <mergeCell ref="KHW307:KHW310"/>
    <mergeCell ref="KHX307:KHX310"/>
    <mergeCell ref="KGE309:KGE310"/>
    <mergeCell ref="KGH309:KGH310"/>
    <mergeCell ref="KGP309:KGP310"/>
    <mergeCell ref="KGT309:KGT310"/>
    <mergeCell ref="KGU309:KGU310"/>
    <mergeCell ref="KGX309:KGX310"/>
    <mergeCell ref="KHF309:KHF310"/>
    <mergeCell ref="KHJ309:KHJ310"/>
    <mergeCell ref="KHK309:KHK310"/>
    <mergeCell ref="KHN309:KHN310"/>
    <mergeCell ref="KHV309:KHV310"/>
    <mergeCell ref="KEL307:KEL308"/>
    <mergeCell ref="KET307:KET308"/>
    <mergeCell ref="KEU307:KEU310"/>
    <mergeCell ref="KEV307:KEV310"/>
    <mergeCell ref="KEX307:KEX308"/>
    <mergeCell ref="KEY307:KEY308"/>
    <mergeCell ref="KFB307:KFB308"/>
    <mergeCell ref="KFJ307:KFJ308"/>
    <mergeCell ref="KFK307:KFK310"/>
    <mergeCell ref="KFL307:KFL310"/>
    <mergeCell ref="KFN307:KFN308"/>
    <mergeCell ref="KFO307:KFO308"/>
    <mergeCell ref="KFR307:KFR308"/>
    <mergeCell ref="KFZ307:KFZ308"/>
    <mergeCell ref="KGA307:KGA310"/>
    <mergeCell ref="KGB307:KGB310"/>
    <mergeCell ref="KGD307:KGD308"/>
    <mergeCell ref="KEL309:KEL310"/>
    <mergeCell ref="KET309:KET310"/>
    <mergeCell ref="KEX309:KEX310"/>
    <mergeCell ref="KEY309:KEY310"/>
    <mergeCell ref="KFB309:KFB310"/>
    <mergeCell ref="KFJ309:KFJ310"/>
    <mergeCell ref="KFN309:KFN310"/>
    <mergeCell ref="KFO309:KFO310"/>
    <mergeCell ref="KFR309:KFR310"/>
    <mergeCell ref="KFZ309:KFZ310"/>
    <mergeCell ref="KGD309:KGD310"/>
    <mergeCell ref="KCX307:KCX308"/>
    <mergeCell ref="KCY307:KCY310"/>
    <mergeCell ref="KCZ307:KCZ310"/>
    <mergeCell ref="KDB307:KDB308"/>
    <mergeCell ref="KDC307:KDC308"/>
    <mergeCell ref="KDF307:KDF308"/>
    <mergeCell ref="KDN307:KDN308"/>
    <mergeCell ref="KDO307:KDO310"/>
    <mergeCell ref="KDP307:KDP310"/>
    <mergeCell ref="KDR307:KDR308"/>
    <mergeCell ref="KDS307:KDS308"/>
    <mergeCell ref="KDV307:KDV308"/>
    <mergeCell ref="KED307:KED308"/>
    <mergeCell ref="KEE307:KEE310"/>
    <mergeCell ref="KEF307:KEF310"/>
    <mergeCell ref="KEH307:KEH308"/>
    <mergeCell ref="KEI307:KEI308"/>
    <mergeCell ref="KCX309:KCX310"/>
    <mergeCell ref="KDB309:KDB310"/>
    <mergeCell ref="KDC309:KDC310"/>
    <mergeCell ref="KDF309:KDF310"/>
    <mergeCell ref="KDN309:KDN310"/>
    <mergeCell ref="KDR309:KDR310"/>
    <mergeCell ref="KDS309:KDS310"/>
    <mergeCell ref="KDV309:KDV310"/>
    <mergeCell ref="KED309:KED310"/>
    <mergeCell ref="KEH309:KEH310"/>
    <mergeCell ref="KEI309:KEI310"/>
    <mergeCell ref="KBC307:KBC310"/>
    <mergeCell ref="KBD307:KBD310"/>
    <mergeCell ref="KBF307:KBF308"/>
    <mergeCell ref="KBG307:KBG308"/>
    <mergeCell ref="KBJ307:KBJ308"/>
    <mergeCell ref="KBR307:KBR308"/>
    <mergeCell ref="KBS307:KBS310"/>
    <mergeCell ref="KBT307:KBT310"/>
    <mergeCell ref="KBV307:KBV308"/>
    <mergeCell ref="KBW307:KBW308"/>
    <mergeCell ref="KBZ307:KBZ308"/>
    <mergeCell ref="KCH307:KCH308"/>
    <mergeCell ref="KCI307:KCI310"/>
    <mergeCell ref="KCJ307:KCJ310"/>
    <mergeCell ref="KCL307:KCL308"/>
    <mergeCell ref="KCM307:KCM308"/>
    <mergeCell ref="KCP307:KCP308"/>
    <mergeCell ref="KBF309:KBF310"/>
    <mergeCell ref="KBG309:KBG310"/>
    <mergeCell ref="KBJ309:KBJ310"/>
    <mergeCell ref="KBR309:KBR310"/>
    <mergeCell ref="KBV309:KBV310"/>
    <mergeCell ref="KBW309:KBW310"/>
    <mergeCell ref="KBZ309:KBZ310"/>
    <mergeCell ref="KCH309:KCH310"/>
    <mergeCell ref="KCL309:KCL310"/>
    <mergeCell ref="KCM309:KCM310"/>
    <mergeCell ref="KCP309:KCP310"/>
    <mergeCell ref="JZH307:JZH310"/>
    <mergeCell ref="JZJ307:JZJ308"/>
    <mergeCell ref="JZK307:JZK308"/>
    <mergeCell ref="JZN307:JZN308"/>
    <mergeCell ref="JZV307:JZV308"/>
    <mergeCell ref="JZW307:JZW310"/>
    <mergeCell ref="JZX307:JZX310"/>
    <mergeCell ref="JZZ307:JZZ308"/>
    <mergeCell ref="KAA307:KAA308"/>
    <mergeCell ref="KAD307:KAD308"/>
    <mergeCell ref="KAL307:KAL308"/>
    <mergeCell ref="KAM307:KAM310"/>
    <mergeCell ref="KAN307:KAN310"/>
    <mergeCell ref="KAP307:KAP308"/>
    <mergeCell ref="KAQ307:KAQ308"/>
    <mergeCell ref="KAT307:KAT308"/>
    <mergeCell ref="KBB307:KBB308"/>
    <mergeCell ref="JZJ309:JZJ310"/>
    <mergeCell ref="JZK309:JZK310"/>
    <mergeCell ref="JZN309:JZN310"/>
    <mergeCell ref="JZV309:JZV310"/>
    <mergeCell ref="JZZ309:JZZ310"/>
    <mergeCell ref="KAA309:KAA310"/>
    <mergeCell ref="KAD309:KAD310"/>
    <mergeCell ref="KAL309:KAL310"/>
    <mergeCell ref="KAP309:KAP310"/>
    <mergeCell ref="KAQ309:KAQ310"/>
    <mergeCell ref="KAT309:KAT310"/>
    <mergeCell ref="KBB309:KBB310"/>
    <mergeCell ref="JXN307:JXN308"/>
    <mergeCell ref="JXO307:JXO308"/>
    <mergeCell ref="JXR307:JXR308"/>
    <mergeCell ref="JXZ307:JXZ308"/>
    <mergeCell ref="JYA307:JYA310"/>
    <mergeCell ref="JYB307:JYB310"/>
    <mergeCell ref="JYD307:JYD308"/>
    <mergeCell ref="JYE307:JYE308"/>
    <mergeCell ref="JYH307:JYH308"/>
    <mergeCell ref="JYP307:JYP308"/>
    <mergeCell ref="JYQ307:JYQ310"/>
    <mergeCell ref="JYR307:JYR310"/>
    <mergeCell ref="JYT307:JYT308"/>
    <mergeCell ref="JYU307:JYU308"/>
    <mergeCell ref="JYX307:JYX308"/>
    <mergeCell ref="JZF307:JZF308"/>
    <mergeCell ref="JZG307:JZG310"/>
    <mergeCell ref="JXN309:JXN310"/>
    <mergeCell ref="JXO309:JXO310"/>
    <mergeCell ref="JXR309:JXR310"/>
    <mergeCell ref="JXZ309:JXZ310"/>
    <mergeCell ref="JYD309:JYD310"/>
    <mergeCell ref="JYE309:JYE310"/>
    <mergeCell ref="JYH309:JYH310"/>
    <mergeCell ref="JYP309:JYP310"/>
    <mergeCell ref="JYT309:JYT310"/>
    <mergeCell ref="JYU309:JYU310"/>
    <mergeCell ref="JYX309:JYX310"/>
    <mergeCell ref="JZF309:JZF310"/>
    <mergeCell ref="JVS307:JVS308"/>
    <mergeCell ref="JVV307:JVV308"/>
    <mergeCell ref="JWD307:JWD308"/>
    <mergeCell ref="JWE307:JWE310"/>
    <mergeCell ref="JWF307:JWF310"/>
    <mergeCell ref="JWH307:JWH308"/>
    <mergeCell ref="JWI307:JWI308"/>
    <mergeCell ref="JWL307:JWL308"/>
    <mergeCell ref="JWT307:JWT308"/>
    <mergeCell ref="JWU307:JWU310"/>
    <mergeCell ref="JWV307:JWV310"/>
    <mergeCell ref="JWX307:JWX308"/>
    <mergeCell ref="JWY307:JWY308"/>
    <mergeCell ref="JXB307:JXB308"/>
    <mergeCell ref="JXJ307:JXJ308"/>
    <mergeCell ref="JXK307:JXK310"/>
    <mergeCell ref="JXL307:JXL310"/>
    <mergeCell ref="JVS309:JVS310"/>
    <mergeCell ref="JVV309:JVV310"/>
    <mergeCell ref="JWD309:JWD310"/>
    <mergeCell ref="JWH309:JWH310"/>
    <mergeCell ref="JWI309:JWI310"/>
    <mergeCell ref="JWL309:JWL310"/>
    <mergeCell ref="JWT309:JWT310"/>
    <mergeCell ref="JWX309:JWX310"/>
    <mergeCell ref="JWY309:JWY310"/>
    <mergeCell ref="JXB309:JXB310"/>
    <mergeCell ref="JXJ309:JXJ310"/>
    <mergeCell ref="JTZ307:JTZ308"/>
    <mergeCell ref="JUH307:JUH308"/>
    <mergeCell ref="JUI307:JUI310"/>
    <mergeCell ref="JUJ307:JUJ310"/>
    <mergeCell ref="JUL307:JUL308"/>
    <mergeCell ref="JUM307:JUM308"/>
    <mergeCell ref="JUP307:JUP308"/>
    <mergeCell ref="JUX307:JUX308"/>
    <mergeCell ref="JUY307:JUY310"/>
    <mergeCell ref="JUZ307:JUZ310"/>
    <mergeCell ref="JVB307:JVB308"/>
    <mergeCell ref="JVC307:JVC308"/>
    <mergeCell ref="JVF307:JVF308"/>
    <mergeCell ref="JVN307:JVN308"/>
    <mergeCell ref="JVO307:JVO310"/>
    <mergeCell ref="JVP307:JVP310"/>
    <mergeCell ref="JVR307:JVR308"/>
    <mergeCell ref="JTZ309:JTZ310"/>
    <mergeCell ref="JUH309:JUH310"/>
    <mergeCell ref="JUL309:JUL310"/>
    <mergeCell ref="JUM309:JUM310"/>
    <mergeCell ref="JUP309:JUP310"/>
    <mergeCell ref="JUX309:JUX310"/>
    <mergeCell ref="JVB309:JVB310"/>
    <mergeCell ref="JVC309:JVC310"/>
    <mergeCell ref="JVF309:JVF310"/>
    <mergeCell ref="JVN309:JVN310"/>
    <mergeCell ref="JVR309:JVR310"/>
    <mergeCell ref="JSL307:JSL308"/>
    <mergeCell ref="JSM307:JSM310"/>
    <mergeCell ref="JSN307:JSN310"/>
    <mergeCell ref="JSP307:JSP308"/>
    <mergeCell ref="JSQ307:JSQ308"/>
    <mergeCell ref="JST307:JST308"/>
    <mergeCell ref="JTB307:JTB308"/>
    <mergeCell ref="JTC307:JTC310"/>
    <mergeCell ref="JTD307:JTD310"/>
    <mergeCell ref="JTF307:JTF308"/>
    <mergeCell ref="JTG307:JTG308"/>
    <mergeCell ref="JTJ307:JTJ308"/>
    <mergeCell ref="JTR307:JTR308"/>
    <mergeCell ref="JTS307:JTS310"/>
    <mergeCell ref="JTT307:JTT310"/>
    <mergeCell ref="JTV307:JTV308"/>
    <mergeCell ref="JTW307:JTW308"/>
    <mergeCell ref="JSL309:JSL310"/>
    <mergeCell ref="JSP309:JSP310"/>
    <mergeCell ref="JSQ309:JSQ310"/>
    <mergeCell ref="JST309:JST310"/>
    <mergeCell ref="JTB309:JTB310"/>
    <mergeCell ref="JTF309:JTF310"/>
    <mergeCell ref="JTG309:JTG310"/>
    <mergeCell ref="JTJ309:JTJ310"/>
    <mergeCell ref="JTR309:JTR310"/>
    <mergeCell ref="JTV309:JTV310"/>
    <mergeCell ref="JTW309:JTW310"/>
    <mergeCell ref="JQQ307:JQQ310"/>
    <mergeCell ref="JQR307:JQR310"/>
    <mergeCell ref="JQT307:JQT308"/>
    <mergeCell ref="JQU307:JQU308"/>
    <mergeCell ref="JQX307:JQX308"/>
    <mergeCell ref="JRF307:JRF308"/>
    <mergeCell ref="JRG307:JRG310"/>
    <mergeCell ref="JRH307:JRH310"/>
    <mergeCell ref="JRJ307:JRJ308"/>
    <mergeCell ref="JRK307:JRK308"/>
    <mergeCell ref="JRN307:JRN308"/>
    <mergeCell ref="JRV307:JRV308"/>
    <mergeCell ref="JRW307:JRW310"/>
    <mergeCell ref="JRX307:JRX310"/>
    <mergeCell ref="JRZ307:JRZ308"/>
    <mergeCell ref="JSA307:JSA308"/>
    <mergeCell ref="JSD307:JSD308"/>
    <mergeCell ref="JQT309:JQT310"/>
    <mergeCell ref="JQU309:JQU310"/>
    <mergeCell ref="JQX309:JQX310"/>
    <mergeCell ref="JRF309:JRF310"/>
    <mergeCell ref="JRJ309:JRJ310"/>
    <mergeCell ref="JRK309:JRK310"/>
    <mergeCell ref="JRN309:JRN310"/>
    <mergeCell ref="JRV309:JRV310"/>
    <mergeCell ref="JRZ309:JRZ310"/>
    <mergeCell ref="JSA309:JSA310"/>
    <mergeCell ref="JSD309:JSD310"/>
    <mergeCell ref="JOV307:JOV310"/>
    <mergeCell ref="JOX307:JOX308"/>
    <mergeCell ref="JOY307:JOY308"/>
    <mergeCell ref="JPB307:JPB308"/>
    <mergeCell ref="JPJ307:JPJ308"/>
    <mergeCell ref="JPK307:JPK310"/>
    <mergeCell ref="JPL307:JPL310"/>
    <mergeCell ref="JPN307:JPN308"/>
    <mergeCell ref="JPO307:JPO308"/>
    <mergeCell ref="JPR307:JPR308"/>
    <mergeCell ref="JPZ307:JPZ308"/>
    <mergeCell ref="JQA307:JQA310"/>
    <mergeCell ref="JQB307:JQB310"/>
    <mergeCell ref="JQD307:JQD308"/>
    <mergeCell ref="JQE307:JQE308"/>
    <mergeCell ref="JQH307:JQH308"/>
    <mergeCell ref="JQP307:JQP308"/>
    <mergeCell ref="JOX309:JOX310"/>
    <mergeCell ref="JOY309:JOY310"/>
    <mergeCell ref="JPB309:JPB310"/>
    <mergeCell ref="JPJ309:JPJ310"/>
    <mergeCell ref="JPN309:JPN310"/>
    <mergeCell ref="JPO309:JPO310"/>
    <mergeCell ref="JPR309:JPR310"/>
    <mergeCell ref="JPZ309:JPZ310"/>
    <mergeCell ref="JQD309:JQD310"/>
    <mergeCell ref="JQE309:JQE310"/>
    <mergeCell ref="JQH309:JQH310"/>
    <mergeCell ref="JQP309:JQP310"/>
    <mergeCell ref="JNB307:JNB308"/>
    <mergeCell ref="JNC307:JNC308"/>
    <mergeCell ref="JNF307:JNF308"/>
    <mergeCell ref="JNN307:JNN308"/>
    <mergeCell ref="JNO307:JNO310"/>
    <mergeCell ref="JNP307:JNP310"/>
    <mergeCell ref="JNR307:JNR308"/>
    <mergeCell ref="JNS307:JNS308"/>
    <mergeCell ref="JNV307:JNV308"/>
    <mergeCell ref="JOD307:JOD308"/>
    <mergeCell ref="JOE307:JOE310"/>
    <mergeCell ref="JOF307:JOF310"/>
    <mergeCell ref="JOH307:JOH308"/>
    <mergeCell ref="JOI307:JOI308"/>
    <mergeCell ref="JOL307:JOL308"/>
    <mergeCell ref="JOT307:JOT308"/>
    <mergeCell ref="JOU307:JOU310"/>
    <mergeCell ref="JNB309:JNB310"/>
    <mergeCell ref="JNC309:JNC310"/>
    <mergeCell ref="JNF309:JNF310"/>
    <mergeCell ref="JNN309:JNN310"/>
    <mergeCell ref="JNR309:JNR310"/>
    <mergeCell ref="JNS309:JNS310"/>
    <mergeCell ref="JNV309:JNV310"/>
    <mergeCell ref="JOD309:JOD310"/>
    <mergeCell ref="JOH309:JOH310"/>
    <mergeCell ref="JOI309:JOI310"/>
    <mergeCell ref="JOL309:JOL310"/>
    <mergeCell ref="JOT309:JOT310"/>
    <mergeCell ref="JLG307:JLG308"/>
    <mergeCell ref="JLJ307:JLJ308"/>
    <mergeCell ref="JLR307:JLR308"/>
    <mergeCell ref="JLS307:JLS310"/>
    <mergeCell ref="JLT307:JLT310"/>
    <mergeCell ref="JLV307:JLV308"/>
    <mergeCell ref="JLW307:JLW308"/>
    <mergeCell ref="JLZ307:JLZ308"/>
    <mergeCell ref="JMH307:JMH308"/>
    <mergeCell ref="JMI307:JMI310"/>
    <mergeCell ref="JMJ307:JMJ310"/>
    <mergeCell ref="JML307:JML308"/>
    <mergeCell ref="JMM307:JMM308"/>
    <mergeCell ref="JMP307:JMP308"/>
    <mergeCell ref="JMX307:JMX308"/>
    <mergeCell ref="JMY307:JMY310"/>
    <mergeCell ref="JMZ307:JMZ310"/>
    <mergeCell ref="JLG309:JLG310"/>
    <mergeCell ref="JLJ309:JLJ310"/>
    <mergeCell ref="JLR309:JLR310"/>
    <mergeCell ref="JLV309:JLV310"/>
    <mergeCell ref="JLW309:JLW310"/>
    <mergeCell ref="JLZ309:JLZ310"/>
    <mergeCell ref="JMH309:JMH310"/>
    <mergeCell ref="JML309:JML310"/>
    <mergeCell ref="JMM309:JMM310"/>
    <mergeCell ref="JMP309:JMP310"/>
    <mergeCell ref="JMX309:JMX310"/>
    <mergeCell ref="JJN307:JJN308"/>
    <mergeCell ref="JJV307:JJV308"/>
    <mergeCell ref="JJW307:JJW310"/>
    <mergeCell ref="JJX307:JJX310"/>
    <mergeCell ref="JJZ307:JJZ308"/>
    <mergeCell ref="JKA307:JKA308"/>
    <mergeCell ref="JKD307:JKD308"/>
    <mergeCell ref="JKL307:JKL308"/>
    <mergeCell ref="JKM307:JKM310"/>
    <mergeCell ref="JKN307:JKN310"/>
    <mergeCell ref="JKP307:JKP308"/>
    <mergeCell ref="JKQ307:JKQ308"/>
    <mergeCell ref="JKT307:JKT308"/>
    <mergeCell ref="JLB307:JLB308"/>
    <mergeCell ref="JLC307:JLC310"/>
    <mergeCell ref="JLD307:JLD310"/>
    <mergeCell ref="JLF307:JLF308"/>
    <mergeCell ref="JJN309:JJN310"/>
    <mergeCell ref="JJV309:JJV310"/>
    <mergeCell ref="JJZ309:JJZ310"/>
    <mergeCell ref="JKA309:JKA310"/>
    <mergeCell ref="JKD309:JKD310"/>
    <mergeCell ref="JKL309:JKL310"/>
    <mergeCell ref="JKP309:JKP310"/>
    <mergeCell ref="JKQ309:JKQ310"/>
    <mergeCell ref="JKT309:JKT310"/>
    <mergeCell ref="JLB309:JLB310"/>
    <mergeCell ref="JLF309:JLF310"/>
    <mergeCell ref="JHZ307:JHZ308"/>
    <mergeCell ref="JIA307:JIA310"/>
    <mergeCell ref="JIB307:JIB310"/>
    <mergeCell ref="JID307:JID308"/>
    <mergeCell ref="JIE307:JIE308"/>
    <mergeCell ref="JIH307:JIH308"/>
    <mergeCell ref="JIP307:JIP308"/>
    <mergeCell ref="JIQ307:JIQ310"/>
    <mergeCell ref="JIR307:JIR310"/>
    <mergeCell ref="JIT307:JIT308"/>
    <mergeCell ref="JIU307:JIU308"/>
    <mergeCell ref="JIX307:JIX308"/>
    <mergeCell ref="JJF307:JJF308"/>
    <mergeCell ref="JJG307:JJG310"/>
    <mergeCell ref="JJH307:JJH310"/>
    <mergeCell ref="JJJ307:JJJ308"/>
    <mergeCell ref="JJK307:JJK308"/>
    <mergeCell ref="JHZ309:JHZ310"/>
    <mergeCell ref="JID309:JID310"/>
    <mergeCell ref="JIE309:JIE310"/>
    <mergeCell ref="JIH309:JIH310"/>
    <mergeCell ref="JIP309:JIP310"/>
    <mergeCell ref="JIT309:JIT310"/>
    <mergeCell ref="JIU309:JIU310"/>
    <mergeCell ref="JIX309:JIX310"/>
    <mergeCell ref="JJF309:JJF310"/>
    <mergeCell ref="JJJ309:JJJ310"/>
    <mergeCell ref="JJK309:JJK310"/>
    <mergeCell ref="JGE307:JGE310"/>
    <mergeCell ref="JGF307:JGF310"/>
    <mergeCell ref="JGH307:JGH308"/>
    <mergeCell ref="JGI307:JGI308"/>
    <mergeCell ref="JGL307:JGL308"/>
    <mergeCell ref="JGT307:JGT308"/>
    <mergeCell ref="JGU307:JGU310"/>
    <mergeCell ref="JGV307:JGV310"/>
    <mergeCell ref="JGX307:JGX308"/>
    <mergeCell ref="JGY307:JGY308"/>
    <mergeCell ref="JHB307:JHB308"/>
    <mergeCell ref="JHJ307:JHJ308"/>
    <mergeCell ref="JHK307:JHK310"/>
    <mergeCell ref="JHL307:JHL310"/>
    <mergeCell ref="JHN307:JHN308"/>
    <mergeCell ref="JHO307:JHO308"/>
    <mergeCell ref="JHR307:JHR308"/>
    <mergeCell ref="JGH309:JGH310"/>
    <mergeCell ref="JGI309:JGI310"/>
    <mergeCell ref="JGL309:JGL310"/>
    <mergeCell ref="JGT309:JGT310"/>
    <mergeCell ref="JGX309:JGX310"/>
    <mergeCell ref="JGY309:JGY310"/>
    <mergeCell ref="JHB309:JHB310"/>
    <mergeCell ref="JHJ309:JHJ310"/>
    <mergeCell ref="JHN309:JHN310"/>
    <mergeCell ref="JHO309:JHO310"/>
    <mergeCell ref="JHR309:JHR310"/>
    <mergeCell ref="JEJ307:JEJ310"/>
    <mergeCell ref="JEL307:JEL308"/>
    <mergeCell ref="JEM307:JEM308"/>
    <mergeCell ref="JEP307:JEP308"/>
    <mergeCell ref="JEX307:JEX308"/>
    <mergeCell ref="JEY307:JEY310"/>
    <mergeCell ref="JEZ307:JEZ310"/>
    <mergeCell ref="JFB307:JFB308"/>
    <mergeCell ref="JFC307:JFC308"/>
    <mergeCell ref="JFF307:JFF308"/>
    <mergeCell ref="JFN307:JFN308"/>
    <mergeCell ref="JFO307:JFO310"/>
    <mergeCell ref="JFP307:JFP310"/>
    <mergeCell ref="JFR307:JFR308"/>
    <mergeCell ref="JFS307:JFS308"/>
    <mergeCell ref="JFV307:JFV308"/>
    <mergeCell ref="JGD307:JGD308"/>
    <mergeCell ref="JEL309:JEL310"/>
    <mergeCell ref="JEM309:JEM310"/>
    <mergeCell ref="JEP309:JEP310"/>
    <mergeCell ref="JEX309:JEX310"/>
    <mergeCell ref="JFB309:JFB310"/>
    <mergeCell ref="JFC309:JFC310"/>
    <mergeCell ref="JFF309:JFF310"/>
    <mergeCell ref="JFN309:JFN310"/>
    <mergeCell ref="JFR309:JFR310"/>
    <mergeCell ref="JFS309:JFS310"/>
    <mergeCell ref="JFV309:JFV310"/>
    <mergeCell ref="JGD309:JGD310"/>
    <mergeCell ref="JCP307:JCP308"/>
    <mergeCell ref="JCQ307:JCQ308"/>
    <mergeCell ref="JCT307:JCT308"/>
    <mergeCell ref="JDB307:JDB308"/>
    <mergeCell ref="JDC307:JDC310"/>
    <mergeCell ref="JDD307:JDD310"/>
    <mergeCell ref="JDF307:JDF308"/>
    <mergeCell ref="JDG307:JDG308"/>
    <mergeCell ref="JDJ307:JDJ308"/>
    <mergeCell ref="JDR307:JDR308"/>
    <mergeCell ref="JDS307:JDS310"/>
    <mergeCell ref="JDT307:JDT310"/>
    <mergeCell ref="JDV307:JDV308"/>
    <mergeCell ref="JDW307:JDW308"/>
    <mergeCell ref="JDZ307:JDZ308"/>
    <mergeCell ref="JEH307:JEH308"/>
    <mergeCell ref="JEI307:JEI310"/>
    <mergeCell ref="JCP309:JCP310"/>
    <mergeCell ref="JCQ309:JCQ310"/>
    <mergeCell ref="JCT309:JCT310"/>
    <mergeCell ref="JDB309:JDB310"/>
    <mergeCell ref="JDF309:JDF310"/>
    <mergeCell ref="JDG309:JDG310"/>
    <mergeCell ref="JDJ309:JDJ310"/>
    <mergeCell ref="JDR309:JDR310"/>
    <mergeCell ref="JDV309:JDV310"/>
    <mergeCell ref="JDW309:JDW310"/>
    <mergeCell ref="JDZ309:JDZ310"/>
    <mergeCell ref="JEH309:JEH310"/>
    <mergeCell ref="JAU307:JAU308"/>
    <mergeCell ref="JAX307:JAX308"/>
    <mergeCell ref="JBF307:JBF308"/>
    <mergeCell ref="JBG307:JBG310"/>
    <mergeCell ref="JBH307:JBH310"/>
    <mergeCell ref="JBJ307:JBJ308"/>
    <mergeCell ref="JBK307:JBK308"/>
    <mergeCell ref="JBN307:JBN308"/>
    <mergeCell ref="JBV307:JBV308"/>
    <mergeCell ref="JBW307:JBW310"/>
    <mergeCell ref="JBX307:JBX310"/>
    <mergeCell ref="JBZ307:JBZ308"/>
    <mergeCell ref="JCA307:JCA308"/>
    <mergeCell ref="JCD307:JCD308"/>
    <mergeCell ref="JCL307:JCL308"/>
    <mergeCell ref="JCM307:JCM310"/>
    <mergeCell ref="JCN307:JCN310"/>
    <mergeCell ref="JAU309:JAU310"/>
    <mergeCell ref="JAX309:JAX310"/>
    <mergeCell ref="JBF309:JBF310"/>
    <mergeCell ref="JBJ309:JBJ310"/>
    <mergeCell ref="JBK309:JBK310"/>
    <mergeCell ref="JBN309:JBN310"/>
    <mergeCell ref="JBV309:JBV310"/>
    <mergeCell ref="JBZ309:JBZ310"/>
    <mergeCell ref="JCA309:JCA310"/>
    <mergeCell ref="JCD309:JCD310"/>
    <mergeCell ref="JCL309:JCL310"/>
    <mergeCell ref="IZB307:IZB308"/>
    <mergeCell ref="IZJ307:IZJ308"/>
    <mergeCell ref="IZK307:IZK310"/>
    <mergeCell ref="IZL307:IZL310"/>
    <mergeCell ref="IZN307:IZN308"/>
    <mergeCell ref="IZO307:IZO308"/>
    <mergeCell ref="IZR307:IZR308"/>
    <mergeCell ref="IZZ307:IZZ308"/>
    <mergeCell ref="JAA307:JAA310"/>
    <mergeCell ref="JAB307:JAB310"/>
    <mergeCell ref="JAD307:JAD308"/>
    <mergeCell ref="JAE307:JAE308"/>
    <mergeCell ref="JAH307:JAH308"/>
    <mergeCell ref="JAP307:JAP308"/>
    <mergeCell ref="JAQ307:JAQ310"/>
    <mergeCell ref="JAR307:JAR310"/>
    <mergeCell ref="JAT307:JAT308"/>
    <mergeCell ref="IZB309:IZB310"/>
    <mergeCell ref="IZJ309:IZJ310"/>
    <mergeCell ref="IZN309:IZN310"/>
    <mergeCell ref="IZO309:IZO310"/>
    <mergeCell ref="IZR309:IZR310"/>
    <mergeCell ref="IZZ309:IZZ310"/>
    <mergeCell ref="JAD309:JAD310"/>
    <mergeCell ref="JAE309:JAE310"/>
    <mergeCell ref="JAH309:JAH310"/>
    <mergeCell ref="JAP309:JAP310"/>
    <mergeCell ref="JAT309:JAT310"/>
    <mergeCell ref="IXN307:IXN308"/>
    <mergeCell ref="IXO307:IXO310"/>
    <mergeCell ref="IXP307:IXP310"/>
    <mergeCell ref="IXR307:IXR308"/>
    <mergeCell ref="IXS307:IXS308"/>
    <mergeCell ref="IXV307:IXV308"/>
    <mergeCell ref="IYD307:IYD308"/>
    <mergeCell ref="IYE307:IYE310"/>
    <mergeCell ref="IYF307:IYF310"/>
    <mergeCell ref="IYH307:IYH308"/>
    <mergeCell ref="IYI307:IYI308"/>
    <mergeCell ref="IYL307:IYL308"/>
    <mergeCell ref="IYT307:IYT308"/>
    <mergeCell ref="IYU307:IYU310"/>
    <mergeCell ref="IYV307:IYV310"/>
    <mergeCell ref="IYX307:IYX308"/>
    <mergeCell ref="IYY307:IYY308"/>
    <mergeCell ref="IXN309:IXN310"/>
    <mergeCell ref="IXR309:IXR310"/>
    <mergeCell ref="IXS309:IXS310"/>
    <mergeCell ref="IXV309:IXV310"/>
    <mergeCell ref="IYD309:IYD310"/>
    <mergeCell ref="IYH309:IYH310"/>
    <mergeCell ref="IYI309:IYI310"/>
    <mergeCell ref="IYL309:IYL310"/>
    <mergeCell ref="IYT309:IYT310"/>
    <mergeCell ref="IYX309:IYX310"/>
    <mergeCell ref="IYY309:IYY310"/>
    <mergeCell ref="IVS307:IVS310"/>
    <mergeCell ref="IVT307:IVT310"/>
    <mergeCell ref="IVV307:IVV308"/>
    <mergeCell ref="IVW307:IVW308"/>
    <mergeCell ref="IVZ307:IVZ308"/>
    <mergeCell ref="IWH307:IWH308"/>
    <mergeCell ref="IWI307:IWI310"/>
    <mergeCell ref="IWJ307:IWJ310"/>
    <mergeCell ref="IWL307:IWL308"/>
    <mergeCell ref="IWM307:IWM308"/>
    <mergeCell ref="IWP307:IWP308"/>
    <mergeCell ref="IWX307:IWX308"/>
    <mergeCell ref="IWY307:IWY310"/>
    <mergeCell ref="IWZ307:IWZ310"/>
    <mergeCell ref="IXB307:IXB308"/>
    <mergeCell ref="IXC307:IXC308"/>
    <mergeCell ref="IXF307:IXF308"/>
    <mergeCell ref="IVV309:IVV310"/>
    <mergeCell ref="IVW309:IVW310"/>
    <mergeCell ref="IVZ309:IVZ310"/>
    <mergeCell ref="IWH309:IWH310"/>
    <mergeCell ref="IWL309:IWL310"/>
    <mergeCell ref="IWM309:IWM310"/>
    <mergeCell ref="IWP309:IWP310"/>
    <mergeCell ref="IWX309:IWX310"/>
    <mergeCell ref="IXB309:IXB310"/>
    <mergeCell ref="IXC309:IXC310"/>
    <mergeCell ref="IXF309:IXF310"/>
    <mergeCell ref="ITX307:ITX310"/>
    <mergeCell ref="ITZ307:ITZ308"/>
    <mergeCell ref="IUA307:IUA308"/>
    <mergeCell ref="IUD307:IUD308"/>
    <mergeCell ref="IUL307:IUL308"/>
    <mergeCell ref="IUM307:IUM310"/>
    <mergeCell ref="IUN307:IUN310"/>
    <mergeCell ref="IUP307:IUP308"/>
    <mergeCell ref="IUQ307:IUQ308"/>
    <mergeCell ref="IUT307:IUT308"/>
    <mergeCell ref="IVB307:IVB308"/>
    <mergeCell ref="IVC307:IVC310"/>
    <mergeCell ref="IVD307:IVD310"/>
    <mergeCell ref="IVF307:IVF308"/>
    <mergeCell ref="IVG307:IVG308"/>
    <mergeCell ref="IVJ307:IVJ308"/>
    <mergeCell ref="IVR307:IVR308"/>
    <mergeCell ref="ITZ309:ITZ310"/>
    <mergeCell ref="IUA309:IUA310"/>
    <mergeCell ref="IUD309:IUD310"/>
    <mergeCell ref="IUL309:IUL310"/>
    <mergeCell ref="IUP309:IUP310"/>
    <mergeCell ref="IUQ309:IUQ310"/>
    <mergeCell ref="IUT309:IUT310"/>
    <mergeCell ref="IVB309:IVB310"/>
    <mergeCell ref="IVF309:IVF310"/>
    <mergeCell ref="IVG309:IVG310"/>
    <mergeCell ref="IVJ309:IVJ310"/>
    <mergeCell ref="IVR309:IVR310"/>
    <mergeCell ref="ISD307:ISD308"/>
    <mergeCell ref="ISE307:ISE308"/>
    <mergeCell ref="ISH307:ISH308"/>
    <mergeCell ref="ISP307:ISP308"/>
    <mergeCell ref="ISQ307:ISQ310"/>
    <mergeCell ref="ISR307:ISR310"/>
    <mergeCell ref="IST307:IST308"/>
    <mergeCell ref="ISU307:ISU308"/>
    <mergeCell ref="ISX307:ISX308"/>
    <mergeCell ref="ITF307:ITF308"/>
    <mergeCell ref="ITG307:ITG310"/>
    <mergeCell ref="ITH307:ITH310"/>
    <mergeCell ref="ITJ307:ITJ308"/>
    <mergeCell ref="ITK307:ITK308"/>
    <mergeCell ref="ITN307:ITN308"/>
    <mergeCell ref="ITV307:ITV308"/>
    <mergeCell ref="ITW307:ITW310"/>
    <mergeCell ref="ISD309:ISD310"/>
    <mergeCell ref="ISE309:ISE310"/>
    <mergeCell ref="ISH309:ISH310"/>
    <mergeCell ref="ISP309:ISP310"/>
    <mergeCell ref="IST309:IST310"/>
    <mergeCell ref="ISU309:ISU310"/>
    <mergeCell ref="ISX309:ISX310"/>
    <mergeCell ref="ITF309:ITF310"/>
    <mergeCell ref="ITJ309:ITJ310"/>
    <mergeCell ref="ITK309:ITK310"/>
    <mergeCell ref="ITN309:ITN310"/>
    <mergeCell ref="ITV309:ITV310"/>
    <mergeCell ref="IQI307:IQI308"/>
    <mergeCell ref="IQL307:IQL308"/>
    <mergeCell ref="IQT307:IQT308"/>
    <mergeCell ref="IQU307:IQU310"/>
    <mergeCell ref="IQV307:IQV310"/>
    <mergeCell ref="IQX307:IQX308"/>
    <mergeCell ref="IQY307:IQY308"/>
    <mergeCell ref="IRB307:IRB308"/>
    <mergeCell ref="IRJ307:IRJ308"/>
    <mergeCell ref="IRK307:IRK310"/>
    <mergeCell ref="IRL307:IRL310"/>
    <mergeCell ref="IRN307:IRN308"/>
    <mergeCell ref="IRO307:IRO308"/>
    <mergeCell ref="IRR307:IRR308"/>
    <mergeCell ref="IRZ307:IRZ308"/>
    <mergeCell ref="ISA307:ISA310"/>
    <mergeCell ref="ISB307:ISB310"/>
    <mergeCell ref="IQI309:IQI310"/>
    <mergeCell ref="IQL309:IQL310"/>
    <mergeCell ref="IQT309:IQT310"/>
    <mergeCell ref="IQX309:IQX310"/>
    <mergeCell ref="IQY309:IQY310"/>
    <mergeCell ref="IRB309:IRB310"/>
    <mergeCell ref="IRJ309:IRJ310"/>
    <mergeCell ref="IRN309:IRN310"/>
    <mergeCell ref="IRO309:IRO310"/>
    <mergeCell ref="IRR309:IRR310"/>
    <mergeCell ref="IRZ309:IRZ310"/>
    <mergeCell ref="IOP307:IOP308"/>
    <mergeCell ref="IOX307:IOX308"/>
    <mergeCell ref="IOY307:IOY310"/>
    <mergeCell ref="IOZ307:IOZ310"/>
    <mergeCell ref="IPB307:IPB308"/>
    <mergeCell ref="IPC307:IPC308"/>
    <mergeCell ref="IPF307:IPF308"/>
    <mergeCell ref="IPN307:IPN308"/>
    <mergeCell ref="IPO307:IPO310"/>
    <mergeCell ref="IPP307:IPP310"/>
    <mergeCell ref="IPR307:IPR308"/>
    <mergeCell ref="IPS307:IPS308"/>
    <mergeCell ref="IPV307:IPV308"/>
    <mergeCell ref="IQD307:IQD308"/>
    <mergeCell ref="IQE307:IQE310"/>
    <mergeCell ref="IQF307:IQF310"/>
    <mergeCell ref="IQH307:IQH308"/>
    <mergeCell ref="IOP309:IOP310"/>
    <mergeCell ref="IOX309:IOX310"/>
    <mergeCell ref="IPB309:IPB310"/>
    <mergeCell ref="IPC309:IPC310"/>
    <mergeCell ref="IPF309:IPF310"/>
    <mergeCell ref="IPN309:IPN310"/>
    <mergeCell ref="IPR309:IPR310"/>
    <mergeCell ref="IPS309:IPS310"/>
    <mergeCell ref="IPV309:IPV310"/>
    <mergeCell ref="IQD309:IQD310"/>
    <mergeCell ref="IQH309:IQH310"/>
    <mergeCell ref="INB307:INB308"/>
    <mergeCell ref="INC307:INC310"/>
    <mergeCell ref="IND307:IND310"/>
    <mergeCell ref="INF307:INF308"/>
    <mergeCell ref="ING307:ING308"/>
    <mergeCell ref="INJ307:INJ308"/>
    <mergeCell ref="INR307:INR308"/>
    <mergeCell ref="INS307:INS310"/>
    <mergeCell ref="INT307:INT310"/>
    <mergeCell ref="INV307:INV308"/>
    <mergeCell ref="INW307:INW308"/>
    <mergeCell ref="INZ307:INZ308"/>
    <mergeCell ref="IOH307:IOH308"/>
    <mergeCell ref="IOI307:IOI310"/>
    <mergeCell ref="IOJ307:IOJ310"/>
    <mergeCell ref="IOL307:IOL308"/>
    <mergeCell ref="IOM307:IOM308"/>
    <mergeCell ref="INB309:INB310"/>
    <mergeCell ref="INF309:INF310"/>
    <mergeCell ref="ING309:ING310"/>
    <mergeCell ref="INJ309:INJ310"/>
    <mergeCell ref="INR309:INR310"/>
    <mergeCell ref="INV309:INV310"/>
    <mergeCell ref="INW309:INW310"/>
    <mergeCell ref="INZ309:INZ310"/>
    <mergeCell ref="IOH309:IOH310"/>
    <mergeCell ref="IOL309:IOL310"/>
    <mergeCell ref="IOM309:IOM310"/>
    <mergeCell ref="ILG307:ILG310"/>
    <mergeCell ref="ILH307:ILH310"/>
    <mergeCell ref="ILJ307:ILJ308"/>
    <mergeCell ref="ILK307:ILK308"/>
    <mergeCell ref="ILN307:ILN308"/>
    <mergeCell ref="ILV307:ILV308"/>
    <mergeCell ref="ILW307:ILW310"/>
    <mergeCell ref="ILX307:ILX310"/>
    <mergeCell ref="ILZ307:ILZ308"/>
    <mergeCell ref="IMA307:IMA308"/>
    <mergeCell ref="IMD307:IMD308"/>
    <mergeCell ref="IML307:IML308"/>
    <mergeCell ref="IMM307:IMM310"/>
    <mergeCell ref="IMN307:IMN310"/>
    <mergeCell ref="IMP307:IMP308"/>
    <mergeCell ref="IMQ307:IMQ308"/>
    <mergeCell ref="IMT307:IMT308"/>
    <mergeCell ref="ILJ309:ILJ310"/>
    <mergeCell ref="ILK309:ILK310"/>
    <mergeCell ref="ILN309:ILN310"/>
    <mergeCell ref="ILV309:ILV310"/>
    <mergeCell ref="ILZ309:ILZ310"/>
    <mergeCell ref="IMA309:IMA310"/>
    <mergeCell ref="IMD309:IMD310"/>
    <mergeCell ref="IML309:IML310"/>
    <mergeCell ref="IMP309:IMP310"/>
    <mergeCell ref="IMQ309:IMQ310"/>
    <mergeCell ref="IMT309:IMT310"/>
    <mergeCell ref="IJL307:IJL310"/>
    <mergeCell ref="IJN307:IJN308"/>
    <mergeCell ref="IJO307:IJO308"/>
    <mergeCell ref="IJR307:IJR308"/>
    <mergeCell ref="IJZ307:IJZ308"/>
    <mergeCell ref="IKA307:IKA310"/>
    <mergeCell ref="IKB307:IKB310"/>
    <mergeCell ref="IKD307:IKD308"/>
    <mergeCell ref="IKE307:IKE308"/>
    <mergeCell ref="IKH307:IKH308"/>
    <mergeCell ref="IKP307:IKP308"/>
    <mergeCell ref="IKQ307:IKQ310"/>
    <mergeCell ref="IKR307:IKR310"/>
    <mergeCell ref="IKT307:IKT308"/>
    <mergeCell ref="IKU307:IKU308"/>
    <mergeCell ref="IKX307:IKX308"/>
    <mergeCell ref="ILF307:ILF308"/>
    <mergeCell ref="IJN309:IJN310"/>
    <mergeCell ref="IJO309:IJO310"/>
    <mergeCell ref="IJR309:IJR310"/>
    <mergeCell ref="IJZ309:IJZ310"/>
    <mergeCell ref="IKD309:IKD310"/>
    <mergeCell ref="IKE309:IKE310"/>
    <mergeCell ref="IKH309:IKH310"/>
    <mergeCell ref="IKP309:IKP310"/>
    <mergeCell ref="IKT309:IKT310"/>
    <mergeCell ref="IKU309:IKU310"/>
    <mergeCell ref="IKX309:IKX310"/>
    <mergeCell ref="ILF309:ILF310"/>
    <mergeCell ref="IHR307:IHR308"/>
    <mergeCell ref="IHS307:IHS308"/>
    <mergeCell ref="IHV307:IHV308"/>
    <mergeCell ref="IID307:IID308"/>
    <mergeCell ref="IIE307:IIE310"/>
    <mergeCell ref="IIF307:IIF310"/>
    <mergeCell ref="IIH307:IIH308"/>
    <mergeCell ref="III307:III308"/>
    <mergeCell ref="IIL307:IIL308"/>
    <mergeCell ref="IIT307:IIT308"/>
    <mergeCell ref="IIU307:IIU310"/>
    <mergeCell ref="IIV307:IIV310"/>
    <mergeCell ref="IIX307:IIX308"/>
    <mergeCell ref="IIY307:IIY308"/>
    <mergeCell ref="IJB307:IJB308"/>
    <mergeCell ref="IJJ307:IJJ308"/>
    <mergeCell ref="IJK307:IJK310"/>
    <mergeCell ref="IHR309:IHR310"/>
    <mergeCell ref="IHS309:IHS310"/>
    <mergeCell ref="IHV309:IHV310"/>
    <mergeCell ref="IID309:IID310"/>
    <mergeCell ref="IIH309:IIH310"/>
    <mergeCell ref="III309:III310"/>
    <mergeCell ref="IIL309:IIL310"/>
    <mergeCell ref="IIT309:IIT310"/>
    <mergeCell ref="IIX309:IIX310"/>
    <mergeCell ref="IIY309:IIY310"/>
    <mergeCell ref="IJB309:IJB310"/>
    <mergeCell ref="IJJ309:IJJ310"/>
    <mergeCell ref="IFW307:IFW308"/>
    <mergeCell ref="IFZ307:IFZ308"/>
    <mergeCell ref="IGH307:IGH308"/>
    <mergeCell ref="IGI307:IGI310"/>
    <mergeCell ref="IGJ307:IGJ310"/>
    <mergeCell ref="IGL307:IGL308"/>
    <mergeCell ref="IGM307:IGM308"/>
    <mergeCell ref="IGP307:IGP308"/>
    <mergeCell ref="IGX307:IGX308"/>
    <mergeCell ref="IGY307:IGY310"/>
    <mergeCell ref="IGZ307:IGZ310"/>
    <mergeCell ref="IHB307:IHB308"/>
    <mergeCell ref="IHC307:IHC308"/>
    <mergeCell ref="IHF307:IHF308"/>
    <mergeCell ref="IHN307:IHN308"/>
    <mergeCell ref="IHO307:IHO310"/>
    <mergeCell ref="IHP307:IHP310"/>
    <mergeCell ref="IFW309:IFW310"/>
    <mergeCell ref="IFZ309:IFZ310"/>
    <mergeCell ref="IGH309:IGH310"/>
    <mergeCell ref="IGL309:IGL310"/>
    <mergeCell ref="IGM309:IGM310"/>
    <mergeCell ref="IGP309:IGP310"/>
    <mergeCell ref="IGX309:IGX310"/>
    <mergeCell ref="IHB309:IHB310"/>
    <mergeCell ref="IHC309:IHC310"/>
    <mergeCell ref="IHF309:IHF310"/>
    <mergeCell ref="IHN309:IHN310"/>
    <mergeCell ref="IED307:IED308"/>
    <mergeCell ref="IEL307:IEL308"/>
    <mergeCell ref="IEM307:IEM310"/>
    <mergeCell ref="IEN307:IEN310"/>
    <mergeCell ref="IEP307:IEP308"/>
    <mergeCell ref="IEQ307:IEQ308"/>
    <mergeCell ref="IET307:IET308"/>
    <mergeCell ref="IFB307:IFB308"/>
    <mergeCell ref="IFC307:IFC310"/>
    <mergeCell ref="IFD307:IFD310"/>
    <mergeCell ref="IFF307:IFF308"/>
    <mergeCell ref="IFG307:IFG308"/>
    <mergeCell ref="IFJ307:IFJ308"/>
    <mergeCell ref="IFR307:IFR308"/>
    <mergeCell ref="IFS307:IFS310"/>
    <mergeCell ref="IFT307:IFT310"/>
    <mergeCell ref="IFV307:IFV308"/>
    <mergeCell ref="IED309:IED310"/>
    <mergeCell ref="IEL309:IEL310"/>
    <mergeCell ref="IEP309:IEP310"/>
    <mergeCell ref="IEQ309:IEQ310"/>
    <mergeCell ref="IET309:IET310"/>
    <mergeCell ref="IFB309:IFB310"/>
    <mergeCell ref="IFF309:IFF310"/>
    <mergeCell ref="IFG309:IFG310"/>
    <mergeCell ref="IFJ309:IFJ310"/>
    <mergeCell ref="IFR309:IFR310"/>
    <mergeCell ref="IFV309:IFV310"/>
    <mergeCell ref="ICP307:ICP308"/>
    <mergeCell ref="ICQ307:ICQ310"/>
    <mergeCell ref="ICR307:ICR310"/>
    <mergeCell ref="ICT307:ICT308"/>
    <mergeCell ref="ICU307:ICU308"/>
    <mergeCell ref="ICX307:ICX308"/>
    <mergeCell ref="IDF307:IDF308"/>
    <mergeCell ref="IDG307:IDG310"/>
    <mergeCell ref="IDH307:IDH310"/>
    <mergeCell ref="IDJ307:IDJ308"/>
    <mergeCell ref="IDK307:IDK308"/>
    <mergeCell ref="IDN307:IDN308"/>
    <mergeCell ref="IDV307:IDV308"/>
    <mergeCell ref="IDW307:IDW310"/>
    <mergeCell ref="IDX307:IDX310"/>
    <mergeCell ref="IDZ307:IDZ308"/>
    <mergeCell ref="IEA307:IEA308"/>
    <mergeCell ref="ICP309:ICP310"/>
    <mergeCell ref="ICT309:ICT310"/>
    <mergeCell ref="ICU309:ICU310"/>
    <mergeCell ref="ICX309:ICX310"/>
    <mergeCell ref="IDF309:IDF310"/>
    <mergeCell ref="IDJ309:IDJ310"/>
    <mergeCell ref="IDK309:IDK310"/>
    <mergeCell ref="IDN309:IDN310"/>
    <mergeCell ref="IDV309:IDV310"/>
    <mergeCell ref="IDZ309:IDZ310"/>
    <mergeCell ref="IEA309:IEA310"/>
    <mergeCell ref="IAU307:IAU310"/>
    <mergeCell ref="IAV307:IAV310"/>
    <mergeCell ref="IAX307:IAX308"/>
    <mergeCell ref="IAY307:IAY308"/>
    <mergeCell ref="IBB307:IBB308"/>
    <mergeCell ref="IBJ307:IBJ308"/>
    <mergeCell ref="IBK307:IBK310"/>
    <mergeCell ref="IBL307:IBL310"/>
    <mergeCell ref="IBN307:IBN308"/>
    <mergeCell ref="IBO307:IBO308"/>
    <mergeCell ref="IBR307:IBR308"/>
    <mergeCell ref="IBZ307:IBZ308"/>
    <mergeCell ref="ICA307:ICA310"/>
    <mergeCell ref="ICB307:ICB310"/>
    <mergeCell ref="ICD307:ICD308"/>
    <mergeCell ref="ICE307:ICE308"/>
    <mergeCell ref="ICH307:ICH308"/>
    <mergeCell ref="IAX309:IAX310"/>
    <mergeCell ref="IAY309:IAY310"/>
    <mergeCell ref="IBB309:IBB310"/>
    <mergeCell ref="IBJ309:IBJ310"/>
    <mergeCell ref="IBN309:IBN310"/>
    <mergeCell ref="IBO309:IBO310"/>
    <mergeCell ref="IBR309:IBR310"/>
    <mergeCell ref="IBZ309:IBZ310"/>
    <mergeCell ref="ICD309:ICD310"/>
    <mergeCell ref="ICE309:ICE310"/>
    <mergeCell ref="ICH309:ICH310"/>
    <mergeCell ref="HYZ307:HYZ310"/>
    <mergeCell ref="HZB307:HZB308"/>
    <mergeCell ref="HZC307:HZC308"/>
    <mergeCell ref="HZF307:HZF308"/>
    <mergeCell ref="HZN307:HZN308"/>
    <mergeCell ref="HZO307:HZO310"/>
    <mergeCell ref="HZP307:HZP310"/>
    <mergeCell ref="HZR307:HZR308"/>
    <mergeCell ref="HZS307:HZS308"/>
    <mergeCell ref="HZV307:HZV308"/>
    <mergeCell ref="IAD307:IAD308"/>
    <mergeCell ref="IAE307:IAE310"/>
    <mergeCell ref="IAF307:IAF310"/>
    <mergeCell ref="IAH307:IAH308"/>
    <mergeCell ref="IAI307:IAI308"/>
    <mergeCell ref="IAL307:IAL308"/>
    <mergeCell ref="IAT307:IAT308"/>
    <mergeCell ref="HZB309:HZB310"/>
    <mergeCell ref="HZC309:HZC310"/>
    <mergeCell ref="HZF309:HZF310"/>
    <mergeCell ref="HZN309:HZN310"/>
    <mergeCell ref="HZR309:HZR310"/>
    <mergeCell ref="HZS309:HZS310"/>
    <mergeCell ref="HZV309:HZV310"/>
    <mergeCell ref="IAD309:IAD310"/>
    <mergeCell ref="IAH309:IAH310"/>
    <mergeCell ref="IAI309:IAI310"/>
    <mergeCell ref="IAL309:IAL310"/>
    <mergeCell ref="IAT309:IAT310"/>
    <mergeCell ref="HXF307:HXF308"/>
    <mergeCell ref="HXG307:HXG308"/>
    <mergeCell ref="HXJ307:HXJ308"/>
    <mergeCell ref="HXR307:HXR308"/>
    <mergeCell ref="HXS307:HXS310"/>
    <mergeCell ref="HXT307:HXT310"/>
    <mergeCell ref="HXV307:HXV308"/>
    <mergeCell ref="HXW307:HXW308"/>
    <mergeCell ref="HXZ307:HXZ308"/>
    <mergeCell ref="HYH307:HYH308"/>
    <mergeCell ref="HYI307:HYI310"/>
    <mergeCell ref="HYJ307:HYJ310"/>
    <mergeCell ref="HYL307:HYL308"/>
    <mergeCell ref="HYM307:HYM308"/>
    <mergeCell ref="HYP307:HYP308"/>
    <mergeCell ref="HYX307:HYX308"/>
    <mergeCell ref="HYY307:HYY310"/>
    <mergeCell ref="HXF309:HXF310"/>
    <mergeCell ref="HXG309:HXG310"/>
    <mergeCell ref="HXJ309:HXJ310"/>
    <mergeCell ref="HXR309:HXR310"/>
    <mergeCell ref="HXV309:HXV310"/>
    <mergeCell ref="HXW309:HXW310"/>
    <mergeCell ref="HXZ309:HXZ310"/>
    <mergeCell ref="HYH309:HYH310"/>
    <mergeCell ref="HYL309:HYL310"/>
    <mergeCell ref="HYM309:HYM310"/>
    <mergeCell ref="HYP309:HYP310"/>
    <mergeCell ref="HYX309:HYX310"/>
    <mergeCell ref="HVK307:HVK308"/>
    <mergeCell ref="HVN307:HVN308"/>
    <mergeCell ref="HVV307:HVV308"/>
    <mergeCell ref="HVW307:HVW310"/>
    <mergeCell ref="HVX307:HVX310"/>
    <mergeCell ref="HVZ307:HVZ308"/>
    <mergeCell ref="HWA307:HWA308"/>
    <mergeCell ref="HWD307:HWD308"/>
    <mergeCell ref="HWL307:HWL308"/>
    <mergeCell ref="HWM307:HWM310"/>
    <mergeCell ref="HWN307:HWN310"/>
    <mergeCell ref="HWP307:HWP308"/>
    <mergeCell ref="HWQ307:HWQ308"/>
    <mergeCell ref="HWT307:HWT308"/>
    <mergeCell ref="HXB307:HXB308"/>
    <mergeCell ref="HXC307:HXC310"/>
    <mergeCell ref="HXD307:HXD310"/>
    <mergeCell ref="HVK309:HVK310"/>
    <mergeCell ref="HVN309:HVN310"/>
    <mergeCell ref="HVV309:HVV310"/>
    <mergeCell ref="HVZ309:HVZ310"/>
    <mergeCell ref="HWA309:HWA310"/>
    <mergeCell ref="HWD309:HWD310"/>
    <mergeCell ref="HWL309:HWL310"/>
    <mergeCell ref="HWP309:HWP310"/>
    <mergeCell ref="HWQ309:HWQ310"/>
    <mergeCell ref="HWT309:HWT310"/>
    <mergeCell ref="HXB309:HXB310"/>
    <mergeCell ref="HTR307:HTR308"/>
    <mergeCell ref="HTZ307:HTZ308"/>
    <mergeCell ref="HUA307:HUA310"/>
    <mergeCell ref="HUB307:HUB310"/>
    <mergeCell ref="HUD307:HUD308"/>
    <mergeCell ref="HUE307:HUE308"/>
    <mergeCell ref="HUH307:HUH308"/>
    <mergeCell ref="HUP307:HUP308"/>
    <mergeCell ref="HUQ307:HUQ310"/>
    <mergeCell ref="HUR307:HUR310"/>
    <mergeCell ref="HUT307:HUT308"/>
    <mergeCell ref="HUU307:HUU308"/>
    <mergeCell ref="HUX307:HUX308"/>
    <mergeCell ref="HVF307:HVF308"/>
    <mergeCell ref="HVG307:HVG310"/>
    <mergeCell ref="HVH307:HVH310"/>
    <mergeCell ref="HVJ307:HVJ308"/>
    <mergeCell ref="HTR309:HTR310"/>
    <mergeCell ref="HTZ309:HTZ310"/>
    <mergeCell ref="HUD309:HUD310"/>
    <mergeCell ref="HUE309:HUE310"/>
    <mergeCell ref="HUH309:HUH310"/>
    <mergeCell ref="HUP309:HUP310"/>
    <mergeCell ref="HUT309:HUT310"/>
    <mergeCell ref="HUU309:HUU310"/>
    <mergeCell ref="HUX309:HUX310"/>
    <mergeCell ref="HVF309:HVF310"/>
    <mergeCell ref="HVJ309:HVJ310"/>
    <mergeCell ref="HSD307:HSD308"/>
    <mergeCell ref="HSE307:HSE310"/>
    <mergeCell ref="HSF307:HSF310"/>
    <mergeCell ref="HSH307:HSH308"/>
    <mergeCell ref="HSI307:HSI308"/>
    <mergeCell ref="HSL307:HSL308"/>
    <mergeCell ref="HST307:HST308"/>
    <mergeCell ref="HSU307:HSU310"/>
    <mergeCell ref="HSV307:HSV310"/>
    <mergeCell ref="HSX307:HSX308"/>
    <mergeCell ref="HSY307:HSY308"/>
    <mergeCell ref="HTB307:HTB308"/>
    <mergeCell ref="HTJ307:HTJ308"/>
    <mergeCell ref="HTK307:HTK310"/>
    <mergeCell ref="HTL307:HTL310"/>
    <mergeCell ref="HTN307:HTN308"/>
    <mergeCell ref="HTO307:HTO308"/>
    <mergeCell ref="HSD309:HSD310"/>
    <mergeCell ref="HSH309:HSH310"/>
    <mergeCell ref="HSI309:HSI310"/>
    <mergeCell ref="HSL309:HSL310"/>
    <mergeCell ref="HST309:HST310"/>
    <mergeCell ref="HSX309:HSX310"/>
    <mergeCell ref="HSY309:HSY310"/>
    <mergeCell ref="HTB309:HTB310"/>
    <mergeCell ref="HTJ309:HTJ310"/>
    <mergeCell ref="HTN309:HTN310"/>
    <mergeCell ref="HTO309:HTO310"/>
    <mergeCell ref="HQI307:HQI310"/>
    <mergeCell ref="HQJ307:HQJ310"/>
    <mergeCell ref="HQL307:HQL308"/>
    <mergeCell ref="HQM307:HQM308"/>
    <mergeCell ref="HQP307:HQP308"/>
    <mergeCell ref="HQX307:HQX308"/>
    <mergeCell ref="HQY307:HQY310"/>
    <mergeCell ref="HQZ307:HQZ310"/>
    <mergeCell ref="HRB307:HRB308"/>
    <mergeCell ref="HRC307:HRC308"/>
    <mergeCell ref="HRF307:HRF308"/>
    <mergeCell ref="HRN307:HRN308"/>
    <mergeCell ref="HRO307:HRO310"/>
    <mergeCell ref="HRP307:HRP310"/>
    <mergeCell ref="HRR307:HRR308"/>
    <mergeCell ref="HRS307:HRS308"/>
    <mergeCell ref="HRV307:HRV308"/>
    <mergeCell ref="HQL309:HQL310"/>
    <mergeCell ref="HQM309:HQM310"/>
    <mergeCell ref="HQP309:HQP310"/>
    <mergeCell ref="HQX309:HQX310"/>
    <mergeCell ref="HRB309:HRB310"/>
    <mergeCell ref="HRC309:HRC310"/>
    <mergeCell ref="HRF309:HRF310"/>
    <mergeCell ref="HRN309:HRN310"/>
    <mergeCell ref="HRR309:HRR310"/>
    <mergeCell ref="HRS309:HRS310"/>
    <mergeCell ref="HRV309:HRV310"/>
    <mergeCell ref="HON307:HON310"/>
    <mergeCell ref="HOP307:HOP308"/>
    <mergeCell ref="HOQ307:HOQ308"/>
    <mergeCell ref="HOT307:HOT308"/>
    <mergeCell ref="HPB307:HPB308"/>
    <mergeCell ref="HPC307:HPC310"/>
    <mergeCell ref="HPD307:HPD310"/>
    <mergeCell ref="HPF307:HPF308"/>
    <mergeCell ref="HPG307:HPG308"/>
    <mergeCell ref="HPJ307:HPJ308"/>
    <mergeCell ref="HPR307:HPR308"/>
    <mergeCell ref="HPS307:HPS310"/>
    <mergeCell ref="HPT307:HPT310"/>
    <mergeCell ref="HPV307:HPV308"/>
    <mergeCell ref="HPW307:HPW308"/>
    <mergeCell ref="HPZ307:HPZ308"/>
    <mergeCell ref="HQH307:HQH308"/>
    <mergeCell ref="HOP309:HOP310"/>
    <mergeCell ref="HOQ309:HOQ310"/>
    <mergeCell ref="HOT309:HOT310"/>
    <mergeCell ref="HPB309:HPB310"/>
    <mergeCell ref="HPF309:HPF310"/>
    <mergeCell ref="HPG309:HPG310"/>
    <mergeCell ref="HPJ309:HPJ310"/>
    <mergeCell ref="HPR309:HPR310"/>
    <mergeCell ref="HPV309:HPV310"/>
    <mergeCell ref="HPW309:HPW310"/>
    <mergeCell ref="HPZ309:HPZ310"/>
    <mergeCell ref="HQH309:HQH310"/>
    <mergeCell ref="HMT307:HMT308"/>
    <mergeCell ref="HMU307:HMU308"/>
    <mergeCell ref="HMX307:HMX308"/>
    <mergeCell ref="HNF307:HNF308"/>
    <mergeCell ref="HNG307:HNG310"/>
    <mergeCell ref="HNH307:HNH310"/>
    <mergeCell ref="HNJ307:HNJ308"/>
    <mergeCell ref="HNK307:HNK308"/>
    <mergeCell ref="HNN307:HNN308"/>
    <mergeCell ref="HNV307:HNV308"/>
    <mergeCell ref="HNW307:HNW310"/>
    <mergeCell ref="HNX307:HNX310"/>
    <mergeCell ref="HNZ307:HNZ308"/>
    <mergeCell ref="HOA307:HOA308"/>
    <mergeCell ref="HOD307:HOD308"/>
    <mergeCell ref="HOL307:HOL308"/>
    <mergeCell ref="HOM307:HOM310"/>
    <mergeCell ref="HMT309:HMT310"/>
    <mergeCell ref="HMU309:HMU310"/>
    <mergeCell ref="HMX309:HMX310"/>
    <mergeCell ref="HNF309:HNF310"/>
    <mergeCell ref="HNJ309:HNJ310"/>
    <mergeCell ref="HNK309:HNK310"/>
    <mergeCell ref="HNN309:HNN310"/>
    <mergeCell ref="HNV309:HNV310"/>
    <mergeCell ref="HNZ309:HNZ310"/>
    <mergeCell ref="HOA309:HOA310"/>
    <mergeCell ref="HOD309:HOD310"/>
    <mergeCell ref="HOL309:HOL310"/>
    <mergeCell ref="HKY307:HKY308"/>
    <mergeCell ref="HLB307:HLB308"/>
    <mergeCell ref="HLJ307:HLJ308"/>
    <mergeCell ref="HLK307:HLK310"/>
    <mergeCell ref="HLL307:HLL310"/>
    <mergeCell ref="HLN307:HLN308"/>
    <mergeCell ref="HLO307:HLO308"/>
    <mergeCell ref="HLR307:HLR308"/>
    <mergeCell ref="HLZ307:HLZ308"/>
    <mergeCell ref="HMA307:HMA310"/>
    <mergeCell ref="HMB307:HMB310"/>
    <mergeCell ref="HMD307:HMD308"/>
    <mergeCell ref="HME307:HME308"/>
    <mergeCell ref="HMH307:HMH308"/>
    <mergeCell ref="HMP307:HMP308"/>
    <mergeCell ref="HMQ307:HMQ310"/>
    <mergeCell ref="HMR307:HMR310"/>
    <mergeCell ref="HKY309:HKY310"/>
    <mergeCell ref="HLB309:HLB310"/>
    <mergeCell ref="HLJ309:HLJ310"/>
    <mergeCell ref="HLN309:HLN310"/>
    <mergeCell ref="HLO309:HLO310"/>
    <mergeCell ref="HLR309:HLR310"/>
    <mergeCell ref="HLZ309:HLZ310"/>
    <mergeCell ref="HMD309:HMD310"/>
    <mergeCell ref="HME309:HME310"/>
    <mergeCell ref="HMH309:HMH310"/>
    <mergeCell ref="HMP309:HMP310"/>
    <mergeCell ref="HJF307:HJF308"/>
    <mergeCell ref="HJN307:HJN308"/>
    <mergeCell ref="HJO307:HJO310"/>
    <mergeCell ref="HJP307:HJP310"/>
    <mergeCell ref="HJR307:HJR308"/>
    <mergeCell ref="HJS307:HJS308"/>
    <mergeCell ref="HJV307:HJV308"/>
    <mergeCell ref="HKD307:HKD308"/>
    <mergeCell ref="HKE307:HKE310"/>
    <mergeCell ref="HKF307:HKF310"/>
    <mergeCell ref="HKH307:HKH308"/>
    <mergeCell ref="HKI307:HKI308"/>
    <mergeCell ref="HKL307:HKL308"/>
    <mergeCell ref="HKT307:HKT308"/>
    <mergeCell ref="HKU307:HKU310"/>
    <mergeCell ref="HKV307:HKV310"/>
    <mergeCell ref="HKX307:HKX308"/>
    <mergeCell ref="HJF309:HJF310"/>
    <mergeCell ref="HJN309:HJN310"/>
    <mergeCell ref="HJR309:HJR310"/>
    <mergeCell ref="HJS309:HJS310"/>
    <mergeCell ref="HJV309:HJV310"/>
    <mergeCell ref="HKD309:HKD310"/>
    <mergeCell ref="HKH309:HKH310"/>
    <mergeCell ref="HKI309:HKI310"/>
    <mergeCell ref="HKL309:HKL310"/>
    <mergeCell ref="HKT309:HKT310"/>
    <mergeCell ref="HKX309:HKX310"/>
    <mergeCell ref="HHR307:HHR308"/>
    <mergeCell ref="HHS307:HHS310"/>
    <mergeCell ref="HHT307:HHT310"/>
    <mergeCell ref="HHV307:HHV308"/>
    <mergeCell ref="HHW307:HHW308"/>
    <mergeCell ref="HHZ307:HHZ308"/>
    <mergeCell ref="HIH307:HIH308"/>
    <mergeCell ref="HII307:HII310"/>
    <mergeCell ref="HIJ307:HIJ310"/>
    <mergeCell ref="HIL307:HIL308"/>
    <mergeCell ref="HIM307:HIM308"/>
    <mergeCell ref="HIP307:HIP308"/>
    <mergeCell ref="HIX307:HIX308"/>
    <mergeCell ref="HIY307:HIY310"/>
    <mergeCell ref="HIZ307:HIZ310"/>
    <mergeCell ref="HJB307:HJB308"/>
    <mergeCell ref="HJC307:HJC308"/>
    <mergeCell ref="HHR309:HHR310"/>
    <mergeCell ref="HHV309:HHV310"/>
    <mergeCell ref="HHW309:HHW310"/>
    <mergeCell ref="HHZ309:HHZ310"/>
    <mergeCell ref="HIH309:HIH310"/>
    <mergeCell ref="HIL309:HIL310"/>
    <mergeCell ref="HIM309:HIM310"/>
    <mergeCell ref="HIP309:HIP310"/>
    <mergeCell ref="HIX309:HIX310"/>
    <mergeCell ref="HJB309:HJB310"/>
    <mergeCell ref="HJC309:HJC310"/>
    <mergeCell ref="HFW307:HFW310"/>
    <mergeCell ref="HFX307:HFX310"/>
    <mergeCell ref="HFZ307:HFZ308"/>
    <mergeCell ref="HGA307:HGA308"/>
    <mergeCell ref="HGD307:HGD308"/>
    <mergeCell ref="HGL307:HGL308"/>
    <mergeCell ref="HGM307:HGM310"/>
    <mergeCell ref="HGN307:HGN310"/>
    <mergeCell ref="HGP307:HGP308"/>
    <mergeCell ref="HGQ307:HGQ308"/>
    <mergeCell ref="HGT307:HGT308"/>
    <mergeCell ref="HHB307:HHB308"/>
    <mergeCell ref="HHC307:HHC310"/>
    <mergeCell ref="HHD307:HHD310"/>
    <mergeCell ref="HHF307:HHF308"/>
    <mergeCell ref="HHG307:HHG308"/>
    <mergeCell ref="HHJ307:HHJ308"/>
    <mergeCell ref="HFZ309:HFZ310"/>
    <mergeCell ref="HGA309:HGA310"/>
    <mergeCell ref="HGD309:HGD310"/>
    <mergeCell ref="HGL309:HGL310"/>
    <mergeCell ref="HGP309:HGP310"/>
    <mergeCell ref="HGQ309:HGQ310"/>
    <mergeCell ref="HGT309:HGT310"/>
    <mergeCell ref="HHB309:HHB310"/>
    <mergeCell ref="HHF309:HHF310"/>
    <mergeCell ref="HHG309:HHG310"/>
    <mergeCell ref="HHJ309:HHJ310"/>
    <mergeCell ref="HEB307:HEB310"/>
    <mergeCell ref="HED307:HED308"/>
    <mergeCell ref="HEE307:HEE308"/>
    <mergeCell ref="HEH307:HEH308"/>
    <mergeCell ref="HEP307:HEP308"/>
    <mergeCell ref="HEQ307:HEQ310"/>
    <mergeCell ref="HER307:HER310"/>
    <mergeCell ref="HET307:HET308"/>
    <mergeCell ref="HEU307:HEU308"/>
    <mergeCell ref="HEX307:HEX308"/>
    <mergeCell ref="HFF307:HFF308"/>
    <mergeCell ref="HFG307:HFG310"/>
    <mergeCell ref="HFH307:HFH310"/>
    <mergeCell ref="HFJ307:HFJ308"/>
    <mergeCell ref="HFK307:HFK308"/>
    <mergeCell ref="HFN307:HFN308"/>
    <mergeCell ref="HFV307:HFV308"/>
    <mergeCell ref="HED309:HED310"/>
    <mergeCell ref="HEE309:HEE310"/>
    <mergeCell ref="HEH309:HEH310"/>
    <mergeCell ref="HEP309:HEP310"/>
    <mergeCell ref="HET309:HET310"/>
    <mergeCell ref="HEU309:HEU310"/>
    <mergeCell ref="HEX309:HEX310"/>
    <mergeCell ref="HFF309:HFF310"/>
    <mergeCell ref="HFJ309:HFJ310"/>
    <mergeCell ref="HFK309:HFK310"/>
    <mergeCell ref="HFN309:HFN310"/>
    <mergeCell ref="HFV309:HFV310"/>
    <mergeCell ref="HCH307:HCH308"/>
    <mergeCell ref="HCI307:HCI308"/>
    <mergeCell ref="HCL307:HCL308"/>
    <mergeCell ref="HCT307:HCT308"/>
    <mergeCell ref="HCU307:HCU310"/>
    <mergeCell ref="HCV307:HCV310"/>
    <mergeCell ref="HCX307:HCX308"/>
    <mergeCell ref="HCY307:HCY308"/>
    <mergeCell ref="HDB307:HDB308"/>
    <mergeCell ref="HDJ307:HDJ308"/>
    <mergeCell ref="HDK307:HDK310"/>
    <mergeCell ref="HDL307:HDL310"/>
    <mergeCell ref="HDN307:HDN308"/>
    <mergeCell ref="HDO307:HDO308"/>
    <mergeCell ref="HDR307:HDR308"/>
    <mergeCell ref="HDZ307:HDZ308"/>
    <mergeCell ref="HEA307:HEA310"/>
    <mergeCell ref="HCH309:HCH310"/>
    <mergeCell ref="HCI309:HCI310"/>
    <mergeCell ref="HCL309:HCL310"/>
    <mergeCell ref="HCT309:HCT310"/>
    <mergeCell ref="HCX309:HCX310"/>
    <mergeCell ref="HCY309:HCY310"/>
    <mergeCell ref="HDB309:HDB310"/>
    <mergeCell ref="HDJ309:HDJ310"/>
    <mergeCell ref="HDN309:HDN310"/>
    <mergeCell ref="HDO309:HDO310"/>
    <mergeCell ref="HDR309:HDR310"/>
    <mergeCell ref="HDZ309:HDZ310"/>
    <mergeCell ref="HAM307:HAM308"/>
    <mergeCell ref="HAP307:HAP308"/>
    <mergeCell ref="HAX307:HAX308"/>
    <mergeCell ref="HAY307:HAY310"/>
    <mergeCell ref="HAZ307:HAZ310"/>
    <mergeCell ref="HBB307:HBB308"/>
    <mergeCell ref="HBC307:HBC308"/>
    <mergeCell ref="HBF307:HBF308"/>
    <mergeCell ref="HBN307:HBN308"/>
    <mergeCell ref="HBO307:HBO310"/>
    <mergeCell ref="HBP307:HBP310"/>
    <mergeCell ref="HBR307:HBR308"/>
    <mergeCell ref="HBS307:HBS308"/>
    <mergeCell ref="HBV307:HBV308"/>
    <mergeCell ref="HCD307:HCD308"/>
    <mergeCell ref="HCE307:HCE310"/>
    <mergeCell ref="HCF307:HCF310"/>
    <mergeCell ref="HAM309:HAM310"/>
    <mergeCell ref="HAP309:HAP310"/>
    <mergeCell ref="HAX309:HAX310"/>
    <mergeCell ref="HBB309:HBB310"/>
    <mergeCell ref="HBC309:HBC310"/>
    <mergeCell ref="HBF309:HBF310"/>
    <mergeCell ref="HBN309:HBN310"/>
    <mergeCell ref="HBR309:HBR310"/>
    <mergeCell ref="HBS309:HBS310"/>
    <mergeCell ref="HBV309:HBV310"/>
    <mergeCell ref="HCD309:HCD310"/>
    <mergeCell ref="GYT307:GYT308"/>
    <mergeCell ref="GZB307:GZB308"/>
    <mergeCell ref="GZC307:GZC310"/>
    <mergeCell ref="GZD307:GZD310"/>
    <mergeCell ref="GZF307:GZF308"/>
    <mergeCell ref="GZG307:GZG308"/>
    <mergeCell ref="GZJ307:GZJ308"/>
    <mergeCell ref="GZR307:GZR308"/>
    <mergeCell ref="GZS307:GZS310"/>
    <mergeCell ref="GZT307:GZT310"/>
    <mergeCell ref="GZV307:GZV308"/>
    <mergeCell ref="GZW307:GZW308"/>
    <mergeCell ref="GZZ307:GZZ308"/>
    <mergeCell ref="HAH307:HAH308"/>
    <mergeCell ref="HAI307:HAI310"/>
    <mergeCell ref="HAJ307:HAJ310"/>
    <mergeCell ref="HAL307:HAL308"/>
    <mergeCell ref="GYT309:GYT310"/>
    <mergeCell ref="GZB309:GZB310"/>
    <mergeCell ref="GZF309:GZF310"/>
    <mergeCell ref="GZG309:GZG310"/>
    <mergeCell ref="GZJ309:GZJ310"/>
    <mergeCell ref="GZR309:GZR310"/>
    <mergeCell ref="GZV309:GZV310"/>
    <mergeCell ref="GZW309:GZW310"/>
    <mergeCell ref="GZZ309:GZZ310"/>
    <mergeCell ref="HAH309:HAH310"/>
    <mergeCell ref="HAL309:HAL310"/>
    <mergeCell ref="GXF307:GXF308"/>
    <mergeCell ref="GXG307:GXG310"/>
    <mergeCell ref="GXH307:GXH310"/>
    <mergeCell ref="GXJ307:GXJ308"/>
    <mergeCell ref="GXK307:GXK308"/>
    <mergeCell ref="GXN307:GXN308"/>
    <mergeCell ref="GXV307:GXV308"/>
    <mergeCell ref="GXW307:GXW310"/>
    <mergeCell ref="GXX307:GXX310"/>
    <mergeCell ref="GXZ307:GXZ308"/>
    <mergeCell ref="GYA307:GYA308"/>
    <mergeCell ref="GYD307:GYD308"/>
    <mergeCell ref="GYL307:GYL308"/>
    <mergeCell ref="GYM307:GYM310"/>
    <mergeCell ref="GYN307:GYN310"/>
    <mergeCell ref="GYP307:GYP308"/>
    <mergeCell ref="GYQ307:GYQ308"/>
    <mergeCell ref="GXF309:GXF310"/>
    <mergeCell ref="GXJ309:GXJ310"/>
    <mergeCell ref="GXK309:GXK310"/>
    <mergeCell ref="GXN309:GXN310"/>
    <mergeCell ref="GXV309:GXV310"/>
    <mergeCell ref="GXZ309:GXZ310"/>
    <mergeCell ref="GYA309:GYA310"/>
    <mergeCell ref="GYD309:GYD310"/>
    <mergeCell ref="GYL309:GYL310"/>
    <mergeCell ref="GYP309:GYP310"/>
    <mergeCell ref="GYQ309:GYQ310"/>
    <mergeCell ref="GVK307:GVK310"/>
    <mergeCell ref="GVL307:GVL310"/>
    <mergeCell ref="GVN307:GVN308"/>
    <mergeCell ref="GVO307:GVO308"/>
    <mergeCell ref="GVR307:GVR308"/>
    <mergeCell ref="GVZ307:GVZ308"/>
    <mergeCell ref="GWA307:GWA310"/>
    <mergeCell ref="GWB307:GWB310"/>
    <mergeCell ref="GWD307:GWD308"/>
    <mergeCell ref="GWE307:GWE308"/>
    <mergeCell ref="GWH307:GWH308"/>
    <mergeCell ref="GWP307:GWP308"/>
    <mergeCell ref="GWQ307:GWQ310"/>
    <mergeCell ref="GWR307:GWR310"/>
    <mergeCell ref="GWT307:GWT308"/>
    <mergeCell ref="GWU307:GWU308"/>
    <mergeCell ref="GWX307:GWX308"/>
    <mergeCell ref="GVN309:GVN310"/>
    <mergeCell ref="GVO309:GVO310"/>
    <mergeCell ref="GVR309:GVR310"/>
    <mergeCell ref="GVZ309:GVZ310"/>
    <mergeCell ref="GWD309:GWD310"/>
    <mergeCell ref="GWE309:GWE310"/>
    <mergeCell ref="GWH309:GWH310"/>
    <mergeCell ref="GWP309:GWP310"/>
    <mergeCell ref="GWT309:GWT310"/>
    <mergeCell ref="GWU309:GWU310"/>
    <mergeCell ref="GWX309:GWX310"/>
    <mergeCell ref="GTP307:GTP310"/>
    <mergeCell ref="GTR307:GTR308"/>
    <mergeCell ref="GTS307:GTS308"/>
    <mergeCell ref="GTV307:GTV308"/>
    <mergeCell ref="GUD307:GUD308"/>
    <mergeCell ref="GUE307:GUE310"/>
    <mergeCell ref="GUF307:GUF310"/>
    <mergeCell ref="GUH307:GUH308"/>
    <mergeCell ref="GUI307:GUI308"/>
    <mergeCell ref="GUL307:GUL308"/>
    <mergeCell ref="GUT307:GUT308"/>
    <mergeCell ref="GUU307:GUU310"/>
    <mergeCell ref="GUV307:GUV310"/>
    <mergeCell ref="GUX307:GUX308"/>
    <mergeCell ref="GUY307:GUY308"/>
    <mergeCell ref="GVB307:GVB308"/>
    <mergeCell ref="GVJ307:GVJ308"/>
    <mergeCell ref="GTR309:GTR310"/>
    <mergeCell ref="GTS309:GTS310"/>
    <mergeCell ref="GTV309:GTV310"/>
    <mergeCell ref="GUD309:GUD310"/>
    <mergeCell ref="GUH309:GUH310"/>
    <mergeCell ref="GUI309:GUI310"/>
    <mergeCell ref="GUL309:GUL310"/>
    <mergeCell ref="GUT309:GUT310"/>
    <mergeCell ref="GUX309:GUX310"/>
    <mergeCell ref="GUY309:GUY310"/>
    <mergeCell ref="GVB309:GVB310"/>
    <mergeCell ref="GVJ309:GVJ310"/>
    <mergeCell ref="GRV307:GRV308"/>
    <mergeCell ref="GRW307:GRW308"/>
    <mergeCell ref="GRZ307:GRZ308"/>
    <mergeCell ref="GSH307:GSH308"/>
    <mergeCell ref="GSI307:GSI310"/>
    <mergeCell ref="GSJ307:GSJ310"/>
    <mergeCell ref="GSL307:GSL308"/>
    <mergeCell ref="GSM307:GSM308"/>
    <mergeCell ref="GSP307:GSP308"/>
    <mergeCell ref="GSX307:GSX308"/>
    <mergeCell ref="GSY307:GSY310"/>
    <mergeCell ref="GSZ307:GSZ310"/>
    <mergeCell ref="GTB307:GTB308"/>
    <mergeCell ref="GTC307:GTC308"/>
    <mergeCell ref="GTF307:GTF308"/>
    <mergeCell ref="GTN307:GTN308"/>
    <mergeCell ref="GTO307:GTO310"/>
    <mergeCell ref="GRV309:GRV310"/>
    <mergeCell ref="GRW309:GRW310"/>
    <mergeCell ref="GRZ309:GRZ310"/>
    <mergeCell ref="GSH309:GSH310"/>
    <mergeCell ref="GSL309:GSL310"/>
    <mergeCell ref="GSM309:GSM310"/>
    <mergeCell ref="GSP309:GSP310"/>
    <mergeCell ref="GSX309:GSX310"/>
    <mergeCell ref="GTB309:GTB310"/>
    <mergeCell ref="GTC309:GTC310"/>
    <mergeCell ref="GTF309:GTF310"/>
    <mergeCell ref="GTN309:GTN310"/>
    <mergeCell ref="GQA307:GQA308"/>
    <mergeCell ref="GQD307:GQD308"/>
    <mergeCell ref="GQL307:GQL308"/>
    <mergeCell ref="GQM307:GQM310"/>
    <mergeCell ref="GQN307:GQN310"/>
    <mergeCell ref="GQP307:GQP308"/>
    <mergeCell ref="GQQ307:GQQ308"/>
    <mergeCell ref="GQT307:GQT308"/>
    <mergeCell ref="GRB307:GRB308"/>
    <mergeCell ref="GRC307:GRC310"/>
    <mergeCell ref="GRD307:GRD310"/>
    <mergeCell ref="GRF307:GRF308"/>
    <mergeCell ref="GRG307:GRG308"/>
    <mergeCell ref="GRJ307:GRJ308"/>
    <mergeCell ref="GRR307:GRR308"/>
    <mergeCell ref="GRS307:GRS310"/>
    <mergeCell ref="GRT307:GRT310"/>
    <mergeCell ref="GQA309:GQA310"/>
    <mergeCell ref="GQD309:GQD310"/>
    <mergeCell ref="GQL309:GQL310"/>
    <mergeCell ref="GQP309:GQP310"/>
    <mergeCell ref="GQQ309:GQQ310"/>
    <mergeCell ref="GQT309:GQT310"/>
    <mergeCell ref="GRB309:GRB310"/>
    <mergeCell ref="GRF309:GRF310"/>
    <mergeCell ref="GRG309:GRG310"/>
    <mergeCell ref="GRJ309:GRJ310"/>
    <mergeCell ref="GRR309:GRR310"/>
    <mergeCell ref="GOH307:GOH308"/>
    <mergeCell ref="GOP307:GOP308"/>
    <mergeCell ref="GOQ307:GOQ310"/>
    <mergeCell ref="GOR307:GOR310"/>
    <mergeCell ref="GOT307:GOT308"/>
    <mergeCell ref="GOU307:GOU308"/>
    <mergeCell ref="GOX307:GOX308"/>
    <mergeCell ref="GPF307:GPF308"/>
    <mergeCell ref="GPG307:GPG310"/>
    <mergeCell ref="GPH307:GPH310"/>
    <mergeCell ref="GPJ307:GPJ308"/>
    <mergeCell ref="GPK307:GPK308"/>
    <mergeCell ref="GPN307:GPN308"/>
    <mergeCell ref="GPV307:GPV308"/>
    <mergeCell ref="GPW307:GPW310"/>
    <mergeCell ref="GPX307:GPX310"/>
    <mergeCell ref="GPZ307:GPZ308"/>
    <mergeCell ref="GOH309:GOH310"/>
    <mergeCell ref="GOP309:GOP310"/>
    <mergeCell ref="GOT309:GOT310"/>
    <mergeCell ref="GOU309:GOU310"/>
    <mergeCell ref="GOX309:GOX310"/>
    <mergeCell ref="GPF309:GPF310"/>
    <mergeCell ref="GPJ309:GPJ310"/>
    <mergeCell ref="GPK309:GPK310"/>
    <mergeCell ref="GPN309:GPN310"/>
    <mergeCell ref="GPV309:GPV310"/>
    <mergeCell ref="GPZ309:GPZ310"/>
    <mergeCell ref="GMT307:GMT308"/>
    <mergeCell ref="GMU307:GMU310"/>
    <mergeCell ref="GMV307:GMV310"/>
    <mergeCell ref="GMX307:GMX308"/>
    <mergeCell ref="GMY307:GMY308"/>
    <mergeCell ref="GNB307:GNB308"/>
    <mergeCell ref="GNJ307:GNJ308"/>
    <mergeCell ref="GNK307:GNK310"/>
    <mergeCell ref="GNL307:GNL310"/>
    <mergeCell ref="GNN307:GNN308"/>
    <mergeCell ref="GNO307:GNO308"/>
    <mergeCell ref="GNR307:GNR308"/>
    <mergeCell ref="GNZ307:GNZ308"/>
    <mergeCell ref="GOA307:GOA310"/>
    <mergeCell ref="GOB307:GOB310"/>
    <mergeCell ref="GOD307:GOD308"/>
    <mergeCell ref="GOE307:GOE308"/>
    <mergeCell ref="GMT309:GMT310"/>
    <mergeCell ref="GMX309:GMX310"/>
    <mergeCell ref="GMY309:GMY310"/>
    <mergeCell ref="GNB309:GNB310"/>
    <mergeCell ref="GNJ309:GNJ310"/>
    <mergeCell ref="GNN309:GNN310"/>
    <mergeCell ref="GNO309:GNO310"/>
    <mergeCell ref="GNR309:GNR310"/>
    <mergeCell ref="GNZ309:GNZ310"/>
    <mergeCell ref="GOD309:GOD310"/>
    <mergeCell ref="GOE309:GOE310"/>
    <mergeCell ref="GKY307:GKY310"/>
    <mergeCell ref="GKZ307:GKZ310"/>
    <mergeCell ref="GLB307:GLB308"/>
    <mergeCell ref="GLC307:GLC308"/>
    <mergeCell ref="GLF307:GLF308"/>
    <mergeCell ref="GLN307:GLN308"/>
    <mergeCell ref="GLO307:GLO310"/>
    <mergeCell ref="GLP307:GLP310"/>
    <mergeCell ref="GLR307:GLR308"/>
    <mergeCell ref="GLS307:GLS308"/>
    <mergeCell ref="GLV307:GLV308"/>
    <mergeCell ref="GMD307:GMD308"/>
    <mergeCell ref="GME307:GME310"/>
    <mergeCell ref="GMF307:GMF310"/>
    <mergeCell ref="GMH307:GMH308"/>
    <mergeCell ref="GMI307:GMI308"/>
    <mergeCell ref="GML307:GML308"/>
    <mergeCell ref="GLB309:GLB310"/>
    <mergeCell ref="GLC309:GLC310"/>
    <mergeCell ref="GLF309:GLF310"/>
    <mergeCell ref="GLN309:GLN310"/>
    <mergeCell ref="GLR309:GLR310"/>
    <mergeCell ref="GLS309:GLS310"/>
    <mergeCell ref="GLV309:GLV310"/>
    <mergeCell ref="GMD309:GMD310"/>
    <mergeCell ref="GMH309:GMH310"/>
    <mergeCell ref="GMI309:GMI310"/>
    <mergeCell ref="GML309:GML310"/>
    <mergeCell ref="GJD307:GJD310"/>
    <mergeCell ref="GJF307:GJF308"/>
    <mergeCell ref="GJG307:GJG308"/>
    <mergeCell ref="GJJ307:GJJ308"/>
    <mergeCell ref="GJR307:GJR308"/>
    <mergeCell ref="GJS307:GJS310"/>
    <mergeCell ref="GJT307:GJT310"/>
    <mergeCell ref="GJV307:GJV308"/>
    <mergeCell ref="GJW307:GJW308"/>
    <mergeCell ref="GJZ307:GJZ308"/>
    <mergeCell ref="GKH307:GKH308"/>
    <mergeCell ref="GKI307:GKI310"/>
    <mergeCell ref="GKJ307:GKJ310"/>
    <mergeCell ref="GKL307:GKL308"/>
    <mergeCell ref="GKM307:GKM308"/>
    <mergeCell ref="GKP307:GKP308"/>
    <mergeCell ref="GKX307:GKX308"/>
    <mergeCell ref="GJF309:GJF310"/>
    <mergeCell ref="GJG309:GJG310"/>
    <mergeCell ref="GJJ309:GJJ310"/>
    <mergeCell ref="GJR309:GJR310"/>
    <mergeCell ref="GJV309:GJV310"/>
    <mergeCell ref="GJW309:GJW310"/>
    <mergeCell ref="GJZ309:GJZ310"/>
    <mergeCell ref="GKH309:GKH310"/>
    <mergeCell ref="GKL309:GKL310"/>
    <mergeCell ref="GKM309:GKM310"/>
    <mergeCell ref="GKP309:GKP310"/>
    <mergeCell ref="GKX309:GKX310"/>
    <mergeCell ref="GHJ307:GHJ308"/>
    <mergeCell ref="GHK307:GHK308"/>
    <mergeCell ref="GHN307:GHN308"/>
    <mergeCell ref="GHV307:GHV308"/>
    <mergeCell ref="GHW307:GHW310"/>
    <mergeCell ref="GHX307:GHX310"/>
    <mergeCell ref="GHZ307:GHZ308"/>
    <mergeCell ref="GIA307:GIA308"/>
    <mergeCell ref="GID307:GID308"/>
    <mergeCell ref="GIL307:GIL308"/>
    <mergeCell ref="GIM307:GIM310"/>
    <mergeCell ref="GIN307:GIN310"/>
    <mergeCell ref="GIP307:GIP308"/>
    <mergeCell ref="GIQ307:GIQ308"/>
    <mergeCell ref="GIT307:GIT308"/>
    <mergeCell ref="GJB307:GJB308"/>
    <mergeCell ref="GJC307:GJC310"/>
    <mergeCell ref="GHJ309:GHJ310"/>
    <mergeCell ref="GHK309:GHK310"/>
    <mergeCell ref="GHN309:GHN310"/>
    <mergeCell ref="GHV309:GHV310"/>
    <mergeCell ref="GHZ309:GHZ310"/>
    <mergeCell ref="GIA309:GIA310"/>
    <mergeCell ref="GID309:GID310"/>
    <mergeCell ref="GIL309:GIL310"/>
    <mergeCell ref="GIP309:GIP310"/>
    <mergeCell ref="GIQ309:GIQ310"/>
    <mergeCell ref="GIT309:GIT310"/>
    <mergeCell ref="GJB309:GJB310"/>
    <mergeCell ref="GFO307:GFO308"/>
    <mergeCell ref="GFR307:GFR308"/>
    <mergeCell ref="GFZ307:GFZ308"/>
    <mergeCell ref="GGA307:GGA310"/>
    <mergeCell ref="GGB307:GGB310"/>
    <mergeCell ref="GGD307:GGD308"/>
    <mergeCell ref="GGE307:GGE308"/>
    <mergeCell ref="GGH307:GGH308"/>
    <mergeCell ref="GGP307:GGP308"/>
    <mergeCell ref="GGQ307:GGQ310"/>
    <mergeCell ref="GGR307:GGR310"/>
    <mergeCell ref="GGT307:GGT308"/>
    <mergeCell ref="GGU307:GGU308"/>
    <mergeCell ref="GGX307:GGX308"/>
    <mergeCell ref="GHF307:GHF308"/>
    <mergeCell ref="GHG307:GHG310"/>
    <mergeCell ref="GHH307:GHH310"/>
    <mergeCell ref="GFO309:GFO310"/>
    <mergeCell ref="GFR309:GFR310"/>
    <mergeCell ref="GFZ309:GFZ310"/>
    <mergeCell ref="GGD309:GGD310"/>
    <mergeCell ref="GGE309:GGE310"/>
    <mergeCell ref="GGH309:GGH310"/>
    <mergeCell ref="GGP309:GGP310"/>
    <mergeCell ref="GGT309:GGT310"/>
    <mergeCell ref="GGU309:GGU310"/>
    <mergeCell ref="GGX309:GGX310"/>
    <mergeCell ref="GHF309:GHF310"/>
    <mergeCell ref="GDV307:GDV308"/>
    <mergeCell ref="GED307:GED308"/>
    <mergeCell ref="GEE307:GEE310"/>
    <mergeCell ref="GEF307:GEF310"/>
    <mergeCell ref="GEH307:GEH308"/>
    <mergeCell ref="GEI307:GEI308"/>
    <mergeCell ref="GEL307:GEL308"/>
    <mergeCell ref="GET307:GET308"/>
    <mergeCell ref="GEU307:GEU310"/>
    <mergeCell ref="GEV307:GEV310"/>
    <mergeCell ref="GEX307:GEX308"/>
    <mergeCell ref="GEY307:GEY308"/>
    <mergeCell ref="GFB307:GFB308"/>
    <mergeCell ref="GFJ307:GFJ308"/>
    <mergeCell ref="GFK307:GFK310"/>
    <mergeCell ref="GFL307:GFL310"/>
    <mergeCell ref="GFN307:GFN308"/>
    <mergeCell ref="GDV309:GDV310"/>
    <mergeCell ref="GED309:GED310"/>
    <mergeCell ref="GEH309:GEH310"/>
    <mergeCell ref="GEI309:GEI310"/>
    <mergeCell ref="GEL309:GEL310"/>
    <mergeCell ref="GET309:GET310"/>
    <mergeCell ref="GEX309:GEX310"/>
    <mergeCell ref="GEY309:GEY310"/>
    <mergeCell ref="GFB309:GFB310"/>
    <mergeCell ref="GFJ309:GFJ310"/>
    <mergeCell ref="GFN309:GFN310"/>
    <mergeCell ref="GCH307:GCH308"/>
    <mergeCell ref="GCI307:GCI310"/>
    <mergeCell ref="GCJ307:GCJ310"/>
    <mergeCell ref="GCL307:GCL308"/>
    <mergeCell ref="GCM307:GCM308"/>
    <mergeCell ref="GCP307:GCP308"/>
    <mergeCell ref="GCX307:GCX308"/>
    <mergeCell ref="GCY307:GCY310"/>
    <mergeCell ref="GCZ307:GCZ310"/>
    <mergeCell ref="GDB307:GDB308"/>
    <mergeCell ref="GDC307:GDC308"/>
    <mergeCell ref="GDF307:GDF308"/>
    <mergeCell ref="GDN307:GDN308"/>
    <mergeCell ref="GDO307:GDO310"/>
    <mergeCell ref="GDP307:GDP310"/>
    <mergeCell ref="GDR307:GDR308"/>
    <mergeCell ref="GDS307:GDS308"/>
    <mergeCell ref="GCH309:GCH310"/>
    <mergeCell ref="GCL309:GCL310"/>
    <mergeCell ref="GCM309:GCM310"/>
    <mergeCell ref="GCP309:GCP310"/>
    <mergeCell ref="GCX309:GCX310"/>
    <mergeCell ref="GDB309:GDB310"/>
    <mergeCell ref="GDC309:GDC310"/>
    <mergeCell ref="GDF309:GDF310"/>
    <mergeCell ref="GDN309:GDN310"/>
    <mergeCell ref="GDR309:GDR310"/>
    <mergeCell ref="GDS309:GDS310"/>
    <mergeCell ref="GAM307:GAM310"/>
    <mergeCell ref="GAN307:GAN310"/>
    <mergeCell ref="GAP307:GAP308"/>
    <mergeCell ref="GAQ307:GAQ308"/>
    <mergeCell ref="GAT307:GAT308"/>
    <mergeCell ref="GBB307:GBB308"/>
    <mergeCell ref="GBC307:GBC310"/>
    <mergeCell ref="GBD307:GBD310"/>
    <mergeCell ref="GBF307:GBF308"/>
    <mergeCell ref="GBG307:GBG308"/>
    <mergeCell ref="GBJ307:GBJ308"/>
    <mergeCell ref="GBR307:GBR308"/>
    <mergeCell ref="GBS307:GBS310"/>
    <mergeCell ref="GBT307:GBT310"/>
    <mergeCell ref="GBV307:GBV308"/>
    <mergeCell ref="GBW307:GBW308"/>
    <mergeCell ref="GBZ307:GBZ308"/>
    <mergeCell ref="GAP309:GAP310"/>
    <mergeCell ref="GAQ309:GAQ310"/>
    <mergeCell ref="GAT309:GAT310"/>
    <mergeCell ref="GBB309:GBB310"/>
    <mergeCell ref="GBF309:GBF310"/>
    <mergeCell ref="GBG309:GBG310"/>
    <mergeCell ref="GBJ309:GBJ310"/>
    <mergeCell ref="GBR309:GBR310"/>
    <mergeCell ref="GBV309:GBV310"/>
    <mergeCell ref="GBW309:GBW310"/>
    <mergeCell ref="GBZ309:GBZ310"/>
    <mergeCell ref="FYR307:FYR310"/>
    <mergeCell ref="FYT307:FYT308"/>
    <mergeCell ref="FYU307:FYU308"/>
    <mergeCell ref="FYX307:FYX308"/>
    <mergeCell ref="FZF307:FZF308"/>
    <mergeCell ref="FZG307:FZG310"/>
    <mergeCell ref="FZH307:FZH310"/>
    <mergeCell ref="FZJ307:FZJ308"/>
    <mergeCell ref="FZK307:FZK308"/>
    <mergeCell ref="FZN307:FZN308"/>
    <mergeCell ref="FZV307:FZV308"/>
    <mergeCell ref="FZW307:FZW310"/>
    <mergeCell ref="FZX307:FZX310"/>
    <mergeCell ref="FZZ307:FZZ308"/>
    <mergeCell ref="GAA307:GAA308"/>
    <mergeCell ref="GAD307:GAD308"/>
    <mergeCell ref="GAL307:GAL308"/>
    <mergeCell ref="FYT309:FYT310"/>
    <mergeCell ref="FYU309:FYU310"/>
    <mergeCell ref="FYX309:FYX310"/>
    <mergeCell ref="FZF309:FZF310"/>
    <mergeCell ref="FZJ309:FZJ310"/>
    <mergeCell ref="FZK309:FZK310"/>
    <mergeCell ref="FZN309:FZN310"/>
    <mergeCell ref="FZV309:FZV310"/>
    <mergeCell ref="FZZ309:FZZ310"/>
    <mergeCell ref="GAA309:GAA310"/>
    <mergeCell ref="GAD309:GAD310"/>
    <mergeCell ref="GAL309:GAL310"/>
    <mergeCell ref="FWX307:FWX308"/>
    <mergeCell ref="FWY307:FWY308"/>
    <mergeCell ref="FXB307:FXB308"/>
    <mergeCell ref="FXJ307:FXJ308"/>
    <mergeCell ref="FXK307:FXK310"/>
    <mergeCell ref="FXL307:FXL310"/>
    <mergeCell ref="FXN307:FXN308"/>
    <mergeCell ref="FXO307:FXO308"/>
    <mergeCell ref="FXR307:FXR308"/>
    <mergeCell ref="FXZ307:FXZ308"/>
    <mergeCell ref="FYA307:FYA310"/>
    <mergeCell ref="FYB307:FYB310"/>
    <mergeCell ref="FYD307:FYD308"/>
    <mergeCell ref="FYE307:FYE308"/>
    <mergeCell ref="FYH307:FYH308"/>
    <mergeCell ref="FYP307:FYP308"/>
    <mergeCell ref="FYQ307:FYQ310"/>
    <mergeCell ref="FWX309:FWX310"/>
    <mergeCell ref="FWY309:FWY310"/>
    <mergeCell ref="FXB309:FXB310"/>
    <mergeCell ref="FXJ309:FXJ310"/>
    <mergeCell ref="FXN309:FXN310"/>
    <mergeCell ref="FXO309:FXO310"/>
    <mergeCell ref="FXR309:FXR310"/>
    <mergeCell ref="FXZ309:FXZ310"/>
    <mergeCell ref="FYD309:FYD310"/>
    <mergeCell ref="FYE309:FYE310"/>
    <mergeCell ref="FYH309:FYH310"/>
    <mergeCell ref="FYP309:FYP310"/>
    <mergeCell ref="FVC307:FVC308"/>
    <mergeCell ref="FVF307:FVF308"/>
    <mergeCell ref="FVN307:FVN308"/>
    <mergeCell ref="FVO307:FVO310"/>
    <mergeCell ref="FVP307:FVP310"/>
    <mergeCell ref="FVR307:FVR308"/>
    <mergeCell ref="FVS307:FVS308"/>
    <mergeCell ref="FVV307:FVV308"/>
    <mergeCell ref="FWD307:FWD308"/>
    <mergeCell ref="FWE307:FWE310"/>
    <mergeCell ref="FWF307:FWF310"/>
    <mergeCell ref="FWH307:FWH308"/>
    <mergeCell ref="FWI307:FWI308"/>
    <mergeCell ref="FWL307:FWL308"/>
    <mergeCell ref="FWT307:FWT308"/>
    <mergeCell ref="FWU307:FWU310"/>
    <mergeCell ref="FWV307:FWV310"/>
    <mergeCell ref="FVC309:FVC310"/>
    <mergeCell ref="FVF309:FVF310"/>
    <mergeCell ref="FVN309:FVN310"/>
    <mergeCell ref="FVR309:FVR310"/>
    <mergeCell ref="FVS309:FVS310"/>
    <mergeCell ref="FVV309:FVV310"/>
    <mergeCell ref="FWD309:FWD310"/>
    <mergeCell ref="FWH309:FWH310"/>
    <mergeCell ref="FWI309:FWI310"/>
    <mergeCell ref="FWL309:FWL310"/>
    <mergeCell ref="FWT309:FWT310"/>
    <mergeCell ref="FTJ307:FTJ308"/>
    <mergeCell ref="FTR307:FTR308"/>
    <mergeCell ref="FTS307:FTS310"/>
    <mergeCell ref="FTT307:FTT310"/>
    <mergeCell ref="FTV307:FTV308"/>
    <mergeCell ref="FTW307:FTW308"/>
    <mergeCell ref="FTZ307:FTZ308"/>
    <mergeCell ref="FUH307:FUH308"/>
    <mergeCell ref="FUI307:FUI310"/>
    <mergeCell ref="FUJ307:FUJ310"/>
    <mergeCell ref="FUL307:FUL308"/>
    <mergeCell ref="FUM307:FUM308"/>
    <mergeCell ref="FUP307:FUP308"/>
    <mergeCell ref="FUX307:FUX308"/>
    <mergeCell ref="FUY307:FUY310"/>
    <mergeCell ref="FUZ307:FUZ310"/>
    <mergeCell ref="FVB307:FVB308"/>
    <mergeCell ref="FTJ309:FTJ310"/>
    <mergeCell ref="FTR309:FTR310"/>
    <mergeCell ref="FTV309:FTV310"/>
    <mergeCell ref="FTW309:FTW310"/>
    <mergeCell ref="FTZ309:FTZ310"/>
    <mergeCell ref="FUH309:FUH310"/>
    <mergeCell ref="FUL309:FUL310"/>
    <mergeCell ref="FUM309:FUM310"/>
    <mergeCell ref="FUP309:FUP310"/>
    <mergeCell ref="FUX309:FUX310"/>
    <mergeCell ref="FVB309:FVB310"/>
    <mergeCell ref="FRV307:FRV308"/>
    <mergeCell ref="FRW307:FRW310"/>
    <mergeCell ref="FRX307:FRX310"/>
    <mergeCell ref="FRZ307:FRZ308"/>
    <mergeCell ref="FSA307:FSA308"/>
    <mergeCell ref="FSD307:FSD308"/>
    <mergeCell ref="FSL307:FSL308"/>
    <mergeCell ref="FSM307:FSM310"/>
    <mergeCell ref="FSN307:FSN310"/>
    <mergeCell ref="FSP307:FSP308"/>
    <mergeCell ref="FSQ307:FSQ308"/>
    <mergeCell ref="FST307:FST308"/>
    <mergeCell ref="FTB307:FTB308"/>
    <mergeCell ref="FTC307:FTC310"/>
    <mergeCell ref="FTD307:FTD310"/>
    <mergeCell ref="FTF307:FTF308"/>
    <mergeCell ref="FTG307:FTG308"/>
    <mergeCell ref="FRV309:FRV310"/>
    <mergeCell ref="FRZ309:FRZ310"/>
    <mergeCell ref="FSA309:FSA310"/>
    <mergeCell ref="FSD309:FSD310"/>
    <mergeCell ref="FSL309:FSL310"/>
    <mergeCell ref="FSP309:FSP310"/>
    <mergeCell ref="FSQ309:FSQ310"/>
    <mergeCell ref="FST309:FST310"/>
    <mergeCell ref="FTB309:FTB310"/>
    <mergeCell ref="FTF309:FTF310"/>
    <mergeCell ref="FTG309:FTG310"/>
    <mergeCell ref="FQA307:FQA310"/>
    <mergeCell ref="FQB307:FQB310"/>
    <mergeCell ref="FQD307:FQD308"/>
    <mergeCell ref="FQE307:FQE308"/>
    <mergeCell ref="FQH307:FQH308"/>
    <mergeCell ref="FQP307:FQP308"/>
    <mergeCell ref="FQQ307:FQQ310"/>
    <mergeCell ref="FQR307:FQR310"/>
    <mergeCell ref="FQT307:FQT308"/>
    <mergeCell ref="FQU307:FQU308"/>
    <mergeCell ref="FQX307:FQX308"/>
    <mergeCell ref="FRF307:FRF308"/>
    <mergeCell ref="FRG307:FRG310"/>
    <mergeCell ref="FRH307:FRH310"/>
    <mergeCell ref="FRJ307:FRJ308"/>
    <mergeCell ref="FRK307:FRK308"/>
    <mergeCell ref="FRN307:FRN308"/>
    <mergeCell ref="FQD309:FQD310"/>
    <mergeCell ref="FQE309:FQE310"/>
    <mergeCell ref="FQH309:FQH310"/>
    <mergeCell ref="FQP309:FQP310"/>
    <mergeCell ref="FQT309:FQT310"/>
    <mergeCell ref="FQU309:FQU310"/>
    <mergeCell ref="FQX309:FQX310"/>
    <mergeCell ref="FRF309:FRF310"/>
    <mergeCell ref="FRJ309:FRJ310"/>
    <mergeCell ref="FRK309:FRK310"/>
    <mergeCell ref="FRN309:FRN310"/>
    <mergeCell ref="FOF307:FOF310"/>
    <mergeCell ref="FOH307:FOH308"/>
    <mergeCell ref="FOI307:FOI308"/>
    <mergeCell ref="FOL307:FOL308"/>
    <mergeCell ref="FOT307:FOT308"/>
    <mergeCell ref="FOU307:FOU310"/>
    <mergeCell ref="FOV307:FOV310"/>
    <mergeCell ref="FOX307:FOX308"/>
    <mergeCell ref="FOY307:FOY308"/>
    <mergeCell ref="FPB307:FPB308"/>
    <mergeCell ref="FPJ307:FPJ308"/>
    <mergeCell ref="FPK307:FPK310"/>
    <mergeCell ref="FPL307:FPL310"/>
    <mergeCell ref="FPN307:FPN308"/>
    <mergeCell ref="FPO307:FPO308"/>
    <mergeCell ref="FPR307:FPR308"/>
    <mergeCell ref="FPZ307:FPZ308"/>
    <mergeCell ref="FOH309:FOH310"/>
    <mergeCell ref="FOI309:FOI310"/>
    <mergeCell ref="FOL309:FOL310"/>
    <mergeCell ref="FOT309:FOT310"/>
    <mergeCell ref="FOX309:FOX310"/>
    <mergeCell ref="FOY309:FOY310"/>
    <mergeCell ref="FPB309:FPB310"/>
    <mergeCell ref="FPJ309:FPJ310"/>
    <mergeCell ref="FPN309:FPN310"/>
    <mergeCell ref="FPO309:FPO310"/>
    <mergeCell ref="FPR309:FPR310"/>
    <mergeCell ref="FPZ309:FPZ310"/>
    <mergeCell ref="FML307:FML308"/>
    <mergeCell ref="FMM307:FMM308"/>
    <mergeCell ref="FMP307:FMP308"/>
    <mergeCell ref="FMX307:FMX308"/>
    <mergeCell ref="FMY307:FMY310"/>
    <mergeCell ref="FMZ307:FMZ310"/>
    <mergeCell ref="FNB307:FNB308"/>
    <mergeCell ref="FNC307:FNC308"/>
    <mergeCell ref="FNF307:FNF308"/>
    <mergeCell ref="FNN307:FNN308"/>
    <mergeCell ref="FNO307:FNO310"/>
    <mergeCell ref="FNP307:FNP310"/>
    <mergeCell ref="FNR307:FNR308"/>
    <mergeCell ref="FNS307:FNS308"/>
    <mergeCell ref="FNV307:FNV308"/>
    <mergeCell ref="FOD307:FOD308"/>
    <mergeCell ref="FOE307:FOE310"/>
    <mergeCell ref="FML309:FML310"/>
    <mergeCell ref="FMM309:FMM310"/>
    <mergeCell ref="FMP309:FMP310"/>
    <mergeCell ref="FMX309:FMX310"/>
    <mergeCell ref="FNB309:FNB310"/>
    <mergeCell ref="FNC309:FNC310"/>
    <mergeCell ref="FNF309:FNF310"/>
    <mergeCell ref="FNN309:FNN310"/>
    <mergeCell ref="FNR309:FNR310"/>
    <mergeCell ref="FNS309:FNS310"/>
    <mergeCell ref="FNV309:FNV310"/>
    <mergeCell ref="FOD309:FOD310"/>
    <mergeCell ref="FKQ307:FKQ308"/>
    <mergeCell ref="FKT307:FKT308"/>
    <mergeCell ref="FLB307:FLB308"/>
    <mergeCell ref="FLC307:FLC310"/>
    <mergeCell ref="FLD307:FLD310"/>
    <mergeCell ref="FLF307:FLF308"/>
    <mergeCell ref="FLG307:FLG308"/>
    <mergeCell ref="FLJ307:FLJ308"/>
    <mergeCell ref="FLR307:FLR308"/>
    <mergeCell ref="FLS307:FLS310"/>
    <mergeCell ref="FLT307:FLT310"/>
    <mergeCell ref="FLV307:FLV308"/>
    <mergeCell ref="FLW307:FLW308"/>
    <mergeCell ref="FLZ307:FLZ308"/>
    <mergeCell ref="FMH307:FMH308"/>
    <mergeCell ref="FMI307:FMI310"/>
    <mergeCell ref="FMJ307:FMJ310"/>
    <mergeCell ref="FKQ309:FKQ310"/>
    <mergeCell ref="FKT309:FKT310"/>
    <mergeCell ref="FLB309:FLB310"/>
    <mergeCell ref="FLF309:FLF310"/>
    <mergeCell ref="FLG309:FLG310"/>
    <mergeCell ref="FLJ309:FLJ310"/>
    <mergeCell ref="FLR309:FLR310"/>
    <mergeCell ref="FLV309:FLV310"/>
    <mergeCell ref="FLW309:FLW310"/>
    <mergeCell ref="FLZ309:FLZ310"/>
    <mergeCell ref="FMH309:FMH310"/>
    <mergeCell ref="FIX307:FIX308"/>
    <mergeCell ref="FJF307:FJF308"/>
    <mergeCell ref="FJG307:FJG310"/>
    <mergeCell ref="FJH307:FJH310"/>
    <mergeCell ref="FJJ307:FJJ308"/>
    <mergeCell ref="FJK307:FJK308"/>
    <mergeCell ref="FJN307:FJN308"/>
    <mergeCell ref="FJV307:FJV308"/>
    <mergeCell ref="FJW307:FJW310"/>
    <mergeCell ref="FJX307:FJX310"/>
    <mergeCell ref="FJZ307:FJZ308"/>
    <mergeCell ref="FKA307:FKA308"/>
    <mergeCell ref="FKD307:FKD308"/>
    <mergeCell ref="FKL307:FKL308"/>
    <mergeCell ref="FKM307:FKM310"/>
    <mergeCell ref="FKN307:FKN310"/>
    <mergeCell ref="FKP307:FKP308"/>
    <mergeCell ref="FIX309:FIX310"/>
    <mergeCell ref="FJF309:FJF310"/>
    <mergeCell ref="FJJ309:FJJ310"/>
    <mergeCell ref="FJK309:FJK310"/>
    <mergeCell ref="FJN309:FJN310"/>
    <mergeCell ref="FJV309:FJV310"/>
    <mergeCell ref="FJZ309:FJZ310"/>
    <mergeCell ref="FKA309:FKA310"/>
    <mergeCell ref="FKD309:FKD310"/>
    <mergeCell ref="FKL309:FKL310"/>
    <mergeCell ref="FKP309:FKP310"/>
    <mergeCell ref="FHJ307:FHJ308"/>
    <mergeCell ref="FHK307:FHK310"/>
    <mergeCell ref="FHL307:FHL310"/>
    <mergeCell ref="FHN307:FHN308"/>
    <mergeCell ref="FHO307:FHO308"/>
    <mergeCell ref="FHR307:FHR308"/>
    <mergeCell ref="FHZ307:FHZ308"/>
    <mergeCell ref="FIA307:FIA310"/>
    <mergeCell ref="FIB307:FIB310"/>
    <mergeCell ref="FID307:FID308"/>
    <mergeCell ref="FIE307:FIE308"/>
    <mergeCell ref="FIH307:FIH308"/>
    <mergeCell ref="FIP307:FIP308"/>
    <mergeCell ref="FIQ307:FIQ310"/>
    <mergeCell ref="FIR307:FIR310"/>
    <mergeCell ref="FIT307:FIT308"/>
    <mergeCell ref="FIU307:FIU308"/>
    <mergeCell ref="FHJ309:FHJ310"/>
    <mergeCell ref="FHN309:FHN310"/>
    <mergeCell ref="FHO309:FHO310"/>
    <mergeCell ref="FHR309:FHR310"/>
    <mergeCell ref="FHZ309:FHZ310"/>
    <mergeCell ref="FID309:FID310"/>
    <mergeCell ref="FIE309:FIE310"/>
    <mergeCell ref="FIH309:FIH310"/>
    <mergeCell ref="FIP309:FIP310"/>
    <mergeCell ref="FIT309:FIT310"/>
    <mergeCell ref="FIU309:FIU310"/>
    <mergeCell ref="FFO307:FFO310"/>
    <mergeCell ref="FFP307:FFP310"/>
    <mergeCell ref="FFR307:FFR308"/>
    <mergeCell ref="FFS307:FFS308"/>
    <mergeCell ref="FFV307:FFV308"/>
    <mergeCell ref="FGD307:FGD308"/>
    <mergeCell ref="FGE307:FGE310"/>
    <mergeCell ref="FGF307:FGF310"/>
    <mergeCell ref="FGH307:FGH308"/>
    <mergeCell ref="FGI307:FGI308"/>
    <mergeCell ref="FGL307:FGL308"/>
    <mergeCell ref="FGT307:FGT308"/>
    <mergeCell ref="FGU307:FGU310"/>
    <mergeCell ref="FGV307:FGV310"/>
    <mergeCell ref="FGX307:FGX308"/>
    <mergeCell ref="FGY307:FGY308"/>
    <mergeCell ref="FHB307:FHB308"/>
    <mergeCell ref="FFR309:FFR310"/>
    <mergeCell ref="FFS309:FFS310"/>
    <mergeCell ref="FFV309:FFV310"/>
    <mergeCell ref="FGD309:FGD310"/>
    <mergeCell ref="FGH309:FGH310"/>
    <mergeCell ref="FGI309:FGI310"/>
    <mergeCell ref="FGL309:FGL310"/>
    <mergeCell ref="FGT309:FGT310"/>
    <mergeCell ref="FGX309:FGX310"/>
    <mergeCell ref="FGY309:FGY310"/>
    <mergeCell ref="FHB309:FHB310"/>
    <mergeCell ref="FDT307:FDT310"/>
    <mergeCell ref="FDV307:FDV308"/>
    <mergeCell ref="FDW307:FDW308"/>
    <mergeCell ref="FDZ307:FDZ308"/>
    <mergeCell ref="FEH307:FEH308"/>
    <mergeCell ref="FEI307:FEI310"/>
    <mergeCell ref="FEJ307:FEJ310"/>
    <mergeCell ref="FEL307:FEL308"/>
    <mergeCell ref="FEM307:FEM308"/>
    <mergeCell ref="FEP307:FEP308"/>
    <mergeCell ref="FEX307:FEX308"/>
    <mergeCell ref="FEY307:FEY310"/>
    <mergeCell ref="FEZ307:FEZ310"/>
    <mergeCell ref="FFB307:FFB308"/>
    <mergeCell ref="FFC307:FFC308"/>
    <mergeCell ref="FFF307:FFF308"/>
    <mergeCell ref="FFN307:FFN308"/>
    <mergeCell ref="FDV309:FDV310"/>
    <mergeCell ref="FDW309:FDW310"/>
    <mergeCell ref="FDZ309:FDZ310"/>
    <mergeCell ref="FEH309:FEH310"/>
    <mergeCell ref="FEL309:FEL310"/>
    <mergeCell ref="FEM309:FEM310"/>
    <mergeCell ref="FEP309:FEP310"/>
    <mergeCell ref="FEX309:FEX310"/>
    <mergeCell ref="FFB309:FFB310"/>
    <mergeCell ref="FFC309:FFC310"/>
    <mergeCell ref="FFF309:FFF310"/>
    <mergeCell ref="FFN309:FFN310"/>
    <mergeCell ref="FBZ307:FBZ308"/>
    <mergeCell ref="FCA307:FCA308"/>
    <mergeCell ref="FCD307:FCD308"/>
    <mergeCell ref="FCL307:FCL308"/>
    <mergeCell ref="FCM307:FCM310"/>
    <mergeCell ref="FCN307:FCN310"/>
    <mergeCell ref="FCP307:FCP308"/>
    <mergeCell ref="FCQ307:FCQ308"/>
    <mergeCell ref="FCT307:FCT308"/>
    <mergeCell ref="FDB307:FDB308"/>
    <mergeCell ref="FDC307:FDC310"/>
    <mergeCell ref="FDD307:FDD310"/>
    <mergeCell ref="FDF307:FDF308"/>
    <mergeCell ref="FDG307:FDG308"/>
    <mergeCell ref="FDJ307:FDJ308"/>
    <mergeCell ref="FDR307:FDR308"/>
    <mergeCell ref="FDS307:FDS310"/>
    <mergeCell ref="FBZ309:FBZ310"/>
    <mergeCell ref="FCA309:FCA310"/>
    <mergeCell ref="FCD309:FCD310"/>
    <mergeCell ref="FCL309:FCL310"/>
    <mergeCell ref="FCP309:FCP310"/>
    <mergeCell ref="FCQ309:FCQ310"/>
    <mergeCell ref="FCT309:FCT310"/>
    <mergeCell ref="FDB309:FDB310"/>
    <mergeCell ref="FDF309:FDF310"/>
    <mergeCell ref="FDG309:FDG310"/>
    <mergeCell ref="FDJ309:FDJ310"/>
    <mergeCell ref="FDR309:FDR310"/>
    <mergeCell ref="FAE307:FAE308"/>
    <mergeCell ref="FAH307:FAH308"/>
    <mergeCell ref="FAP307:FAP308"/>
    <mergeCell ref="FAQ307:FAQ310"/>
    <mergeCell ref="FAR307:FAR310"/>
    <mergeCell ref="FAT307:FAT308"/>
    <mergeCell ref="FAU307:FAU308"/>
    <mergeCell ref="FAX307:FAX308"/>
    <mergeCell ref="FBF307:FBF308"/>
    <mergeCell ref="FBG307:FBG310"/>
    <mergeCell ref="FBH307:FBH310"/>
    <mergeCell ref="FBJ307:FBJ308"/>
    <mergeCell ref="FBK307:FBK308"/>
    <mergeCell ref="FBN307:FBN308"/>
    <mergeCell ref="FBV307:FBV308"/>
    <mergeCell ref="FBW307:FBW310"/>
    <mergeCell ref="FBX307:FBX310"/>
    <mergeCell ref="FAE309:FAE310"/>
    <mergeCell ref="FAH309:FAH310"/>
    <mergeCell ref="FAP309:FAP310"/>
    <mergeCell ref="FAT309:FAT310"/>
    <mergeCell ref="FAU309:FAU310"/>
    <mergeCell ref="FAX309:FAX310"/>
    <mergeCell ref="FBF309:FBF310"/>
    <mergeCell ref="FBJ309:FBJ310"/>
    <mergeCell ref="FBK309:FBK310"/>
    <mergeCell ref="FBN309:FBN310"/>
    <mergeCell ref="FBV309:FBV310"/>
    <mergeCell ref="EYL307:EYL308"/>
    <mergeCell ref="EYT307:EYT308"/>
    <mergeCell ref="EYU307:EYU310"/>
    <mergeCell ref="EYV307:EYV310"/>
    <mergeCell ref="EYX307:EYX308"/>
    <mergeCell ref="EYY307:EYY308"/>
    <mergeCell ref="EZB307:EZB308"/>
    <mergeCell ref="EZJ307:EZJ308"/>
    <mergeCell ref="EZK307:EZK310"/>
    <mergeCell ref="EZL307:EZL310"/>
    <mergeCell ref="EZN307:EZN308"/>
    <mergeCell ref="EZO307:EZO308"/>
    <mergeCell ref="EZR307:EZR308"/>
    <mergeCell ref="EZZ307:EZZ308"/>
    <mergeCell ref="FAA307:FAA310"/>
    <mergeCell ref="FAB307:FAB310"/>
    <mergeCell ref="FAD307:FAD308"/>
    <mergeCell ref="EYL309:EYL310"/>
    <mergeCell ref="EYT309:EYT310"/>
    <mergeCell ref="EYX309:EYX310"/>
    <mergeCell ref="EYY309:EYY310"/>
    <mergeCell ref="EZB309:EZB310"/>
    <mergeCell ref="EZJ309:EZJ310"/>
    <mergeCell ref="EZN309:EZN310"/>
    <mergeCell ref="EZO309:EZO310"/>
    <mergeCell ref="EZR309:EZR310"/>
    <mergeCell ref="EZZ309:EZZ310"/>
    <mergeCell ref="FAD309:FAD310"/>
    <mergeCell ref="EWX307:EWX308"/>
    <mergeCell ref="EWY307:EWY310"/>
    <mergeCell ref="EWZ307:EWZ310"/>
    <mergeCell ref="EXB307:EXB308"/>
    <mergeCell ref="EXC307:EXC308"/>
    <mergeCell ref="EXF307:EXF308"/>
    <mergeCell ref="EXN307:EXN308"/>
    <mergeCell ref="EXO307:EXO310"/>
    <mergeCell ref="EXP307:EXP310"/>
    <mergeCell ref="EXR307:EXR308"/>
    <mergeCell ref="EXS307:EXS308"/>
    <mergeCell ref="EXV307:EXV308"/>
    <mergeCell ref="EYD307:EYD308"/>
    <mergeCell ref="EYE307:EYE310"/>
    <mergeCell ref="EYF307:EYF310"/>
    <mergeCell ref="EYH307:EYH308"/>
    <mergeCell ref="EYI307:EYI308"/>
    <mergeCell ref="EWX309:EWX310"/>
    <mergeCell ref="EXB309:EXB310"/>
    <mergeCell ref="EXC309:EXC310"/>
    <mergeCell ref="EXF309:EXF310"/>
    <mergeCell ref="EXN309:EXN310"/>
    <mergeCell ref="EXR309:EXR310"/>
    <mergeCell ref="EXS309:EXS310"/>
    <mergeCell ref="EXV309:EXV310"/>
    <mergeCell ref="EYD309:EYD310"/>
    <mergeCell ref="EYH309:EYH310"/>
    <mergeCell ref="EYI309:EYI310"/>
    <mergeCell ref="EVC307:EVC310"/>
    <mergeCell ref="EVD307:EVD310"/>
    <mergeCell ref="EVF307:EVF308"/>
    <mergeCell ref="EVG307:EVG308"/>
    <mergeCell ref="EVJ307:EVJ308"/>
    <mergeCell ref="EVR307:EVR308"/>
    <mergeCell ref="EVS307:EVS310"/>
    <mergeCell ref="EVT307:EVT310"/>
    <mergeCell ref="EVV307:EVV308"/>
    <mergeCell ref="EVW307:EVW308"/>
    <mergeCell ref="EVZ307:EVZ308"/>
    <mergeCell ref="EWH307:EWH308"/>
    <mergeCell ref="EWI307:EWI310"/>
    <mergeCell ref="EWJ307:EWJ310"/>
    <mergeCell ref="EWL307:EWL308"/>
    <mergeCell ref="EWM307:EWM308"/>
    <mergeCell ref="EWP307:EWP308"/>
    <mergeCell ref="EVF309:EVF310"/>
    <mergeCell ref="EVG309:EVG310"/>
    <mergeCell ref="EVJ309:EVJ310"/>
    <mergeCell ref="EVR309:EVR310"/>
    <mergeCell ref="EVV309:EVV310"/>
    <mergeCell ref="EVW309:EVW310"/>
    <mergeCell ref="EVZ309:EVZ310"/>
    <mergeCell ref="EWH309:EWH310"/>
    <mergeCell ref="EWL309:EWL310"/>
    <mergeCell ref="EWM309:EWM310"/>
    <mergeCell ref="EWP309:EWP310"/>
    <mergeCell ref="ETH307:ETH310"/>
    <mergeCell ref="ETJ307:ETJ308"/>
    <mergeCell ref="ETK307:ETK308"/>
    <mergeCell ref="ETN307:ETN308"/>
    <mergeCell ref="ETV307:ETV308"/>
    <mergeCell ref="ETW307:ETW310"/>
    <mergeCell ref="ETX307:ETX310"/>
    <mergeCell ref="ETZ307:ETZ308"/>
    <mergeCell ref="EUA307:EUA308"/>
    <mergeCell ref="EUD307:EUD308"/>
    <mergeCell ref="EUL307:EUL308"/>
    <mergeCell ref="EUM307:EUM310"/>
    <mergeCell ref="EUN307:EUN310"/>
    <mergeCell ref="EUP307:EUP308"/>
    <mergeCell ref="EUQ307:EUQ308"/>
    <mergeCell ref="EUT307:EUT308"/>
    <mergeCell ref="EVB307:EVB308"/>
    <mergeCell ref="ETJ309:ETJ310"/>
    <mergeCell ref="ETK309:ETK310"/>
    <mergeCell ref="ETN309:ETN310"/>
    <mergeCell ref="ETV309:ETV310"/>
    <mergeCell ref="ETZ309:ETZ310"/>
    <mergeCell ref="EUA309:EUA310"/>
    <mergeCell ref="EUD309:EUD310"/>
    <mergeCell ref="EUL309:EUL310"/>
    <mergeCell ref="EUP309:EUP310"/>
    <mergeCell ref="EUQ309:EUQ310"/>
    <mergeCell ref="EUT309:EUT310"/>
    <mergeCell ref="EVB309:EVB310"/>
    <mergeCell ref="ERN307:ERN308"/>
    <mergeCell ref="ERO307:ERO308"/>
    <mergeCell ref="ERR307:ERR308"/>
    <mergeCell ref="ERZ307:ERZ308"/>
    <mergeCell ref="ESA307:ESA310"/>
    <mergeCell ref="ESB307:ESB310"/>
    <mergeCell ref="ESD307:ESD308"/>
    <mergeCell ref="ESE307:ESE308"/>
    <mergeCell ref="ESH307:ESH308"/>
    <mergeCell ref="ESP307:ESP308"/>
    <mergeCell ref="ESQ307:ESQ310"/>
    <mergeCell ref="ESR307:ESR310"/>
    <mergeCell ref="EST307:EST308"/>
    <mergeCell ref="ESU307:ESU308"/>
    <mergeCell ref="ESX307:ESX308"/>
    <mergeCell ref="ETF307:ETF308"/>
    <mergeCell ref="ETG307:ETG310"/>
    <mergeCell ref="ERN309:ERN310"/>
    <mergeCell ref="ERO309:ERO310"/>
    <mergeCell ref="ERR309:ERR310"/>
    <mergeCell ref="ERZ309:ERZ310"/>
    <mergeCell ref="ESD309:ESD310"/>
    <mergeCell ref="ESE309:ESE310"/>
    <mergeCell ref="ESH309:ESH310"/>
    <mergeCell ref="ESP309:ESP310"/>
    <mergeCell ref="EST309:EST310"/>
    <mergeCell ref="ESU309:ESU310"/>
    <mergeCell ref="ESX309:ESX310"/>
    <mergeCell ref="ETF309:ETF310"/>
    <mergeCell ref="EPS307:EPS308"/>
    <mergeCell ref="EPV307:EPV308"/>
    <mergeCell ref="EQD307:EQD308"/>
    <mergeCell ref="EQE307:EQE310"/>
    <mergeCell ref="EQF307:EQF310"/>
    <mergeCell ref="EQH307:EQH308"/>
    <mergeCell ref="EQI307:EQI308"/>
    <mergeCell ref="EQL307:EQL308"/>
    <mergeCell ref="EQT307:EQT308"/>
    <mergeCell ref="EQU307:EQU310"/>
    <mergeCell ref="EQV307:EQV310"/>
    <mergeCell ref="EQX307:EQX308"/>
    <mergeCell ref="EQY307:EQY308"/>
    <mergeCell ref="ERB307:ERB308"/>
    <mergeCell ref="ERJ307:ERJ308"/>
    <mergeCell ref="ERK307:ERK310"/>
    <mergeCell ref="ERL307:ERL310"/>
    <mergeCell ref="EPS309:EPS310"/>
    <mergeCell ref="EPV309:EPV310"/>
    <mergeCell ref="EQD309:EQD310"/>
    <mergeCell ref="EQH309:EQH310"/>
    <mergeCell ref="EQI309:EQI310"/>
    <mergeCell ref="EQL309:EQL310"/>
    <mergeCell ref="EQT309:EQT310"/>
    <mergeCell ref="EQX309:EQX310"/>
    <mergeCell ref="EQY309:EQY310"/>
    <mergeCell ref="ERB309:ERB310"/>
    <mergeCell ref="ERJ309:ERJ310"/>
    <mergeCell ref="ENZ307:ENZ308"/>
    <mergeCell ref="EOH307:EOH308"/>
    <mergeCell ref="EOI307:EOI310"/>
    <mergeCell ref="EOJ307:EOJ310"/>
    <mergeCell ref="EOL307:EOL308"/>
    <mergeCell ref="EOM307:EOM308"/>
    <mergeCell ref="EOP307:EOP308"/>
    <mergeCell ref="EOX307:EOX308"/>
    <mergeCell ref="EOY307:EOY310"/>
    <mergeCell ref="EOZ307:EOZ310"/>
    <mergeCell ref="EPB307:EPB308"/>
    <mergeCell ref="EPC307:EPC308"/>
    <mergeCell ref="EPF307:EPF308"/>
    <mergeCell ref="EPN307:EPN308"/>
    <mergeCell ref="EPO307:EPO310"/>
    <mergeCell ref="EPP307:EPP310"/>
    <mergeCell ref="EPR307:EPR308"/>
    <mergeCell ref="ENZ309:ENZ310"/>
    <mergeCell ref="EOH309:EOH310"/>
    <mergeCell ref="EOL309:EOL310"/>
    <mergeCell ref="EOM309:EOM310"/>
    <mergeCell ref="EOP309:EOP310"/>
    <mergeCell ref="EOX309:EOX310"/>
    <mergeCell ref="EPB309:EPB310"/>
    <mergeCell ref="EPC309:EPC310"/>
    <mergeCell ref="EPF309:EPF310"/>
    <mergeCell ref="EPN309:EPN310"/>
    <mergeCell ref="EPR309:EPR310"/>
    <mergeCell ref="EML307:EML308"/>
    <mergeCell ref="EMM307:EMM310"/>
    <mergeCell ref="EMN307:EMN310"/>
    <mergeCell ref="EMP307:EMP308"/>
    <mergeCell ref="EMQ307:EMQ308"/>
    <mergeCell ref="EMT307:EMT308"/>
    <mergeCell ref="ENB307:ENB308"/>
    <mergeCell ref="ENC307:ENC310"/>
    <mergeCell ref="END307:END310"/>
    <mergeCell ref="ENF307:ENF308"/>
    <mergeCell ref="ENG307:ENG308"/>
    <mergeCell ref="ENJ307:ENJ308"/>
    <mergeCell ref="ENR307:ENR308"/>
    <mergeCell ref="ENS307:ENS310"/>
    <mergeCell ref="ENT307:ENT310"/>
    <mergeCell ref="ENV307:ENV308"/>
    <mergeCell ref="ENW307:ENW308"/>
    <mergeCell ref="EML309:EML310"/>
    <mergeCell ref="EMP309:EMP310"/>
    <mergeCell ref="EMQ309:EMQ310"/>
    <mergeCell ref="EMT309:EMT310"/>
    <mergeCell ref="ENB309:ENB310"/>
    <mergeCell ref="ENF309:ENF310"/>
    <mergeCell ref="ENG309:ENG310"/>
    <mergeCell ref="ENJ309:ENJ310"/>
    <mergeCell ref="ENR309:ENR310"/>
    <mergeCell ref="ENV309:ENV310"/>
    <mergeCell ref="ENW309:ENW310"/>
    <mergeCell ref="EKQ307:EKQ310"/>
    <mergeCell ref="EKR307:EKR310"/>
    <mergeCell ref="EKT307:EKT308"/>
    <mergeCell ref="EKU307:EKU308"/>
    <mergeCell ref="EKX307:EKX308"/>
    <mergeCell ref="ELF307:ELF308"/>
    <mergeCell ref="ELG307:ELG310"/>
    <mergeCell ref="ELH307:ELH310"/>
    <mergeCell ref="ELJ307:ELJ308"/>
    <mergeCell ref="ELK307:ELK308"/>
    <mergeCell ref="ELN307:ELN308"/>
    <mergeCell ref="ELV307:ELV308"/>
    <mergeCell ref="ELW307:ELW310"/>
    <mergeCell ref="ELX307:ELX310"/>
    <mergeCell ref="ELZ307:ELZ308"/>
    <mergeCell ref="EMA307:EMA308"/>
    <mergeCell ref="EMD307:EMD308"/>
    <mergeCell ref="EKT309:EKT310"/>
    <mergeCell ref="EKU309:EKU310"/>
    <mergeCell ref="EKX309:EKX310"/>
    <mergeCell ref="ELF309:ELF310"/>
    <mergeCell ref="ELJ309:ELJ310"/>
    <mergeCell ref="ELK309:ELK310"/>
    <mergeCell ref="ELN309:ELN310"/>
    <mergeCell ref="ELV309:ELV310"/>
    <mergeCell ref="ELZ309:ELZ310"/>
    <mergeCell ref="EMA309:EMA310"/>
    <mergeCell ref="EMD309:EMD310"/>
    <mergeCell ref="EIV307:EIV310"/>
    <mergeCell ref="EIX307:EIX308"/>
    <mergeCell ref="EIY307:EIY308"/>
    <mergeCell ref="EJB307:EJB308"/>
    <mergeCell ref="EJJ307:EJJ308"/>
    <mergeCell ref="EJK307:EJK310"/>
    <mergeCell ref="EJL307:EJL310"/>
    <mergeCell ref="EJN307:EJN308"/>
    <mergeCell ref="EJO307:EJO308"/>
    <mergeCell ref="EJR307:EJR308"/>
    <mergeCell ref="EJZ307:EJZ308"/>
    <mergeCell ref="EKA307:EKA310"/>
    <mergeCell ref="EKB307:EKB310"/>
    <mergeCell ref="EKD307:EKD308"/>
    <mergeCell ref="EKE307:EKE308"/>
    <mergeCell ref="EKH307:EKH308"/>
    <mergeCell ref="EKP307:EKP308"/>
    <mergeCell ref="EIX309:EIX310"/>
    <mergeCell ref="EIY309:EIY310"/>
    <mergeCell ref="EJB309:EJB310"/>
    <mergeCell ref="EJJ309:EJJ310"/>
    <mergeCell ref="EJN309:EJN310"/>
    <mergeCell ref="EJO309:EJO310"/>
    <mergeCell ref="EJR309:EJR310"/>
    <mergeCell ref="EJZ309:EJZ310"/>
    <mergeCell ref="EKD309:EKD310"/>
    <mergeCell ref="EKE309:EKE310"/>
    <mergeCell ref="EKH309:EKH310"/>
    <mergeCell ref="EKP309:EKP310"/>
    <mergeCell ref="EHB307:EHB308"/>
    <mergeCell ref="EHC307:EHC308"/>
    <mergeCell ref="EHF307:EHF308"/>
    <mergeCell ref="EHN307:EHN308"/>
    <mergeCell ref="EHO307:EHO310"/>
    <mergeCell ref="EHP307:EHP310"/>
    <mergeCell ref="EHR307:EHR308"/>
    <mergeCell ref="EHS307:EHS308"/>
    <mergeCell ref="EHV307:EHV308"/>
    <mergeCell ref="EID307:EID308"/>
    <mergeCell ref="EIE307:EIE310"/>
    <mergeCell ref="EIF307:EIF310"/>
    <mergeCell ref="EIH307:EIH308"/>
    <mergeCell ref="EII307:EII308"/>
    <mergeCell ref="EIL307:EIL308"/>
    <mergeCell ref="EIT307:EIT308"/>
    <mergeCell ref="EIU307:EIU310"/>
    <mergeCell ref="EHB309:EHB310"/>
    <mergeCell ref="EHC309:EHC310"/>
    <mergeCell ref="EHF309:EHF310"/>
    <mergeCell ref="EHN309:EHN310"/>
    <mergeCell ref="EHR309:EHR310"/>
    <mergeCell ref="EHS309:EHS310"/>
    <mergeCell ref="EHV309:EHV310"/>
    <mergeCell ref="EID309:EID310"/>
    <mergeCell ref="EIH309:EIH310"/>
    <mergeCell ref="EII309:EII310"/>
    <mergeCell ref="EIL309:EIL310"/>
    <mergeCell ref="EIT309:EIT310"/>
    <mergeCell ref="EFG307:EFG308"/>
    <mergeCell ref="EFJ307:EFJ308"/>
    <mergeCell ref="EFR307:EFR308"/>
    <mergeCell ref="EFS307:EFS310"/>
    <mergeCell ref="EFT307:EFT310"/>
    <mergeCell ref="EFV307:EFV308"/>
    <mergeCell ref="EFW307:EFW308"/>
    <mergeCell ref="EFZ307:EFZ308"/>
    <mergeCell ref="EGH307:EGH308"/>
    <mergeCell ref="EGI307:EGI310"/>
    <mergeCell ref="EGJ307:EGJ310"/>
    <mergeCell ref="EGL307:EGL308"/>
    <mergeCell ref="EGM307:EGM308"/>
    <mergeCell ref="EGP307:EGP308"/>
    <mergeCell ref="EGX307:EGX308"/>
    <mergeCell ref="EGY307:EGY310"/>
    <mergeCell ref="EGZ307:EGZ310"/>
    <mergeCell ref="EFG309:EFG310"/>
    <mergeCell ref="EFJ309:EFJ310"/>
    <mergeCell ref="EFR309:EFR310"/>
    <mergeCell ref="EFV309:EFV310"/>
    <mergeCell ref="EFW309:EFW310"/>
    <mergeCell ref="EFZ309:EFZ310"/>
    <mergeCell ref="EGH309:EGH310"/>
    <mergeCell ref="EGL309:EGL310"/>
    <mergeCell ref="EGM309:EGM310"/>
    <mergeCell ref="EGP309:EGP310"/>
    <mergeCell ref="EGX309:EGX310"/>
    <mergeCell ref="EDN307:EDN308"/>
    <mergeCell ref="EDV307:EDV308"/>
    <mergeCell ref="EDW307:EDW310"/>
    <mergeCell ref="EDX307:EDX310"/>
    <mergeCell ref="EDZ307:EDZ308"/>
    <mergeCell ref="EEA307:EEA308"/>
    <mergeCell ref="EED307:EED308"/>
    <mergeCell ref="EEL307:EEL308"/>
    <mergeCell ref="EEM307:EEM310"/>
    <mergeCell ref="EEN307:EEN310"/>
    <mergeCell ref="EEP307:EEP308"/>
    <mergeCell ref="EEQ307:EEQ308"/>
    <mergeCell ref="EET307:EET308"/>
    <mergeCell ref="EFB307:EFB308"/>
    <mergeCell ref="EFC307:EFC310"/>
    <mergeCell ref="EFD307:EFD310"/>
    <mergeCell ref="EFF307:EFF308"/>
    <mergeCell ref="EDN309:EDN310"/>
    <mergeCell ref="EDV309:EDV310"/>
    <mergeCell ref="EDZ309:EDZ310"/>
    <mergeCell ref="EEA309:EEA310"/>
    <mergeCell ref="EED309:EED310"/>
    <mergeCell ref="EEL309:EEL310"/>
    <mergeCell ref="EEP309:EEP310"/>
    <mergeCell ref="EEQ309:EEQ310"/>
    <mergeCell ref="EET309:EET310"/>
    <mergeCell ref="EFB309:EFB310"/>
    <mergeCell ref="EFF309:EFF310"/>
    <mergeCell ref="EBZ307:EBZ308"/>
    <mergeCell ref="ECA307:ECA310"/>
    <mergeCell ref="ECB307:ECB310"/>
    <mergeCell ref="ECD307:ECD308"/>
    <mergeCell ref="ECE307:ECE308"/>
    <mergeCell ref="ECH307:ECH308"/>
    <mergeCell ref="ECP307:ECP308"/>
    <mergeCell ref="ECQ307:ECQ310"/>
    <mergeCell ref="ECR307:ECR310"/>
    <mergeCell ref="ECT307:ECT308"/>
    <mergeCell ref="ECU307:ECU308"/>
    <mergeCell ref="ECX307:ECX308"/>
    <mergeCell ref="EDF307:EDF308"/>
    <mergeCell ref="EDG307:EDG310"/>
    <mergeCell ref="EDH307:EDH310"/>
    <mergeCell ref="EDJ307:EDJ308"/>
    <mergeCell ref="EDK307:EDK308"/>
    <mergeCell ref="EBZ309:EBZ310"/>
    <mergeCell ref="ECD309:ECD310"/>
    <mergeCell ref="ECE309:ECE310"/>
    <mergeCell ref="ECH309:ECH310"/>
    <mergeCell ref="ECP309:ECP310"/>
    <mergeCell ref="ECT309:ECT310"/>
    <mergeCell ref="ECU309:ECU310"/>
    <mergeCell ref="ECX309:ECX310"/>
    <mergeCell ref="EDF309:EDF310"/>
    <mergeCell ref="EDJ309:EDJ310"/>
    <mergeCell ref="EDK309:EDK310"/>
    <mergeCell ref="EAE307:EAE310"/>
    <mergeCell ref="EAF307:EAF310"/>
    <mergeCell ref="EAH307:EAH308"/>
    <mergeCell ref="EAI307:EAI308"/>
    <mergeCell ref="EAL307:EAL308"/>
    <mergeCell ref="EAT307:EAT308"/>
    <mergeCell ref="EAU307:EAU310"/>
    <mergeCell ref="EAV307:EAV310"/>
    <mergeCell ref="EAX307:EAX308"/>
    <mergeCell ref="EAY307:EAY308"/>
    <mergeCell ref="EBB307:EBB308"/>
    <mergeCell ref="EBJ307:EBJ308"/>
    <mergeCell ref="EBK307:EBK310"/>
    <mergeCell ref="EBL307:EBL310"/>
    <mergeCell ref="EBN307:EBN308"/>
    <mergeCell ref="EBO307:EBO308"/>
    <mergeCell ref="EBR307:EBR308"/>
    <mergeCell ref="EAH309:EAH310"/>
    <mergeCell ref="EAI309:EAI310"/>
    <mergeCell ref="EAL309:EAL310"/>
    <mergeCell ref="EAT309:EAT310"/>
    <mergeCell ref="EAX309:EAX310"/>
    <mergeCell ref="EAY309:EAY310"/>
    <mergeCell ref="EBB309:EBB310"/>
    <mergeCell ref="EBJ309:EBJ310"/>
    <mergeCell ref="EBN309:EBN310"/>
    <mergeCell ref="EBO309:EBO310"/>
    <mergeCell ref="EBR309:EBR310"/>
    <mergeCell ref="DYJ307:DYJ310"/>
    <mergeCell ref="DYL307:DYL308"/>
    <mergeCell ref="DYM307:DYM308"/>
    <mergeCell ref="DYP307:DYP308"/>
    <mergeCell ref="DYX307:DYX308"/>
    <mergeCell ref="DYY307:DYY310"/>
    <mergeCell ref="DYZ307:DYZ310"/>
    <mergeCell ref="DZB307:DZB308"/>
    <mergeCell ref="DZC307:DZC308"/>
    <mergeCell ref="DZF307:DZF308"/>
    <mergeCell ref="DZN307:DZN308"/>
    <mergeCell ref="DZO307:DZO310"/>
    <mergeCell ref="DZP307:DZP310"/>
    <mergeCell ref="DZR307:DZR308"/>
    <mergeCell ref="DZS307:DZS308"/>
    <mergeCell ref="DZV307:DZV308"/>
    <mergeCell ref="EAD307:EAD308"/>
    <mergeCell ref="DYL309:DYL310"/>
    <mergeCell ref="DYM309:DYM310"/>
    <mergeCell ref="DYP309:DYP310"/>
    <mergeCell ref="DYX309:DYX310"/>
    <mergeCell ref="DZB309:DZB310"/>
    <mergeCell ref="DZC309:DZC310"/>
    <mergeCell ref="DZF309:DZF310"/>
    <mergeCell ref="DZN309:DZN310"/>
    <mergeCell ref="DZR309:DZR310"/>
    <mergeCell ref="DZS309:DZS310"/>
    <mergeCell ref="DZV309:DZV310"/>
    <mergeCell ref="EAD309:EAD310"/>
    <mergeCell ref="DWP307:DWP308"/>
    <mergeCell ref="DWQ307:DWQ308"/>
    <mergeCell ref="DWT307:DWT308"/>
    <mergeCell ref="DXB307:DXB308"/>
    <mergeCell ref="DXC307:DXC310"/>
    <mergeCell ref="DXD307:DXD310"/>
    <mergeCell ref="DXF307:DXF308"/>
    <mergeCell ref="DXG307:DXG308"/>
    <mergeCell ref="DXJ307:DXJ308"/>
    <mergeCell ref="DXR307:DXR308"/>
    <mergeCell ref="DXS307:DXS310"/>
    <mergeCell ref="DXT307:DXT310"/>
    <mergeCell ref="DXV307:DXV308"/>
    <mergeCell ref="DXW307:DXW308"/>
    <mergeCell ref="DXZ307:DXZ308"/>
    <mergeCell ref="DYH307:DYH308"/>
    <mergeCell ref="DYI307:DYI310"/>
    <mergeCell ref="DWP309:DWP310"/>
    <mergeCell ref="DWQ309:DWQ310"/>
    <mergeCell ref="DWT309:DWT310"/>
    <mergeCell ref="DXB309:DXB310"/>
    <mergeCell ref="DXF309:DXF310"/>
    <mergeCell ref="DXG309:DXG310"/>
    <mergeCell ref="DXJ309:DXJ310"/>
    <mergeCell ref="DXR309:DXR310"/>
    <mergeCell ref="DXV309:DXV310"/>
    <mergeCell ref="DXW309:DXW310"/>
    <mergeCell ref="DXZ309:DXZ310"/>
    <mergeCell ref="DYH309:DYH310"/>
    <mergeCell ref="DUU307:DUU308"/>
    <mergeCell ref="DUX307:DUX308"/>
    <mergeCell ref="DVF307:DVF308"/>
    <mergeCell ref="DVG307:DVG310"/>
    <mergeCell ref="DVH307:DVH310"/>
    <mergeCell ref="DVJ307:DVJ308"/>
    <mergeCell ref="DVK307:DVK308"/>
    <mergeCell ref="DVN307:DVN308"/>
    <mergeCell ref="DVV307:DVV308"/>
    <mergeCell ref="DVW307:DVW310"/>
    <mergeCell ref="DVX307:DVX310"/>
    <mergeCell ref="DVZ307:DVZ308"/>
    <mergeCell ref="DWA307:DWA308"/>
    <mergeCell ref="DWD307:DWD308"/>
    <mergeCell ref="DWL307:DWL308"/>
    <mergeCell ref="DWM307:DWM310"/>
    <mergeCell ref="DWN307:DWN310"/>
    <mergeCell ref="DUU309:DUU310"/>
    <mergeCell ref="DUX309:DUX310"/>
    <mergeCell ref="DVF309:DVF310"/>
    <mergeCell ref="DVJ309:DVJ310"/>
    <mergeCell ref="DVK309:DVK310"/>
    <mergeCell ref="DVN309:DVN310"/>
    <mergeCell ref="DVV309:DVV310"/>
    <mergeCell ref="DVZ309:DVZ310"/>
    <mergeCell ref="DWA309:DWA310"/>
    <mergeCell ref="DWD309:DWD310"/>
    <mergeCell ref="DWL309:DWL310"/>
    <mergeCell ref="DTB307:DTB308"/>
    <mergeCell ref="DTJ307:DTJ308"/>
    <mergeCell ref="DTK307:DTK310"/>
    <mergeCell ref="DTL307:DTL310"/>
    <mergeCell ref="DTN307:DTN308"/>
    <mergeCell ref="DTO307:DTO308"/>
    <mergeCell ref="DTR307:DTR308"/>
    <mergeCell ref="DTZ307:DTZ308"/>
    <mergeCell ref="DUA307:DUA310"/>
    <mergeCell ref="DUB307:DUB310"/>
    <mergeCell ref="DUD307:DUD308"/>
    <mergeCell ref="DUE307:DUE308"/>
    <mergeCell ref="DUH307:DUH308"/>
    <mergeCell ref="DUP307:DUP308"/>
    <mergeCell ref="DUQ307:DUQ310"/>
    <mergeCell ref="DUR307:DUR310"/>
    <mergeCell ref="DUT307:DUT308"/>
    <mergeCell ref="DTB309:DTB310"/>
    <mergeCell ref="DTJ309:DTJ310"/>
    <mergeCell ref="DTN309:DTN310"/>
    <mergeCell ref="DTO309:DTO310"/>
    <mergeCell ref="DTR309:DTR310"/>
    <mergeCell ref="DTZ309:DTZ310"/>
    <mergeCell ref="DUD309:DUD310"/>
    <mergeCell ref="DUE309:DUE310"/>
    <mergeCell ref="DUH309:DUH310"/>
    <mergeCell ref="DUP309:DUP310"/>
    <mergeCell ref="DUT309:DUT310"/>
    <mergeCell ref="DRN307:DRN308"/>
    <mergeCell ref="DRO307:DRO310"/>
    <mergeCell ref="DRP307:DRP310"/>
    <mergeCell ref="DRR307:DRR308"/>
    <mergeCell ref="DRS307:DRS308"/>
    <mergeCell ref="DRV307:DRV308"/>
    <mergeCell ref="DSD307:DSD308"/>
    <mergeCell ref="DSE307:DSE310"/>
    <mergeCell ref="DSF307:DSF310"/>
    <mergeCell ref="DSH307:DSH308"/>
    <mergeCell ref="DSI307:DSI308"/>
    <mergeCell ref="DSL307:DSL308"/>
    <mergeCell ref="DST307:DST308"/>
    <mergeCell ref="DSU307:DSU310"/>
    <mergeCell ref="DSV307:DSV310"/>
    <mergeCell ref="DSX307:DSX308"/>
    <mergeCell ref="DSY307:DSY308"/>
    <mergeCell ref="DRN309:DRN310"/>
    <mergeCell ref="DRR309:DRR310"/>
    <mergeCell ref="DRS309:DRS310"/>
    <mergeCell ref="DRV309:DRV310"/>
    <mergeCell ref="DSD309:DSD310"/>
    <mergeCell ref="DSH309:DSH310"/>
    <mergeCell ref="DSI309:DSI310"/>
    <mergeCell ref="DSL309:DSL310"/>
    <mergeCell ref="DST309:DST310"/>
    <mergeCell ref="DSX309:DSX310"/>
    <mergeCell ref="DSY309:DSY310"/>
    <mergeCell ref="DPS307:DPS310"/>
    <mergeCell ref="DPT307:DPT310"/>
    <mergeCell ref="DPV307:DPV308"/>
    <mergeCell ref="DPW307:DPW308"/>
    <mergeCell ref="DPZ307:DPZ308"/>
    <mergeCell ref="DQH307:DQH308"/>
    <mergeCell ref="DQI307:DQI310"/>
    <mergeCell ref="DQJ307:DQJ310"/>
    <mergeCell ref="DQL307:DQL308"/>
    <mergeCell ref="DQM307:DQM308"/>
    <mergeCell ref="DQP307:DQP308"/>
    <mergeCell ref="DQX307:DQX308"/>
    <mergeCell ref="DQY307:DQY310"/>
    <mergeCell ref="DQZ307:DQZ310"/>
    <mergeCell ref="DRB307:DRB308"/>
    <mergeCell ref="DRC307:DRC308"/>
    <mergeCell ref="DRF307:DRF308"/>
    <mergeCell ref="DPV309:DPV310"/>
    <mergeCell ref="DPW309:DPW310"/>
    <mergeCell ref="DPZ309:DPZ310"/>
    <mergeCell ref="DQH309:DQH310"/>
    <mergeCell ref="DQL309:DQL310"/>
    <mergeCell ref="DQM309:DQM310"/>
    <mergeCell ref="DQP309:DQP310"/>
    <mergeCell ref="DQX309:DQX310"/>
    <mergeCell ref="DRB309:DRB310"/>
    <mergeCell ref="DRC309:DRC310"/>
    <mergeCell ref="DRF309:DRF310"/>
    <mergeCell ref="DNX307:DNX310"/>
    <mergeCell ref="DNZ307:DNZ308"/>
    <mergeCell ref="DOA307:DOA308"/>
    <mergeCell ref="DOD307:DOD308"/>
    <mergeCell ref="DOL307:DOL308"/>
    <mergeCell ref="DOM307:DOM310"/>
    <mergeCell ref="DON307:DON310"/>
    <mergeCell ref="DOP307:DOP308"/>
    <mergeCell ref="DOQ307:DOQ308"/>
    <mergeCell ref="DOT307:DOT308"/>
    <mergeCell ref="DPB307:DPB308"/>
    <mergeCell ref="DPC307:DPC310"/>
    <mergeCell ref="DPD307:DPD310"/>
    <mergeCell ref="DPF307:DPF308"/>
    <mergeCell ref="DPG307:DPG308"/>
    <mergeCell ref="DPJ307:DPJ308"/>
    <mergeCell ref="DPR307:DPR308"/>
    <mergeCell ref="DNZ309:DNZ310"/>
    <mergeCell ref="DOA309:DOA310"/>
    <mergeCell ref="DOD309:DOD310"/>
    <mergeCell ref="DOL309:DOL310"/>
    <mergeCell ref="DOP309:DOP310"/>
    <mergeCell ref="DOQ309:DOQ310"/>
    <mergeCell ref="DOT309:DOT310"/>
    <mergeCell ref="DPB309:DPB310"/>
    <mergeCell ref="DPF309:DPF310"/>
    <mergeCell ref="DPG309:DPG310"/>
    <mergeCell ref="DPJ309:DPJ310"/>
    <mergeCell ref="DPR309:DPR310"/>
    <mergeCell ref="DMD307:DMD308"/>
    <mergeCell ref="DME307:DME308"/>
    <mergeCell ref="DMH307:DMH308"/>
    <mergeCell ref="DMP307:DMP308"/>
    <mergeCell ref="DMQ307:DMQ310"/>
    <mergeCell ref="DMR307:DMR310"/>
    <mergeCell ref="DMT307:DMT308"/>
    <mergeCell ref="DMU307:DMU308"/>
    <mergeCell ref="DMX307:DMX308"/>
    <mergeCell ref="DNF307:DNF308"/>
    <mergeCell ref="DNG307:DNG310"/>
    <mergeCell ref="DNH307:DNH310"/>
    <mergeCell ref="DNJ307:DNJ308"/>
    <mergeCell ref="DNK307:DNK308"/>
    <mergeCell ref="DNN307:DNN308"/>
    <mergeCell ref="DNV307:DNV308"/>
    <mergeCell ref="DNW307:DNW310"/>
    <mergeCell ref="DMD309:DMD310"/>
    <mergeCell ref="DME309:DME310"/>
    <mergeCell ref="DMH309:DMH310"/>
    <mergeCell ref="DMP309:DMP310"/>
    <mergeCell ref="DMT309:DMT310"/>
    <mergeCell ref="DMU309:DMU310"/>
    <mergeCell ref="DMX309:DMX310"/>
    <mergeCell ref="DNF309:DNF310"/>
    <mergeCell ref="DNJ309:DNJ310"/>
    <mergeCell ref="DNK309:DNK310"/>
    <mergeCell ref="DNN309:DNN310"/>
    <mergeCell ref="DNV309:DNV310"/>
    <mergeCell ref="DKI307:DKI308"/>
    <mergeCell ref="DKL307:DKL308"/>
    <mergeCell ref="DKT307:DKT308"/>
    <mergeCell ref="DKU307:DKU310"/>
    <mergeCell ref="DKV307:DKV310"/>
    <mergeCell ref="DKX307:DKX308"/>
    <mergeCell ref="DKY307:DKY308"/>
    <mergeCell ref="DLB307:DLB308"/>
    <mergeCell ref="DLJ307:DLJ308"/>
    <mergeCell ref="DLK307:DLK310"/>
    <mergeCell ref="DLL307:DLL310"/>
    <mergeCell ref="DLN307:DLN308"/>
    <mergeCell ref="DLO307:DLO308"/>
    <mergeCell ref="DLR307:DLR308"/>
    <mergeCell ref="DLZ307:DLZ308"/>
    <mergeCell ref="DMA307:DMA310"/>
    <mergeCell ref="DMB307:DMB310"/>
    <mergeCell ref="DKI309:DKI310"/>
    <mergeCell ref="DKL309:DKL310"/>
    <mergeCell ref="DKT309:DKT310"/>
    <mergeCell ref="DKX309:DKX310"/>
    <mergeCell ref="DKY309:DKY310"/>
    <mergeCell ref="DLB309:DLB310"/>
    <mergeCell ref="DLJ309:DLJ310"/>
    <mergeCell ref="DLN309:DLN310"/>
    <mergeCell ref="DLO309:DLO310"/>
    <mergeCell ref="DLR309:DLR310"/>
    <mergeCell ref="DLZ309:DLZ310"/>
    <mergeCell ref="DIP307:DIP308"/>
    <mergeCell ref="DIX307:DIX308"/>
    <mergeCell ref="DIY307:DIY310"/>
    <mergeCell ref="DIZ307:DIZ310"/>
    <mergeCell ref="DJB307:DJB308"/>
    <mergeCell ref="DJC307:DJC308"/>
    <mergeCell ref="DJF307:DJF308"/>
    <mergeCell ref="DJN307:DJN308"/>
    <mergeCell ref="DJO307:DJO310"/>
    <mergeCell ref="DJP307:DJP310"/>
    <mergeCell ref="DJR307:DJR308"/>
    <mergeCell ref="DJS307:DJS308"/>
    <mergeCell ref="DJV307:DJV308"/>
    <mergeCell ref="DKD307:DKD308"/>
    <mergeCell ref="DKE307:DKE310"/>
    <mergeCell ref="DKF307:DKF310"/>
    <mergeCell ref="DKH307:DKH308"/>
    <mergeCell ref="DIP309:DIP310"/>
    <mergeCell ref="DIX309:DIX310"/>
    <mergeCell ref="DJB309:DJB310"/>
    <mergeCell ref="DJC309:DJC310"/>
    <mergeCell ref="DJF309:DJF310"/>
    <mergeCell ref="DJN309:DJN310"/>
    <mergeCell ref="DJR309:DJR310"/>
    <mergeCell ref="DJS309:DJS310"/>
    <mergeCell ref="DJV309:DJV310"/>
    <mergeCell ref="DKD309:DKD310"/>
    <mergeCell ref="DKH309:DKH310"/>
    <mergeCell ref="DHB307:DHB308"/>
    <mergeCell ref="DHC307:DHC310"/>
    <mergeCell ref="DHD307:DHD310"/>
    <mergeCell ref="DHF307:DHF308"/>
    <mergeCell ref="DHG307:DHG308"/>
    <mergeCell ref="DHJ307:DHJ308"/>
    <mergeCell ref="DHR307:DHR308"/>
    <mergeCell ref="DHS307:DHS310"/>
    <mergeCell ref="DHT307:DHT310"/>
    <mergeCell ref="DHV307:DHV308"/>
    <mergeCell ref="DHW307:DHW308"/>
    <mergeCell ref="DHZ307:DHZ308"/>
    <mergeCell ref="DIH307:DIH308"/>
    <mergeCell ref="DII307:DII310"/>
    <mergeCell ref="DIJ307:DIJ310"/>
    <mergeCell ref="DIL307:DIL308"/>
    <mergeCell ref="DIM307:DIM308"/>
    <mergeCell ref="DHB309:DHB310"/>
    <mergeCell ref="DHF309:DHF310"/>
    <mergeCell ref="DHG309:DHG310"/>
    <mergeCell ref="DHJ309:DHJ310"/>
    <mergeCell ref="DHR309:DHR310"/>
    <mergeCell ref="DHV309:DHV310"/>
    <mergeCell ref="DHW309:DHW310"/>
    <mergeCell ref="DHZ309:DHZ310"/>
    <mergeCell ref="DIH309:DIH310"/>
    <mergeCell ref="DIL309:DIL310"/>
    <mergeCell ref="DIM309:DIM310"/>
    <mergeCell ref="DFG307:DFG310"/>
    <mergeCell ref="DFH307:DFH310"/>
    <mergeCell ref="DFJ307:DFJ308"/>
    <mergeCell ref="DFK307:DFK308"/>
    <mergeCell ref="DFN307:DFN308"/>
    <mergeCell ref="DFV307:DFV308"/>
    <mergeCell ref="DFW307:DFW310"/>
    <mergeCell ref="DFX307:DFX310"/>
    <mergeCell ref="DFZ307:DFZ308"/>
    <mergeCell ref="DGA307:DGA308"/>
    <mergeCell ref="DGD307:DGD308"/>
    <mergeCell ref="DGL307:DGL308"/>
    <mergeCell ref="DGM307:DGM310"/>
    <mergeCell ref="DGN307:DGN310"/>
    <mergeCell ref="DGP307:DGP308"/>
    <mergeCell ref="DGQ307:DGQ308"/>
    <mergeCell ref="DGT307:DGT308"/>
    <mergeCell ref="DFJ309:DFJ310"/>
    <mergeCell ref="DFK309:DFK310"/>
    <mergeCell ref="DFN309:DFN310"/>
    <mergeCell ref="DFV309:DFV310"/>
    <mergeCell ref="DFZ309:DFZ310"/>
    <mergeCell ref="DGA309:DGA310"/>
    <mergeCell ref="DGD309:DGD310"/>
    <mergeCell ref="DGL309:DGL310"/>
    <mergeCell ref="DGP309:DGP310"/>
    <mergeCell ref="DGQ309:DGQ310"/>
    <mergeCell ref="DGT309:DGT310"/>
    <mergeCell ref="DDL307:DDL310"/>
    <mergeCell ref="DDN307:DDN308"/>
    <mergeCell ref="DDO307:DDO308"/>
    <mergeCell ref="DDR307:DDR308"/>
    <mergeCell ref="DDZ307:DDZ308"/>
    <mergeCell ref="DEA307:DEA310"/>
    <mergeCell ref="DEB307:DEB310"/>
    <mergeCell ref="DED307:DED308"/>
    <mergeCell ref="DEE307:DEE308"/>
    <mergeCell ref="DEH307:DEH308"/>
    <mergeCell ref="DEP307:DEP308"/>
    <mergeCell ref="DEQ307:DEQ310"/>
    <mergeCell ref="DER307:DER310"/>
    <mergeCell ref="DET307:DET308"/>
    <mergeCell ref="DEU307:DEU308"/>
    <mergeCell ref="DEX307:DEX308"/>
    <mergeCell ref="DFF307:DFF308"/>
    <mergeCell ref="DDN309:DDN310"/>
    <mergeCell ref="DDO309:DDO310"/>
    <mergeCell ref="DDR309:DDR310"/>
    <mergeCell ref="DDZ309:DDZ310"/>
    <mergeCell ref="DED309:DED310"/>
    <mergeCell ref="DEE309:DEE310"/>
    <mergeCell ref="DEH309:DEH310"/>
    <mergeCell ref="DEP309:DEP310"/>
    <mergeCell ref="DET309:DET310"/>
    <mergeCell ref="DEU309:DEU310"/>
    <mergeCell ref="DEX309:DEX310"/>
    <mergeCell ref="DFF309:DFF310"/>
    <mergeCell ref="DBR307:DBR308"/>
    <mergeCell ref="DBS307:DBS308"/>
    <mergeCell ref="DBV307:DBV308"/>
    <mergeCell ref="DCD307:DCD308"/>
    <mergeCell ref="DCE307:DCE310"/>
    <mergeCell ref="DCF307:DCF310"/>
    <mergeCell ref="DCH307:DCH308"/>
    <mergeCell ref="DCI307:DCI308"/>
    <mergeCell ref="DCL307:DCL308"/>
    <mergeCell ref="DCT307:DCT308"/>
    <mergeCell ref="DCU307:DCU310"/>
    <mergeCell ref="DCV307:DCV310"/>
    <mergeCell ref="DCX307:DCX308"/>
    <mergeCell ref="DCY307:DCY308"/>
    <mergeCell ref="DDB307:DDB308"/>
    <mergeCell ref="DDJ307:DDJ308"/>
    <mergeCell ref="DDK307:DDK310"/>
    <mergeCell ref="DBR309:DBR310"/>
    <mergeCell ref="DBS309:DBS310"/>
    <mergeCell ref="DBV309:DBV310"/>
    <mergeCell ref="DCD309:DCD310"/>
    <mergeCell ref="DCH309:DCH310"/>
    <mergeCell ref="DCI309:DCI310"/>
    <mergeCell ref="DCL309:DCL310"/>
    <mergeCell ref="DCT309:DCT310"/>
    <mergeCell ref="DCX309:DCX310"/>
    <mergeCell ref="DCY309:DCY310"/>
    <mergeCell ref="DDB309:DDB310"/>
    <mergeCell ref="DDJ309:DDJ310"/>
    <mergeCell ref="CZW307:CZW308"/>
    <mergeCell ref="CZZ307:CZZ308"/>
    <mergeCell ref="DAH307:DAH308"/>
    <mergeCell ref="DAI307:DAI310"/>
    <mergeCell ref="DAJ307:DAJ310"/>
    <mergeCell ref="DAL307:DAL308"/>
    <mergeCell ref="DAM307:DAM308"/>
    <mergeCell ref="DAP307:DAP308"/>
    <mergeCell ref="DAX307:DAX308"/>
    <mergeCell ref="DAY307:DAY310"/>
    <mergeCell ref="DAZ307:DAZ310"/>
    <mergeCell ref="DBB307:DBB308"/>
    <mergeCell ref="DBC307:DBC308"/>
    <mergeCell ref="DBF307:DBF308"/>
    <mergeCell ref="DBN307:DBN308"/>
    <mergeCell ref="DBO307:DBO310"/>
    <mergeCell ref="DBP307:DBP310"/>
    <mergeCell ref="CZW309:CZW310"/>
    <mergeCell ref="CZZ309:CZZ310"/>
    <mergeCell ref="DAH309:DAH310"/>
    <mergeCell ref="DAL309:DAL310"/>
    <mergeCell ref="DAM309:DAM310"/>
    <mergeCell ref="DAP309:DAP310"/>
    <mergeCell ref="DAX309:DAX310"/>
    <mergeCell ref="DBB309:DBB310"/>
    <mergeCell ref="DBC309:DBC310"/>
    <mergeCell ref="DBF309:DBF310"/>
    <mergeCell ref="DBN309:DBN310"/>
    <mergeCell ref="CYD307:CYD308"/>
    <mergeCell ref="CYL307:CYL308"/>
    <mergeCell ref="CYM307:CYM310"/>
    <mergeCell ref="CYN307:CYN310"/>
    <mergeCell ref="CYP307:CYP308"/>
    <mergeCell ref="CYQ307:CYQ308"/>
    <mergeCell ref="CYT307:CYT308"/>
    <mergeCell ref="CZB307:CZB308"/>
    <mergeCell ref="CZC307:CZC310"/>
    <mergeCell ref="CZD307:CZD310"/>
    <mergeCell ref="CZF307:CZF308"/>
    <mergeCell ref="CZG307:CZG308"/>
    <mergeCell ref="CZJ307:CZJ308"/>
    <mergeCell ref="CZR307:CZR308"/>
    <mergeCell ref="CZS307:CZS310"/>
    <mergeCell ref="CZT307:CZT310"/>
    <mergeCell ref="CZV307:CZV308"/>
    <mergeCell ref="CYD309:CYD310"/>
    <mergeCell ref="CYL309:CYL310"/>
    <mergeCell ref="CYP309:CYP310"/>
    <mergeCell ref="CYQ309:CYQ310"/>
    <mergeCell ref="CYT309:CYT310"/>
    <mergeCell ref="CZB309:CZB310"/>
    <mergeCell ref="CZF309:CZF310"/>
    <mergeCell ref="CZG309:CZG310"/>
    <mergeCell ref="CZJ309:CZJ310"/>
    <mergeCell ref="CZR309:CZR310"/>
    <mergeCell ref="CZV309:CZV310"/>
    <mergeCell ref="CWP307:CWP308"/>
    <mergeCell ref="CWQ307:CWQ310"/>
    <mergeCell ref="CWR307:CWR310"/>
    <mergeCell ref="CWT307:CWT308"/>
    <mergeCell ref="CWU307:CWU308"/>
    <mergeCell ref="CWX307:CWX308"/>
    <mergeCell ref="CXF307:CXF308"/>
    <mergeCell ref="CXG307:CXG310"/>
    <mergeCell ref="CXH307:CXH310"/>
    <mergeCell ref="CXJ307:CXJ308"/>
    <mergeCell ref="CXK307:CXK308"/>
    <mergeCell ref="CXN307:CXN308"/>
    <mergeCell ref="CXV307:CXV308"/>
    <mergeCell ref="CXW307:CXW310"/>
    <mergeCell ref="CXX307:CXX310"/>
    <mergeCell ref="CXZ307:CXZ308"/>
    <mergeCell ref="CYA307:CYA308"/>
    <mergeCell ref="CWP309:CWP310"/>
    <mergeCell ref="CWT309:CWT310"/>
    <mergeCell ref="CWU309:CWU310"/>
    <mergeCell ref="CWX309:CWX310"/>
    <mergeCell ref="CXF309:CXF310"/>
    <mergeCell ref="CXJ309:CXJ310"/>
    <mergeCell ref="CXK309:CXK310"/>
    <mergeCell ref="CXN309:CXN310"/>
    <mergeCell ref="CXV309:CXV310"/>
    <mergeCell ref="CXZ309:CXZ310"/>
    <mergeCell ref="CYA309:CYA310"/>
    <mergeCell ref="CUU307:CUU310"/>
    <mergeCell ref="CUV307:CUV310"/>
    <mergeCell ref="CUX307:CUX308"/>
    <mergeCell ref="CUY307:CUY308"/>
    <mergeCell ref="CVB307:CVB308"/>
    <mergeCell ref="CVJ307:CVJ308"/>
    <mergeCell ref="CVK307:CVK310"/>
    <mergeCell ref="CVL307:CVL310"/>
    <mergeCell ref="CVN307:CVN308"/>
    <mergeCell ref="CVO307:CVO308"/>
    <mergeCell ref="CVR307:CVR308"/>
    <mergeCell ref="CVZ307:CVZ308"/>
    <mergeCell ref="CWA307:CWA310"/>
    <mergeCell ref="CWB307:CWB310"/>
    <mergeCell ref="CWD307:CWD308"/>
    <mergeCell ref="CWE307:CWE308"/>
    <mergeCell ref="CWH307:CWH308"/>
    <mergeCell ref="CUX309:CUX310"/>
    <mergeCell ref="CUY309:CUY310"/>
    <mergeCell ref="CVB309:CVB310"/>
    <mergeCell ref="CVJ309:CVJ310"/>
    <mergeCell ref="CVN309:CVN310"/>
    <mergeCell ref="CVO309:CVO310"/>
    <mergeCell ref="CVR309:CVR310"/>
    <mergeCell ref="CVZ309:CVZ310"/>
    <mergeCell ref="CWD309:CWD310"/>
    <mergeCell ref="CWE309:CWE310"/>
    <mergeCell ref="CWH309:CWH310"/>
    <mergeCell ref="CSZ307:CSZ310"/>
    <mergeCell ref="CTB307:CTB308"/>
    <mergeCell ref="CTC307:CTC308"/>
    <mergeCell ref="CTF307:CTF308"/>
    <mergeCell ref="CTN307:CTN308"/>
    <mergeCell ref="CTO307:CTO310"/>
    <mergeCell ref="CTP307:CTP310"/>
    <mergeCell ref="CTR307:CTR308"/>
    <mergeCell ref="CTS307:CTS308"/>
    <mergeCell ref="CTV307:CTV308"/>
    <mergeCell ref="CUD307:CUD308"/>
    <mergeCell ref="CUE307:CUE310"/>
    <mergeCell ref="CUF307:CUF310"/>
    <mergeCell ref="CUH307:CUH308"/>
    <mergeCell ref="CUI307:CUI308"/>
    <mergeCell ref="CUL307:CUL308"/>
    <mergeCell ref="CUT307:CUT308"/>
    <mergeCell ref="CTB309:CTB310"/>
    <mergeCell ref="CTC309:CTC310"/>
    <mergeCell ref="CTF309:CTF310"/>
    <mergeCell ref="CTN309:CTN310"/>
    <mergeCell ref="CTR309:CTR310"/>
    <mergeCell ref="CTS309:CTS310"/>
    <mergeCell ref="CTV309:CTV310"/>
    <mergeCell ref="CUD309:CUD310"/>
    <mergeCell ref="CUH309:CUH310"/>
    <mergeCell ref="CUI309:CUI310"/>
    <mergeCell ref="CUL309:CUL310"/>
    <mergeCell ref="CUT309:CUT310"/>
    <mergeCell ref="CRF307:CRF308"/>
    <mergeCell ref="CRG307:CRG308"/>
    <mergeCell ref="CRJ307:CRJ308"/>
    <mergeCell ref="CRR307:CRR308"/>
    <mergeCell ref="CRS307:CRS310"/>
    <mergeCell ref="CRT307:CRT310"/>
    <mergeCell ref="CRV307:CRV308"/>
    <mergeCell ref="CRW307:CRW308"/>
    <mergeCell ref="CRZ307:CRZ308"/>
    <mergeCell ref="CSH307:CSH308"/>
    <mergeCell ref="CSI307:CSI310"/>
    <mergeCell ref="CSJ307:CSJ310"/>
    <mergeCell ref="CSL307:CSL308"/>
    <mergeCell ref="CSM307:CSM308"/>
    <mergeCell ref="CSP307:CSP308"/>
    <mergeCell ref="CSX307:CSX308"/>
    <mergeCell ref="CSY307:CSY310"/>
    <mergeCell ref="CRF309:CRF310"/>
    <mergeCell ref="CRG309:CRG310"/>
    <mergeCell ref="CRJ309:CRJ310"/>
    <mergeCell ref="CRR309:CRR310"/>
    <mergeCell ref="CRV309:CRV310"/>
    <mergeCell ref="CRW309:CRW310"/>
    <mergeCell ref="CRZ309:CRZ310"/>
    <mergeCell ref="CSH309:CSH310"/>
    <mergeCell ref="CSL309:CSL310"/>
    <mergeCell ref="CSM309:CSM310"/>
    <mergeCell ref="CSP309:CSP310"/>
    <mergeCell ref="CSX309:CSX310"/>
    <mergeCell ref="CPK307:CPK308"/>
    <mergeCell ref="CPN307:CPN308"/>
    <mergeCell ref="CPV307:CPV308"/>
    <mergeCell ref="CPW307:CPW310"/>
    <mergeCell ref="CPX307:CPX310"/>
    <mergeCell ref="CPZ307:CPZ308"/>
    <mergeCell ref="CQA307:CQA308"/>
    <mergeCell ref="CQD307:CQD308"/>
    <mergeCell ref="CQL307:CQL308"/>
    <mergeCell ref="CQM307:CQM310"/>
    <mergeCell ref="CQN307:CQN310"/>
    <mergeCell ref="CQP307:CQP308"/>
    <mergeCell ref="CQQ307:CQQ308"/>
    <mergeCell ref="CQT307:CQT308"/>
    <mergeCell ref="CRB307:CRB308"/>
    <mergeCell ref="CRC307:CRC310"/>
    <mergeCell ref="CRD307:CRD310"/>
    <mergeCell ref="CPK309:CPK310"/>
    <mergeCell ref="CPN309:CPN310"/>
    <mergeCell ref="CPV309:CPV310"/>
    <mergeCell ref="CPZ309:CPZ310"/>
    <mergeCell ref="CQA309:CQA310"/>
    <mergeCell ref="CQD309:CQD310"/>
    <mergeCell ref="CQL309:CQL310"/>
    <mergeCell ref="CQP309:CQP310"/>
    <mergeCell ref="CQQ309:CQQ310"/>
    <mergeCell ref="CQT309:CQT310"/>
    <mergeCell ref="CRB309:CRB310"/>
    <mergeCell ref="CNR307:CNR308"/>
    <mergeCell ref="CNZ307:CNZ308"/>
    <mergeCell ref="COA307:COA310"/>
    <mergeCell ref="COB307:COB310"/>
    <mergeCell ref="COD307:COD308"/>
    <mergeCell ref="COE307:COE308"/>
    <mergeCell ref="COH307:COH308"/>
    <mergeCell ref="COP307:COP308"/>
    <mergeCell ref="COQ307:COQ310"/>
    <mergeCell ref="COR307:COR310"/>
    <mergeCell ref="COT307:COT308"/>
    <mergeCell ref="COU307:COU308"/>
    <mergeCell ref="COX307:COX308"/>
    <mergeCell ref="CPF307:CPF308"/>
    <mergeCell ref="CPG307:CPG310"/>
    <mergeCell ref="CPH307:CPH310"/>
    <mergeCell ref="CPJ307:CPJ308"/>
    <mergeCell ref="CNR309:CNR310"/>
    <mergeCell ref="CNZ309:CNZ310"/>
    <mergeCell ref="COD309:COD310"/>
    <mergeCell ref="COE309:COE310"/>
    <mergeCell ref="COH309:COH310"/>
    <mergeCell ref="COP309:COP310"/>
    <mergeCell ref="COT309:COT310"/>
    <mergeCell ref="COU309:COU310"/>
    <mergeCell ref="COX309:COX310"/>
    <mergeCell ref="CPF309:CPF310"/>
    <mergeCell ref="CPJ309:CPJ310"/>
    <mergeCell ref="CMD307:CMD308"/>
    <mergeCell ref="CME307:CME310"/>
    <mergeCell ref="CMF307:CMF310"/>
    <mergeCell ref="CMH307:CMH308"/>
    <mergeCell ref="CMI307:CMI308"/>
    <mergeCell ref="CML307:CML308"/>
    <mergeCell ref="CMT307:CMT308"/>
    <mergeCell ref="CMU307:CMU310"/>
    <mergeCell ref="CMV307:CMV310"/>
    <mergeCell ref="CMX307:CMX308"/>
    <mergeCell ref="CMY307:CMY308"/>
    <mergeCell ref="CNB307:CNB308"/>
    <mergeCell ref="CNJ307:CNJ308"/>
    <mergeCell ref="CNK307:CNK310"/>
    <mergeCell ref="CNL307:CNL310"/>
    <mergeCell ref="CNN307:CNN308"/>
    <mergeCell ref="CNO307:CNO308"/>
    <mergeCell ref="CMD309:CMD310"/>
    <mergeCell ref="CMH309:CMH310"/>
    <mergeCell ref="CMI309:CMI310"/>
    <mergeCell ref="CML309:CML310"/>
    <mergeCell ref="CMT309:CMT310"/>
    <mergeCell ref="CMX309:CMX310"/>
    <mergeCell ref="CMY309:CMY310"/>
    <mergeCell ref="CNB309:CNB310"/>
    <mergeCell ref="CNJ309:CNJ310"/>
    <mergeCell ref="CNN309:CNN310"/>
    <mergeCell ref="CNO309:CNO310"/>
    <mergeCell ref="CKI307:CKI310"/>
    <mergeCell ref="CKJ307:CKJ310"/>
    <mergeCell ref="CKL307:CKL308"/>
    <mergeCell ref="CKM307:CKM308"/>
    <mergeCell ref="CKP307:CKP308"/>
    <mergeCell ref="CKX307:CKX308"/>
    <mergeCell ref="CKY307:CKY310"/>
    <mergeCell ref="CKZ307:CKZ310"/>
    <mergeCell ref="CLB307:CLB308"/>
    <mergeCell ref="CLC307:CLC308"/>
    <mergeCell ref="CLF307:CLF308"/>
    <mergeCell ref="CLN307:CLN308"/>
    <mergeCell ref="CLO307:CLO310"/>
    <mergeCell ref="CLP307:CLP310"/>
    <mergeCell ref="CLR307:CLR308"/>
    <mergeCell ref="CLS307:CLS308"/>
    <mergeCell ref="CLV307:CLV308"/>
    <mergeCell ref="CKL309:CKL310"/>
    <mergeCell ref="CKM309:CKM310"/>
    <mergeCell ref="CKP309:CKP310"/>
    <mergeCell ref="CKX309:CKX310"/>
    <mergeCell ref="CLB309:CLB310"/>
    <mergeCell ref="CLC309:CLC310"/>
    <mergeCell ref="CLF309:CLF310"/>
    <mergeCell ref="CLN309:CLN310"/>
    <mergeCell ref="CLR309:CLR310"/>
    <mergeCell ref="CLS309:CLS310"/>
    <mergeCell ref="CLV309:CLV310"/>
    <mergeCell ref="CIN307:CIN310"/>
    <mergeCell ref="CIP307:CIP308"/>
    <mergeCell ref="CIQ307:CIQ308"/>
    <mergeCell ref="CIT307:CIT308"/>
    <mergeCell ref="CJB307:CJB308"/>
    <mergeCell ref="CJC307:CJC310"/>
    <mergeCell ref="CJD307:CJD310"/>
    <mergeCell ref="CJF307:CJF308"/>
    <mergeCell ref="CJG307:CJG308"/>
    <mergeCell ref="CJJ307:CJJ308"/>
    <mergeCell ref="CJR307:CJR308"/>
    <mergeCell ref="CJS307:CJS310"/>
    <mergeCell ref="CJT307:CJT310"/>
    <mergeCell ref="CJV307:CJV308"/>
    <mergeCell ref="CJW307:CJW308"/>
    <mergeCell ref="CJZ307:CJZ308"/>
    <mergeCell ref="CKH307:CKH308"/>
    <mergeCell ref="CIP309:CIP310"/>
    <mergeCell ref="CIQ309:CIQ310"/>
    <mergeCell ref="CIT309:CIT310"/>
    <mergeCell ref="CJB309:CJB310"/>
    <mergeCell ref="CJF309:CJF310"/>
    <mergeCell ref="CJG309:CJG310"/>
    <mergeCell ref="CJJ309:CJJ310"/>
    <mergeCell ref="CJR309:CJR310"/>
    <mergeCell ref="CJV309:CJV310"/>
    <mergeCell ref="CJW309:CJW310"/>
    <mergeCell ref="CJZ309:CJZ310"/>
    <mergeCell ref="CKH309:CKH310"/>
    <mergeCell ref="CGT307:CGT308"/>
    <mergeCell ref="CGU307:CGU308"/>
    <mergeCell ref="CGX307:CGX308"/>
    <mergeCell ref="CHF307:CHF308"/>
    <mergeCell ref="CHG307:CHG310"/>
    <mergeCell ref="CHH307:CHH310"/>
    <mergeCell ref="CHJ307:CHJ308"/>
    <mergeCell ref="CHK307:CHK308"/>
    <mergeCell ref="CHN307:CHN308"/>
    <mergeCell ref="CHV307:CHV308"/>
    <mergeCell ref="CHW307:CHW310"/>
    <mergeCell ref="CHX307:CHX310"/>
    <mergeCell ref="CHZ307:CHZ308"/>
    <mergeCell ref="CIA307:CIA308"/>
    <mergeCell ref="CID307:CID308"/>
    <mergeCell ref="CIL307:CIL308"/>
    <mergeCell ref="CIM307:CIM310"/>
    <mergeCell ref="CGT309:CGT310"/>
    <mergeCell ref="CGU309:CGU310"/>
    <mergeCell ref="CGX309:CGX310"/>
    <mergeCell ref="CHF309:CHF310"/>
    <mergeCell ref="CHJ309:CHJ310"/>
    <mergeCell ref="CHK309:CHK310"/>
    <mergeCell ref="CHN309:CHN310"/>
    <mergeCell ref="CHV309:CHV310"/>
    <mergeCell ref="CHZ309:CHZ310"/>
    <mergeCell ref="CIA309:CIA310"/>
    <mergeCell ref="CID309:CID310"/>
    <mergeCell ref="CIL309:CIL310"/>
    <mergeCell ref="CEY307:CEY308"/>
    <mergeCell ref="CFB307:CFB308"/>
    <mergeCell ref="CFJ307:CFJ308"/>
    <mergeCell ref="CFK307:CFK310"/>
    <mergeCell ref="CFL307:CFL310"/>
    <mergeCell ref="CFN307:CFN308"/>
    <mergeCell ref="CFO307:CFO308"/>
    <mergeCell ref="CFR307:CFR308"/>
    <mergeCell ref="CFZ307:CFZ308"/>
    <mergeCell ref="CGA307:CGA310"/>
    <mergeCell ref="CGB307:CGB310"/>
    <mergeCell ref="CGD307:CGD308"/>
    <mergeCell ref="CGE307:CGE308"/>
    <mergeCell ref="CGH307:CGH308"/>
    <mergeCell ref="CGP307:CGP308"/>
    <mergeCell ref="CGQ307:CGQ310"/>
    <mergeCell ref="CGR307:CGR310"/>
    <mergeCell ref="CEY309:CEY310"/>
    <mergeCell ref="CFB309:CFB310"/>
    <mergeCell ref="CFJ309:CFJ310"/>
    <mergeCell ref="CFN309:CFN310"/>
    <mergeCell ref="CFO309:CFO310"/>
    <mergeCell ref="CFR309:CFR310"/>
    <mergeCell ref="CFZ309:CFZ310"/>
    <mergeCell ref="CGD309:CGD310"/>
    <mergeCell ref="CGE309:CGE310"/>
    <mergeCell ref="CGH309:CGH310"/>
    <mergeCell ref="CGP309:CGP310"/>
    <mergeCell ref="CDF307:CDF308"/>
    <mergeCell ref="CDN307:CDN308"/>
    <mergeCell ref="CDO307:CDO310"/>
    <mergeCell ref="CDP307:CDP310"/>
    <mergeCell ref="CDR307:CDR308"/>
    <mergeCell ref="CDS307:CDS308"/>
    <mergeCell ref="CDV307:CDV308"/>
    <mergeCell ref="CED307:CED308"/>
    <mergeCell ref="CEE307:CEE310"/>
    <mergeCell ref="CEF307:CEF310"/>
    <mergeCell ref="CEH307:CEH308"/>
    <mergeCell ref="CEI307:CEI308"/>
    <mergeCell ref="CEL307:CEL308"/>
    <mergeCell ref="CET307:CET308"/>
    <mergeCell ref="CEU307:CEU310"/>
    <mergeCell ref="CEV307:CEV310"/>
    <mergeCell ref="CEX307:CEX308"/>
    <mergeCell ref="CDF309:CDF310"/>
    <mergeCell ref="CDN309:CDN310"/>
    <mergeCell ref="CDR309:CDR310"/>
    <mergeCell ref="CDS309:CDS310"/>
    <mergeCell ref="CDV309:CDV310"/>
    <mergeCell ref="CED309:CED310"/>
    <mergeCell ref="CEH309:CEH310"/>
    <mergeCell ref="CEI309:CEI310"/>
    <mergeCell ref="CEL309:CEL310"/>
    <mergeCell ref="CET309:CET310"/>
    <mergeCell ref="CEX309:CEX310"/>
    <mergeCell ref="CBR307:CBR308"/>
    <mergeCell ref="CBS307:CBS310"/>
    <mergeCell ref="CBT307:CBT310"/>
    <mergeCell ref="CBV307:CBV308"/>
    <mergeCell ref="CBW307:CBW308"/>
    <mergeCell ref="CBZ307:CBZ308"/>
    <mergeCell ref="CCH307:CCH308"/>
    <mergeCell ref="CCI307:CCI310"/>
    <mergeCell ref="CCJ307:CCJ310"/>
    <mergeCell ref="CCL307:CCL308"/>
    <mergeCell ref="CCM307:CCM308"/>
    <mergeCell ref="CCP307:CCP308"/>
    <mergeCell ref="CCX307:CCX308"/>
    <mergeCell ref="CCY307:CCY310"/>
    <mergeCell ref="CCZ307:CCZ310"/>
    <mergeCell ref="CDB307:CDB308"/>
    <mergeCell ref="CDC307:CDC308"/>
    <mergeCell ref="CBR309:CBR310"/>
    <mergeCell ref="CBV309:CBV310"/>
    <mergeCell ref="CBW309:CBW310"/>
    <mergeCell ref="CBZ309:CBZ310"/>
    <mergeCell ref="CCH309:CCH310"/>
    <mergeCell ref="CCL309:CCL310"/>
    <mergeCell ref="CCM309:CCM310"/>
    <mergeCell ref="CCP309:CCP310"/>
    <mergeCell ref="CCX309:CCX310"/>
    <mergeCell ref="CDB309:CDB310"/>
    <mergeCell ref="CDC309:CDC310"/>
    <mergeCell ref="BZW307:BZW310"/>
    <mergeCell ref="BZX307:BZX310"/>
    <mergeCell ref="BZZ307:BZZ308"/>
    <mergeCell ref="CAA307:CAA308"/>
    <mergeCell ref="CAD307:CAD308"/>
    <mergeCell ref="CAL307:CAL308"/>
    <mergeCell ref="CAM307:CAM310"/>
    <mergeCell ref="CAN307:CAN310"/>
    <mergeCell ref="CAP307:CAP308"/>
    <mergeCell ref="CAQ307:CAQ308"/>
    <mergeCell ref="CAT307:CAT308"/>
    <mergeCell ref="CBB307:CBB308"/>
    <mergeCell ref="CBC307:CBC310"/>
    <mergeCell ref="CBD307:CBD310"/>
    <mergeCell ref="CBF307:CBF308"/>
    <mergeCell ref="CBG307:CBG308"/>
    <mergeCell ref="CBJ307:CBJ308"/>
    <mergeCell ref="BZZ309:BZZ310"/>
    <mergeCell ref="CAA309:CAA310"/>
    <mergeCell ref="CAD309:CAD310"/>
    <mergeCell ref="CAL309:CAL310"/>
    <mergeCell ref="CAP309:CAP310"/>
    <mergeCell ref="CAQ309:CAQ310"/>
    <mergeCell ref="CAT309:CAT310"/>
    <mergeCell ref="CBB309:CBB310"/>
    <mergeCell ref="CBF309:CBF310"/>
    <mergeCell ref="CBG309:CBG310"/>
    <mergeCell ref="CBJ309:CBJ310"/>
    <mergeCell ref="BYB307:BYB310"/>
    <mergeCell ref="BYD307:BYD308"/>
    <mergeCell ref="BYE307:BYE308"/>
    <mergeCell ref="BYH307:BYH308"/>
    <mergeCell ref="BYP307:BYP308"/>
    <mergeCell ref="BYQ307:BYQ310"/>
    <mergeCell ref="BYR307:BYR310"/>
    <mergeCell ref="BYT307:BYT308"/>
    <mergeCell ref="BYU307:BYU308"/>
    <mergeCell ref="BYX307:BYX308"/>
    <mergeCell ref="BZF307:BZF308"/>
    <mergeCell ref="BZG307:BZG310"/>
    <mergeCell ref="BZH307:BZH310"/>
    <mergeCell ref="BZJ307:BZJ308"/>
    <mergeCell ref="BZK307:BZK308"/>
    <mergeCell ref="BZN307:BZN308"/>
    <mergeCell ref="BZV307:BZV308"/>
    <mergeCell ref="BYD309:BYD310"/>
    <mergeCell ref="BYE309:BYE310"/>
    <mergeCell ref="BYH309:BYH310"/>
    <mergeCell ref="BYP309:BYP310"/>
    <mergeCell ref="BYT309:BYT310"/>
    <mergeCell ref="BYU309:BYU310"/>
    <mergeCell ref="BYX309:BYX310"/>
    <mergeCell ref="BZF309:BZF310"/>
    <mergeCell ref="BZJ309:BZJ310"/>
    <mergeCell ref="BZK309:BZK310"/>
    <mergeCell ref="BZN309:BZN310"/>
    <mergeCell ref="BZV309:BZV310"/>
    <mergeCell ref="BWH307:BWH308"/>
    <mergeCell ref="BWI307:BWI308"/>
    <mergeCell ref="BWL307:BWL308"/>
    <mergeCell ref="BWT307:BWT308"/>
    <mergeCell ref="BWU307:BWU310"/>
    <mergeCell ref="BWV307:BWV310"/>
    <mergeCell ref="BWX307:BWX308"/>
    <mergeCell ref="BWY307:BWY308"/>
    <mergeCell ref="BXB307:BXB308"/>
    <mergeCell ref="BXJ307:BXJ308"/>
    <mergeCell ref="BXK307:BXK310"/>
    <mergeCell ref="BXL307:BXL310"/>
    <mergeCell ref="BXN307:BXN308"/>
    <mergeCell ref="BXO307:BXO308"/>
    <mergeCell ref="BXR307:BXR308"/>
    <mergeCell ref="BXZ307:BXZ308"/>
    <mergeCell ref="BYA307:BYA310"/>
    <mergeCell ref="BWH309:BWH310"/>
    <mergeCell ref="BWI309:BWI310"/>
    <mergeCell ref="BWL309:BWL310"/>
    <mergeCell ref="BWT309:BWT310"/>
    <mergeCell ref="BWX309:BWX310"/>
    <mergeCell ref="BWY309:BWY310"/>
    <mergeCell ref="BXB309:BXB310"/>
    <mergeCell ref="BXJ309:BXJ310"/>
    <mergeCell ref="BXN309:BXN310"/>
    <mergeCell ref="BXO309:BXO310"/>
    <mergeCell ref="BXR309:BXR310"/>
    <mergeCell ref="BXZ309:BXZ310"/>
    <mergeCell ref="BUM307:BUM308"/>
    <mergeCell ref="BUP307:BUP308"/>
    <mergeCell ref="BUX307:BUX308"/>
    <mergeCell ref="BUY307:BUY310"/>
    <mergeCell ref="BUZ307:BUZ310"/>
    <mergeCell ref="BVB307:BVB308"/>
    <mergeCell ref="BVC307:BVC308"/>
    <mergeCell ref="BVF307:BVF308"/>
    <mergeCell ref="BVN307:BVN308"/>
    <mergeCell ref="BVO307:BVO310"/>
    <mergeCell ref="BVP307:BVP310"/>
    <mergeCell ref="BVR307:BVR308"/>
    <mergeCell ref="BVS307:BVS308"/>
    <mergeCell ref="BVV307:BVV308"/>
    <mergeCell ref="BWD307:BWD308"/>
    <mergeCell ref="BWE307:BWE310"/>
    <mergeCell ref="BWF307:BWF310"/>
    <mergeCell ref="BUM309:BUM310"/>
    <mergeCell ref="BUP309:BUP310"/>
    <mergeCell ref="BUX309:BUX310"/>
    <mergeCell ref="BVB309:BVB310"/>
    <mergeCell ref="BVC309:BVC310"/>
    <mergeCell ref="BVF309:BVF310"/>
    <mergeCell ref="BVN309:BVN310"/>
    <mergeCell ref="BVR309:BVR310"/>
    <mergeCell ref="BVS309:BVS310"/>
    <mergeCell ref="BVV309:BVV310"/>
    <mergeCell ref="BWD309:BWD310"/>
    <mergeCell ref="BST307:BST308"/>
    <mergeCell ref="BTB307:BTB308"/>
    <mergeCell ref="BTC307:BTC310"/>
    <mergeCell ref="BTD307:BTD310"/>
    <mergeCell ref="BTF307:BTF308"/>
    <mergeCell ref="BTG307:BTG308"/>
    <mergeCell ref="BTJ307:BTJ308"/>
    <mergeCell ref="BTR307:BTR308"/>
    <mergeCell ref="BTS307:BTS310"/>
    <mergeCell ref="BTT307:BTT310"/>
    <mergeCell ref="BTV307:BTV308"/>
    <mergeCell ref="BTW307:BTW308"/>
    <mergeCell ref="BTZ307:BTZ308"/>
    <mergeCell ref="BUH307:BUH308"/>
    <mergeCell ref="BUI307:BUI310"/>
    <mergeCell ref="BUJ307:BUJ310"/>
    <mergeCell ref="BUL307:BUL308"/>
    <mergeCell ref="BST309:BST310"/>
    <mergeCell ref="BTB309:BTB310"/>
    <mergeCell ref="BTF309:BTF310"/>
    <mergeCell ref="BTG309:BTG310"/>
    <mergeCell ref="BTJ309:BTJ310"/>
    <mergeCell ref="BTR309:BTR310"/>
    <mergeCell ref="BTV309:BTV310"/>
    <mergeCell ref="BTW309:BTW310"/>
    <mergeCell ref="BTZ309:BTZ310"/>
    <mergeCell ref="BUH309:BUH310"/>
    <mergeCell ref="BUL309:BUL310"/>
    <mergeCell ref="BRF307:BRF308"/>
    <mergeCell ref="BRG307:BRG310"/>
    <mergeCell ref="BRH307:BRH310"/>
    <mergeCell ref="BRJ307:BRJ308"/>
    <mergeCell ref="BRK307:BRK308"/>
    <mergeCell ref="BRN307:BRN308"/>
    <mergeCell ref="BRV307:BRV308"/>
    <mergeCell ref="BRW307:BRW310"/>
    <mergeCell ref="BRX307:BRX310"/>
    <mergeCell ref="BRZ307:BRZ308"/>
    <mergeCell ref="BSA307:BSA308"/>
    <mergeCell ref="BSD307:BSD308"/>
    <mergeCell ref="BSL307:BSL308"/>
    <mergeCell ref="BSM307:BSM310"/>
    <mergeCell ref="BSN307:BSN310"/>
    <mergeCell ref="BSP307:BSP308"/>
    <mergeCell ref="BSQ307:BSQ308"/>
    <mergeCell ref="BRF309:BRF310"/>
    <mergeCell ref="BRJ309:BRJ310"/>
    <mergeCell ref="BRK309:BRK310"/>
    <mergeCell ref="BRN309:BRN310"/>
    <mergeCell ref="BRV309:BRV310"/>
    <mergeCell ref="BRZ309:BRZ310"/>
    <mergeCell ref="BSA309:BSA310"/>
    <mergeCell ref="BSD309:BSD310"/>
    <mergeCell ref="BSL309:BSL310"/>
    <mergeCell ref="BSP309:BSP310"/>
    <mergeCell ref="BSQ309:BSQ310"/>
    <mergeCell ref="BPK307:BPK310"/>
    <mergeCell ref="BPL307:BPL310"/>
    <mergeCell ref="BPN307:BPN308"/>
    <mergeCell ref="BPO307:BPO308"/>
    <mergeCell ref="BPR307:BPR308"/>
    <mergeCell ref="BPZ307:BPZ308"/>
    <mergeCell ref="BQA307:BQA310"/>
    <mergeCell ref="BQB307:BQB310"/>
    <mergeCell ref="BQD307:BQD308"/>
    <mergeCell ref="BQE307:BQE308"/>
    <mergeCell ref="BQH307:BQH308"/>
    <mergeCell ref="BQP307:BQP308"/>
    <mergeCell ref="BQQ307:BQQ310"/>
    <mergeCell ref="BQR307:BQR310"/>
    <mergeCell ref="BQT307:BQT308"/>
    <mergeCell ref="BQU307:BQU308"/>
    <mergeCell ref="BQX307:BQX308"/>
    <mergeCell ref="BPN309:BPN310"/>
    <mergeCell ref="BPO309:BPO310"/>
    <mergeCell ref="BPR309:BPR310"/>
    <mergeCell ref="BPZ309:BPZ310"/>
    <mergeCell ref="BQD309:BQD310"/>
    <mergeCell ref="BQE309:BQE310"/>
    <mergeCell ref="BQH309:BQH310"/>
    <mergeCell ref="BQP309:BQP310"/>
    <mergeCell ref="BQT309:BQT310"/>
    <mergeCell ref="BQU309:BQU310"/>
    <mergeCell ref="BQX309:BQX310"/>
    <mergeCell ref="BNP307:BNP310"/>
    <mergeCell ref="BNR307:BNR308"/>
    <mergeCell ref="BNS307:BNS308"/>
    <mergeCell ref="BNV307:BNV308"/>
    <mergeCell ref="BOD307:BOD308"/>
    <mergeCell ref="BOE307:BOE310"/>
    <mergeCell ref="BOF307:BOF310"/>
    <mergeCell ref="BOH307:BOH308"/>
    <mergeCell ref="BOI307:BOI308"/>
    <mergeCell ref="BOL307:BOL308"/>
    <mergeCell ref="BOT307:BOT308"/>
    <mergeCell ref="BOU307:BOU310"/>
    <mergeCell ref="BOV307:BOV310"/>
    <mergeCell ref="BOX307:BOX308"/>
    <mergeCell ref="BOY307:BOY308"/>
    <mergeCell ref="BPB307:BPB308"/>
    <mergeCell ref="BPJ307:BPJ308"/>
    <mergeCell ref="BNR309:BNR310"/>
    <mergeCell ref="BNS309:BNS310"/>
    <mergeCell ref="BNV309:BNV310"/>
    <mergeCell ref="BOD309:BOD310"/>
    <mergeCell ref="BOH309:BOH310"/>
    <mergeCell ref="BOI309:BOI310"/>
    <mergeCell ref="BOL309:BOL310"/>
    <mergeCell ref="BOT309:BOT310"/>
    <mergeCell ref="BOX309:BOX310"/>
    <mergeCell ref="BOY309:BOY310"/>
    <mergeCell ref="BPB309:BPB310"/>
    <mergeCell ref="BPJ309:BPJ310"/>
    <mergeCell ref="BLV307:BLV308"/>
    <mergeCell ref="BLW307:BLW308"/>
    <mergeCell ref="BLZ307:BLZ308"/>
    <mergeCell ref="BMH307:BMH308"/>
    <mergeCell ref="BMI307:BMI310"/>
    <mergeCell ref="BMJ307:BMJ310"/>
    <mergeCell ref="BML307:BML308"/>
    <mergeCell ref="BMM307:BMM308"/>
    <mergeCell ref="BMP307:BMP308"/>
    <mergeCell ref="BMX307:BMX308"/>
    <mergeCell ref="BMY307:BMY310"/>
    <mergeCell ref="BMZ307:BMZ310"/>
    <mergeCell ref="BNB307:BNB308"/>
    <mergeCell ref="BNC307:BNC308"/>
    <mergeCell ref="BNF307:BNF308"/>
    <mergeCell ref="BNN307:BNN308"/>
    <mergeCell ref="BNO307:BNO310"/>
    <mergeCell ref="BLV309:BLV310"/>
    <mergeCell ref="BLW309:BLW310"/>
    <mergeCell ref="BLZ309:BLZ310"/>
    <mergeCell ref="BMH309:BMH310"/>
    <mergeCell ref="BML309:BML310"/>
    <mergeCell ref="BMM309:BMM310"/>
    <mergeCell ref="BMP309:BMP310"/>
    <mergeCell ref="BMX309:BMX310"/>
    <mergeCell ref="BNB309:BNB310"/>
    <mergeCell ref="BNC309:BNC310"/>
    <mergeCell ref="BNF309:BNF310"/>
    <mergeCell ref="BNN309:BNN310"/>
    <mergeCell ref="BKA307:BKA308"/>
    <mergeCell ref="BKD307:BKD308"/>
    <mergeCell ref="BKL307:BKL308"/>
    <mergeCell ref="BKM307:BKM310"/>
    <mergeCell ref="BKN307:BKN310"/>
    <mergeCell ref="BKP307:BKP308"/>
    <mergeCell ref="BKQ307:BKQ308"/>
    <mergeCell ref="BKT307:BKT308"/>
    <mergeCell ref="BLB307:BLB308"/>
    <mergeCell ref="BLC307:BLC310"/>
    <mergeCell ref="BLD307:BLD310"/>
    <mergeCell ref="BLF307:BLF308"/>
    <mergeCell ref="BLG307:BLG308"/>
    <mergeCell ref="BLJ307:BLJ308"/>
    <mergeCell ref="BLR307:BLR308"/>
    <mergeCell ref="BLS307:BLS310"/>
    <mergeCell ref="BLT307:BLT310"/>
    <mergeCell ref="BKA309:BKA310"/>
    <mergeCell ref="BKD309:BKD310"/>
    <mergeCell ref="BKL309:BKL310"/>
    <mergeCell ref="BKP309:BKP310"/>
    <mergeCell ref="BKQ309:BKQ310"/>
    <mergeCell ref="BKT309:BKT310"/>
    <mergeCell ref="BLB309:BLB310"/>
    <mergeCell ref="BLF309:BLF310"/>
    <mergeCell ref="BLG309:BLG310"/>
    <mergeCell ref="BLJ309:BLJ310"/>
    <mergeCell ref="BLR309:BLR310"/>
    <mergeCell ref="BIH307:BIH308"/>
    <mergeCell ref="BIP307:BIP308"/>
    <mergeCell ref="BIQ307:BIQ310"/>
    <mergeCell ref="BIR307:BIR310"/>
    <mergeCell ref="BIT307:BIT308"/>
    <mergeCell ref="BIU307:BIU308"/>
    <mergeCell ref="BIX307:BIX308"/>
    <mergeCell ref="BJF307:BJF308"/>
    <mergeCell ref="BJG307:BJG310"/>
    <mergeCell ref="BJH307:BJH310"/>
    <mergeCell ref="BJJ307:BJJ308"/>
    <mergeCell ref="BJK307:BJK308"/>
    <mergeCell ref="BJN307:BJN308"/>
    <mergeCell ref="BJV307:BJV308"/>
    <mergeCell ref="BJW307:BJW310"/>
    <mergeCell ref="BJX307:BJX310"/>
    <mergeCell ref="BJZ307:BJZ308"/>
    <mergeCell ref="BIH309:BIH310"/>
    <mergeCell ref="BIP309:BIP310"/>
    <mergeCell ref="BIT309:BIT310"/>
    <mergeCell ref="BIU309:BIU310"/>
    <mergeCell ref="BIX309:BIX310"/>
    <mergeCell ref="BJF309:BJF310"/>
    <mergeCell ref="BJJ309:BJJ310"/>
    <mergeCell ref="BJK309:BJK310"/>
    <mergeCell ref="BJN309:BJN310"/>
    <mergeCell ref="BJV309:BJV310"/>
    <mergeCell ref="BJZ309:BJZ310"/>
    <mergeCell ref="BGT307:BGT308"/>
    <mergeCell ref="BGU307:BGU310"/>
    <mergeCell ref="BGV307:BGV310"/>
    <mergeCell ref="BGX307:BGX308"/>
    <mergeCell ref="BGY307:BGY308"/>
    <mergeCell ref="BHB307:BHB308"/>
    <mergeCell ref="BHJ307:BHJ308"/>
    <mergeCell ref="BHK307:BHK310"/>
    <mergeCell ref="BHL307:BHL310"/>
    <mergeCell ref="BHN307:BHN308"/>
    <mergeCell ref="BHO307:BHO308"/>
    <mergeCell ref="BHR307:BHR308"/>
    <mergeCell ref="BHZ307:BHZ308"/>
    <mergeCell ref="BIA307:BIA310"/>
    <mergeCell ref="BIB307:BIB310"/>
    <mergeCell ref="BID307:BID308"/>
    <mergeCell ref="BIE307:BIE308"/>
    <mergeCell ref="BGT309:BGT310"/>
    <mergeCell ref="BGX309:BGX310"/>
    <mergeCell ref="BGY309:BGY310"/>
    <mergeCell ref="BHB309:BHB310"/>
    <mergeCell ref="BHJ309:BHJ310"/>
    <mergeCell ref="BHN309:BHN310"/>
    <mergeCell ref="BHO309:BHO310"/>
    <mergeCell ref="BHR309:BHR310"/>
    <mergeCell ref="BHZ309:BHZ310"/>
    <mergeCell ref="BID309:BID310"/>
    <mergeCell ref="BIE309:BIE310"/>
    <mergeCell ref="BEY307:BEY310"/>
    <mergeCell ref="BEZ307:BEZ310"/>
    <mergeCell ref="BFB307:BFB308"/>
    <mergeCell ref="BFC307:BFC308"/>
    <mergeCell ref="BFF307:BFF308"/>
    <mergeCell ref="BFN307:BFN308"/>
    <mergeCell ref="BFO307:BFO310"/>
    <mergeCell ref="BFP307:BFP310"/>
    <mergeCell ref="BFR307:BFR308"/>
    <mergeCell ref="BFS307:BFS308"/>
    <mergeCell ref="BFV307:BFV308"/>
    <mergeCell ref="BGD307:BGD308"/>
    <mergeCell ref="BGE307:BGE310"/>
    <mergeCell ref="BGF307:BGF310"/>
    <mergeCell ref="BGH307:BGH308"/>
    <mergeCell ref="BGI307:BGI308"/>
    <mergeCell ref="BGL307:BGL308"/>
    <mergeCell ref="BFB309:BFB310"/>
    <mergeCell ref="BFC309:BFC310"/>
    <mergeCell ref="BFF309:BFF310"/>
    <mergeCell ref="BFN309:BFN310"/>
    <mergeCell ref="BFR309:BFR310"/>
    <mergeCell ref="BFS309:BFS310"/>
    <mergeCell ref="BFV309:BFV310"/>
    <mergeCell ref="BGD309:BGD310"/>
    <mergeCell ref="BGH309:BGH310"/>
    <mergeCell ref="BGI309:BGI310"/>
    <mergeCell ref="BGL309:BGL310"/>
    <mergeCell ref="BDD307:BDD310"/>
    <mergeCell ref="BDF307:BDF308"/>
    <mergeCell ref="BDG307:BDG308"/>
    <mergeCell ref="BDJ307:BDJ308"/>
    <mergeCell ref="BDR307:BDR308"/>
    <mergeCell ref="BDS307:BDS310"/>
    <mergeCell ref="BDT307:BDT310"/>
    <mergeCell ref="BDV307:BDV308"/>
    <mergeCell ref="BDW307:BDW308"/>
    <mergeCell ref="BDZ307:BDZ308"/>
    <mergeCell ref="BEH307:BEH308"/>
    <mergeCell ref="BEI307:BEI310"/>
    <mergeCell ref="BEJ307:BEJ310"/>
    <mergeCell ref="BEL307:BEL308"/>
    <mergeCell ref="BEM307:BEM308"/>
    <mergeCell ref="BEP307:BEP308"/>
    <mergeCell ref="BEX307:BEX308"/>
    <mergeCell ref="BDF309:BDF310"/>
    <mergeCell ref="BDG309:BDG310"/>
    <mergeCell ref="BDJ309:BDJ310"/>
    <mergeCell ref="BDR309:BDR310"/>
    <mergeCell ref="BDV309:BDV310"/>
    <mergeCell ref="BDW309:BDW310"/>
    <mergeCell ref="BDZ309:BDZ310"/>
    <mergeCell ref="BEH309:BEH310"/>
    <mergeCell ref="BEL309:BEL310"/>
    <mergeCell ref="BEM309:BEM310"/>
    <mergeCell ref="BEP309:BEP310"/>
    <mergeCell ref="BEX309:BEX310"/>
    <mergeCell ref="BBJ307:BBJ308"/>
    <mergeCell ref="BBK307:BBK308"/>
    <mergeCell ref="BBN307:BBN308"/>
    <mergeCell ref="BBV307:BBV308"/>
    <mergeCell ref="BBW307:BBW310"/>
    <mergeCell ref="BBX307:BBX310"/>
    <mergeCell ref="BBZ307:BBZ308"/>
    <mergeCell ref="BCA307:BCA308"/>
    <mergeCell ref="BCD307:BCD308"/>
    <mergeCell ref="BCL307:BCL308"/>
    <mergeCell ref="BCM307:BCM310"/>
    <mergeCell ref="BCN307:BCN310"/>
    <mergeCell ref="BCP307:BCP308"/>
    <mergeCell ref="BCQ307:BCQ308"/>
    <mergeCell ref="BCT307:BCT308"/>
    <mergeCell ref="BDB307:BDB308"/>
    <mergeCell ref="BDC307:BDC310"/>
    <mergeCell ref="BBJ309:BBJ310"/>
    <mergeCell ref="BBK309:BBK310"/>
    <mergeCell ref="BBN309:BBN310"/>
    <mergeCell ref="BBV309:BBV310"/>
    <mergeCell ref="BBZ309:BBZ310"/>
    <mergeCell ref="BCA309:BCA310"/>
    <mergeCell ref="BCD309:BCD310"/>
    <mergeCell ref="BCL309:BCL310"/>
    <mergeCell ref="BCP309:BCP310"/>
    <mergeCell ref="BCQ309:BCQ310"/>
    <mergeCell ref="BCT309:BCT310"/>
    <mergeCell ref="BDB309:BDB310"/>
    <mergeCell ref="AZO307:AZO308"/>
    <mergeCell ref="AZR307:AZR308"/>
    <mergeCell ref="AZZ307:AZZ308"/>
    <mergeCell ref="BAA307:BAA310"/>
    <mergeCell ref="BAB307:BAB310"/>
    <mergeCell ref="BAD307:BAD308"/>
    <mergeCell ref="BAE307:BAE308"/>
    <mergeCell ref="BAH307:BAH308"/>
    <mergeCell ref="BAP307:BAP308"/>
    <mergeCell ref="BAQ307:BAQ310"/>
    <mergeCell ref="BAR307:BAR310"/>
    <mergeCell ref="BAT307:BAT308"/>
    <mergeCell ref="BAU307:BAU308"/>
    <mergeCell ref="BAX307:BAX308"/>
    <mergeCell ref="BBF307:BBF308"/>
    <mergeCell ref="BBG307:BBG310"/>
    <mergeCell ref="BBH307:BBH310"/>
    <mergeCell ref="AZO309:AZO310"/>
    <mergeCell ref="AZR309:AZR310"/>
    <mergeCell ref="AZZ309:AZZ310"/>
    <mergeCell ref="BAD309:BAD310"/>
    <mergeCell ref="BAE309:BAE310"/>
    <mergeCell ref="BAH309:BAH310"/>
    <mergeCell ref="BAP309:BAP310"/>
    <mergeCell ref="BAT309:BAT310"/>
    <mergeCell ref="BAU309:BAU310"/>
    <mergeCell ref="BAX309:BAX310"/>
    <mergeCell ref="BBF309:BBF310"/>
    <mergeCell ref="AXV307:AXV308"/>
    <mergeCell ref="AYD307:AYD308"/>
    <mergeCell ref="AYE307:AYE310"/>
    <mergeCell ref="AYF307:AYF310"/>
    <mergeCell ref="AYH307:AYH308"/>
    <mergeCell ref="AYI307:AYI308"/>
    <mergeCell ref="AYL307:AYL308"/>
    <mergeCell ref="AYT307:AYT308"/>
    <mergeCell ref="AYU307:AYU310"/>
    <mergeCell ref="AYV307:AYV310"/>
    <mergeCell ref="AYX307:AYX308"/>
    <mergeCell ref="AYY307:AYY308"/>
    <mergeCell ref="AZB307:AZB308"/>
    <mergeCell ref="AZJ307:AZJ308"/>
    <mergeCell ref="AZK307:AZK310"/>
    <mergeCell ref="AZL307:AZL310"/>
    <mergeCell ref="AZN307:AZN308"/>
    <mergeCell ref="AXV309:AXV310"/>
    <mergeCell ref="AYD309:AYD310"/>
    <mergeCell ref="AYH309:AYH310"/>
    <mergeCell ref="AYI309:AYI310"/>
    <mergeCell ref="AYL309:AYL310"/>
    <mergeCell ref="AYT309:AYT310"/>
    <mergeCell ref="AYX309:AYX310"/>
    <mergeCell ref="AYY309:AYY310"/>
    <mergeCell ref="AZB309:AZB310"/>
    <mergeCell ref="AZJ309:AZJ310"/>
    <mergeCell ref="AZN309:AZN310"/>
    <mergeCell ref="AWH307:AWH308"/>
    <mergeCell ref="AWI307:AWI310"/>
    <mergeCell ref="AWJ307:AWJ310"/>
    <mergeCell ref="AWL307:AWL308"/>
    <mergeCell ref="AWM307:AWM308"/>
    <mergeCell ref="AWP307:AWP308"/>
    <mergeCell ref="AWX307:AWX308"/>
    <mergeCell ref="AWY307:AWY310"/>
    <mergeCell ref="AWZ307:AWZ310"/>
    <mergeCell ref="AXB307:AXB308"/>
    <mergeCell ref="AXC307:AXC308"/>
    <mergeCell ref="AXF307:AXF308"/>
    <mergeCell ref="AXN307:AXN308"/>
    <mergeCell ref="AXO307:AXO310"/>
    <mergeCell ref="AXP307:AXP310"/>
    <mergeCell ref="AXR307:AXR308"/>
    <mergeCell ref="AXS307:AXS308"/>
    <mergeCell ref="AWH309:AWH310"/>
    <mergeCell ref="AWL309:AWL310"/>
    <mergeCell ref="AWM309:AWM310"/>
    <mergeCell ref="AWP309:AWP310"/>
    <mergeCell ref="AWX309:AWX310"/>
    <mergeCell ref="AXB309:AXB310"/>
    <mergeCell ref="AXC309:AXC310"/>
    <mergeCell ref="AXF309:AXF310"/>
    <mergeCell ref="AXN309:AXN310"/>
    <mergeCell ref="AXR309:AXR310"/>
    <mergeCell ref="AXS309:AXS310"/>
    <mergeCell ref="AUM307:AUM310"/>
    <mergeCell ref="AUN307:AUN310"/>
    <mergeCell ref="AUP307:AUP308"/>
    <mergeCell ref="AUQ307:AUQ308"/>
    <mergeCell ref="AUT307:AUT308"/>
    <mergeCell ref="AVB307:AVB308"/>
    <mergeCell ref="AVC307:AVC310"/>
    <mergeCell ref="AVD307:AVD310"/>
    <mergeCell ref="AVF307:AVF308"/>
    <mergeCell ref="AVG307:AVG308"/>
    <mergeCell ref="AVJ307:AVJ308"/>
    <mergeCell ref="AVR307:AVR308"/>
    <mergeCell ref="AVS307:AVS310"/>
    <mergeCell ref="AVT307:AVT310"/>
    <mergeCell ref="AVV307:AVV308"/>
    <mergeCell ref="AVW307:AVW308"/>
    <mergeCell ref="AVZ307:AVZ308"/>
    <mergeCell ref="AUP309:AUP310"/>
    <mergeCell ref="AUQ309:AUQ310"/>
    <mergeCell ref="AUT309:AUT310"/>
    <mergeCell ref="AVB309:AVB310"/>
    <mergeCell ref="AVF309:AVF310"/>
    <mergeCell ref="AVG309:AVG310"/>
    <mergeCell ref="AVJ309:AVJ310"/>
    <mergeCell ref="AVR309:AVR310"/>
    <mergeCell ref="AVV309:AVV310"/>
    <mergeCell ref="AVW309:AVW310"/>
    <mergeCell ref="AVZ309:AVZ310"/>
    <mergeCell ref="ASR307:ASR310"/>
    <mergeCell ref="AST307:AST308"/>
    <mergeCell ref="ASU307:ASU308"/>
    <mergeCell ref="ASX307:ASX308"/>
    <mergeCell ref="ATF307:ATF308"/>
    <mergeCell ref="ATG307:ATG310"/>
    <mergeCell ref="ATH307:ATH310"/>
    <mergeCell ref="ATJ307:ATJ308"/>
    <mergeCell ref="ATK307:ATK308"/>
    <mergeCell ref="ATN307:ATN308"/>
    <mergeCell ref="ATV307:ATV308"/>
    <mergeCell ref="ATW307:ATW310"/>
    <mergeCell ref="ATX307:ATX310"/>
    <mergeCell ref="ATZ307:ATZ308"/>
    <mergeCell ref="AUA307:AUA308"/>
    <mergeCell ref="AUD307:AUD308"/>
    <mergeCell ref="AUL307:AUL308"/>
    <mergeCell ref="AST309:AST310"/>
    <mergeCell ref="ASU309:ASU310"/>
    <mergeCell ref="ASX309:ASX310"/>
    <mergeCell ref="ATF309:ATF310"/>
    <mergeCell ref="ATJ309:ATJ310"/>
    <mergeCell ref="ATK309:ATK310"/>
    <mergeCell ref="ATN309:ATN310"/>
    <mergeCell ref="ATV309:ATV310"/>
    <mergeCell ref="ATZ309:ATZ310"/>
    <mergeCell ref="AUA309:AUA310"/>
    <mergeCell ref="AUD309:AUD310"/>
    <mergeCell ref="AUL309:AUL310"/>
    <mergeCell ref="AQX307:AQX308"/>
    <mergeCell ref="AQY307:AQY308"/>
    <mergeCell ref="ARB307:ARB308"/>
    <mergeCell ref="ARJ307:ARJ308"/>
    <mergeCell ref="ARK307:ARK310"/>
    <mergeCell ref="ARL307:ARL310"/>
    <mergeCell ref="ARN307:ARN308"/>
    <mergeCell ref="ARO307:ARO308"/>
    <mergeCell ref="ARR307:ARR308"/>
    <mergeCell ref="ARZ307:ARZ308"/>
    <mergeCell ref="ASA307:ASA310"/>
    <mergeCell ref="ASB307:ASB310"/>
    <mergeCell ref="ASD307:ASD308"/>
    <mergeCell ref="ASE307:ASE308"/>
    <mergeCell ref="ASH307:ASH308"/>
    <mergeCell ref="ASP307:ASP308"/>
    <mergeCell ref="ASQ307:ASQ310"/>
    <mergeCell ref="AQX309:AQX310"/>
    <mergeCell ref="AQY309:AQY310"/>
    <mergeCell ref="ARB309:ARB310"/>
    <mergeCell ref="ARJ309:ARJ310"/>
    <mergeCell ref="ARN309:ARN310"/>
    <mergeCell ref="ARO309:ARO310"/>
    <mergeCell ref="ARR309:ARR310"/>
    <mergeCell ref="ARZ309:ARZ310"/>
    <mergeCell ref="ASD309:ASD310"/>
    <mergeCell ref="ASE309:ASE310"/>
    <mergeCell ref="ASH309:ASH310"/>
    <mergeCell ref="ASP309:ASP310"/>
    <mergeCell ref="APC307:APC308"/>
    <mergeCell ref="APF307:APF308"/>
    <mergeCell ref="APN307:APN308"/>
    <mergeCell ref="APO307:APO310"/>
    <mergeCell ref="APP307:APP310"/>
    <mergeCell ref="APR307:APR308"/>
    <mergeCell ref="APS307:APS308"/>
    <mergeCell ref="APV307:APV308"/>
    <mergeCell ref="AQD307:AQD308"/>
    <mergeCell ref="AQE307:AQE310"/>
    <mergeCell ref="AQF307:AQF310"/>
    <mergeCell ref="AQH307:AQH308"/>
    <mergeCell ref="AQI307:AQI308"/>
    <mergeCell ref="AQL307:AQL308"/>
    <mergeCell ref="AQT307:AQT308"/>
    <mergeCell ref="AQU307:AQU310"/>
    <mergeCell ref="AQV307:AQV310"/>
    <mergeCell ref="APC309:APC310"/>
    <mergeCell ref="APF309:APF310"/>
    <mergeCell ref="APN309:APN310"/>
    <mergeCell ref="APR309:APR310"/>
    <mergeCell ref="APS309:APS310"/>
    <mergeCell ref="APV309:APV310"/>
    <mergeCell ref="AQD309:AQD310"/>
    <mergeCell ref="AQH309:AQH310"/>
    <mergeCell ref="AQI309:AQI310"/>
    <mergeCell ref="AQL309:AQL310"/>
    <mergeCell ref="AQT309:AQT310"/>
    <mergeCell ref="ANJ307:ANJ308"/>
    <mergeCell ref="ANR307:ANR308"/>
    <mergeCell ref="ANS307:ANS310"/>
    <mergeCell ref="ANT307:ANT310"/>
    <mergeCell ref="ANV307:ANV308"/>
    <mergeCell ref="ANW307:ANW308"/>
    <mergeCell ref="ANZ307:ANZ308"/>
    <mergeCell ref="AOH307:AOH308"/>
    <mergeCell ref="AOI307:AOI310"/>
    <mergeCell ref="AOJ307:AOJ310"/>
    <mergeCell ref="AOL307:AOL308"/>
    <mergeCell ref="AOM307:AOM308"/>
    <mergeCell ref="AOP307:AOP308"/>
    <mergeCell ref="AOX307:AOX308"/>
    <mergeCell ref="AOY307:AOY310"/>
    <mergeCell ref="AOZ307:AOZ310"/>
    <mergeCell ref="APB307:APB308"/>
    <mergeCell ref="ANJ309:ANJ310"/>
    <mergeCell ref="ANR309:ANR310"/>
    <mergeCell ref="ANV309:ANV310"/>
    <mergeCell ref="ANW309:ANW310"/>
    <mergeCell ref="ANZ309:ANZ310"/>
    <mergeCell ref="AOH309:AOH310"/>
    <mergeCell ref="AOL309:AOL310"/>
    <mergeCell ref="AOM309:AOM310"/>
    <mergeCell ref="AOP309:AOP310"/>
    <mergeCell ref="AOX309:AOX310"/>
    <mergeCell ref="APB309:APB310"/>
    <mergeCell ref="ALV307:ALV308"/>
    <mergeCell ref="ALW307:ALW310"/>
    <mergeCell ref="ALX307:ALX310"/>
    <mergeCell ref="ALZ307:ALZ308"/>
    <mergeCell ref="AMA307:AMA308"/>
    <mergeCell ref="AMD307:AMD308"/>
    <mergeCell ref="AML307:AML308"/>
    <mergeCell ref="AMM307:AMM310"/>
    <mergeCell ref="AMN307:AMN310"/>
    <mergeCell ref="AMP307:AMP308"/>
    <mergeCell ref="AMQ307:AMQ308"/>
    <mergeCell ref="AMT307:AMT308"/>
    <mergeCell ref="ANB307:ANB308"/>
    <mergeCell ref="ANC307:ANC310"/>
    <mergeCell ref="AND307:AND310"/>
    <mergeCell ref="ANF307:ANF308"/>
    <mergeCell ref="ANG307:ANG308"/>
    <mergeCell ref="ALV309:ALV310"/>
    <mergeCell ref="ALZ309:ALZ310"/>
    <mergeCell ref="AMA309:AMA310"/>
    <mergeCell ref="AMD309:AMD310"/>
    <mergeCell ref="AML309:AML310"/>
    <mergeCell ref="AMP309:AMP310"/>
    <mergeCell ref="AMQ309:AMQ310"/>
    <mergeCell ref="AMT309:AMT310"/>
    <mergeCell ref="ANB309:ANB310"/>
    <mergeCell ref="ANF309:ANF310"/>
    <mergeCell ref="ANG309:ANG310"/>
    <mergeCell ref="AKA307:AKA310"/>
    <mergeCell ref="AKB307:AKB310"/>
    <mergeCell ref="AKD307:AKD308"/>
    <mergeCell ref="AKE307:AKE308"/>
    <mergeCell ref="AKH307:AKH308"/>
    <mergeCell ref="AKP307:AKP308"/>
    <mergeCell ref="AKQ307:AKQ310"/>
    <mergeCell ref="AKR307:AKR310"/>
    <mergeCell ref="AKT307:AKT308"/>
    <mergeCell ref="AKU307:AKU308"/>
    <mergeCell ref="AKX307:AKX308"/>
    <mergeCell ref="ALF307:ALF308"/>
    <mergeCell ref="ALG307:ALG310"/>
    <mergeCell ref="ALH307:ALH310"/>
    <mergeCell ref="ALJ307:ALJ308"/>
    <mergeCell ref="ALK307:ALK308"/>
    <mergeCell ref="ALN307:ALN308"/>
    <mergeCell ref="AKD309:AKD310"/>
    <mergeCell ref="AKE309:AKE310"/>
    <mergeCell ref="AKH309:AKH310"/>
    <mergeCell ref="AKP309:AKP310"/>
    <mergeCell ref="AKT309:AKT310"/>
    <mergeCell ref="AKU309:AKU310"/>
    <mergeCell ref="AKX309:AKX310"/>
    <mergeCell ref="ALF309:ALF310"/>
    <mergeCell ref="ALJ309:ALJ310"/>
    <mergeCell ref="ALK309:ALK310"/>
    <mergeCell ref="ALN309:ALN310"/>
    <mergeCell ref="AIF307:AIF310"/>
    <mergeCell ref="AIH307:AIH308"/>
    <mergeCell ref="AII307:AII308"/>
    <mergeCell ref="AIL307:AIL308"/>
    <mergeCell ref="AIT307:AIT308"/>
    <mergeCell ref="AIU307:AIU310"/>
    <mergeCell ref="AIV307:AIV310"/>
    <mergeCell ref="AIX307:AIX308"/>
    <mergeCell ref="AIY307:AIY308"/>
    <mergeCell ref="AJB307:AJB308"/>
    <mergeCell ref="AJJ307:AJJ308"/>
    <mergeCell ref="AJK307:AJK310"/>
    <mergeCell ref="AJL307:AJL310"/>
    <mergeCell ref="AJN307:AJN308"/>
    <mergeCell ref="AJO307:AJO308"/>
    <mergeCell ref="AJR307:AJR308"/>
    <mergeCell ref="AJZ307:AJZ308"/>
    <mergeCell ref="AIH309:AIH310"/>
    <mergeCell ref="AII309:AII310"/>
    <mergeCell ref="AIL309:AIL310"/>
    <mergeCell ref="AIT309:AIT310"/>
    <mergeCell ref="AIX309:AIX310"/>
    <mergeCell ref="AIY309:AIY310"/>
    <mergeCell ref="AJB309:AJB310"/>
    <mergeCell ref="AJJ309:AJJ310"/>
    <mergeCell ref="AJN309:AJN310"/>
    <mergeCell ref="AJO309:AJO310"/>
    <mergeCell ref="AJR309:AJR310"/>
    <mergeCell ref="AJZ309:AJZ310"/>
    <mergeCell ref="AGL307:AGL308"/>
    <mergeCell ref="AGM307:AGM308"/>
    <mergeCell ref="AGP307:AGP308"/>
    <mergeCell ref="AGX307:AGX308"/>
    <mergeCell ref="AGY307:AGY310"/>
    <mergeCell ref="AGZ307:AGZ310"/>
    <mergeCell ref="AHB307:AHB308"/>
    <mergeCell ref="AHC307:AHC308"/>
    <mergeCell ref="AHF307:AHF308"/>
    <mergeCell ref="AHN307:AHN308"/>
    <mergeCell ref="AHO307:AHO310"/>
    <mergeCell ref="AHP307:AHP310"/>
    <mergeCell ref="AHR307:AHR308"/>
    <mergeCell ref="AHS307:AHS308"/>
    <mergeCell ref="AHV307:AHV308"/>
    <mergeCell ref="AID307:AID308"/>
    <mergeCell ref="AIE307:AIE310"/>
    <mergeCell ref="AGL309:AGL310"/>
    <mergeCell ref="AGM309:AGM310"/>
    <mergeCell ref="AGP309:AGP310"/>
    <mergeCell ref="AGX309:AGX310"/>
    <mergeCell ref="AHB309:AHB310"/>
    <mergeCell ref="AHC309:AHC310"/>
    <mergeCell ref="AHF309:AHF310"/>
    <mergeCell ref="AHN309:AHN310"/>
    <mergeCell ref="AHR309:AHR310"/>
    <mergeCell ref="AHS309:AHS310"/>
    <mergeCell ref="AHV309:AHV310"/>
    <mergeCell ref="AID309:AID310"/>
    <mergeCell ref="AEQ307:AEQ308"/>
    <mergeCell ref="AET307:AET308"/>
    <mergeCell ref="AFB307:AFB308"/>
    <mergeCell ref="AFC307:AFC310"/>
    <mergeCell ref="AFD307:AFD310"/>
    <mergeCell ref="AFF307:AFF308"/>
    <mergeCell ref="AFG307:AFG308"/>
    <mergeCell ref="AFJ307:AFJ308"/>
    <mergeCell ref="AFR307:AFR308"/>
    <mergeCell ref="AFS307:AFS310"/>
    <mergeCell ref="AFT307:AFT310"/>
    <mergeCell ref="AFV307:AFV308"/>
    <mergeCell ref="AFW307:AFW308"/>
    <mergeCell ref="AFZ307:AFZ308"/>
    <mergeCell ref="AGH307:AGH308"/>
    <mergeCell ref="AGI307:AGI310"/>
    <mergeCell ref="AGJ307:AGJ310"/>
    <mergeCell ref="AEQ309:AEQ310"/>
    <mergeCell ref="AET309:AET310"/>
    <mergeCell ref="AFB309:AFB310"/>
    <mergeCell ref="AFF309:AFF310"/>
    <mergeCell ref="AFG309:AFG310"/>
    <mergeCell ref="AFJ309:AFJ310"/>
    <mergeCell ref="AFR309:AFR310"/>
    <mergeCell ref="AFV309:AFV310"/>
    <mergeCell ref="AFW309:AFW310"/>
    <mergeCell ref="AFZ309:AFZ310"/>
    <mergeCell ref="AGH309:AGH310"/>
    <mergeCell ref="ACX307:ACX308"/>
    <mergeCell ref="ADF307:ADF308"/>
    <mergeCell ref="ADG307:ADG310"/>
    <mergeCell ref="ADH307:ADH310"/>
    <mergeCell ref="ADJ307:ADJ308"/>
    <mergeCell ref="ADK307:ADK308"/>
    <mergeCell ref="ADN307:ADN308"/>
    <mergeCell ref="ADV307:ADV308"/>
    <mergeCell ref="ADW307:ADW310"/>
    <mergeCell ref="ADX307:ADX310"/>
    <mergeCell ref="ADZ307:ADZ308"/>
    <mergeCell ref="AEA307:AEA308"/>
    <mergeCell ref="AED307:AED308"/>
    <mergeCell ref="AEL307:AEL308"/>
    <mergeCell ref="AEM307:AEM310"/>
    <mergeCell ref="AEN307:AEN310"/>
    <mergeCell ref="AEP307:AEP308"/>
    <mergeCell ref="ACX309:ACX310"/>
    <mergeCell ref="ADF309:ADF310"/>
    <mergeCell ref="ADJ309:ADJ310"/>
    <mergeCell ref="ADK309:ADK310"/>
    <mergeCell ref="ADN309:ADN310"/>
    <mergeCell ref="ADV309:ADV310"/>
    <mergeCell ref="ADZ309:ADZ310"/>
    <mergeCell ref="AEA309:AEA310"/>
    <mergeCell ref="AED309:AED310"/>
    <mergeCell ref="AEL309:AEL310"/>
    <mergeCell ref="AEP309:AEP310"/>
    <mergeCell ref="ABJ307:ABJ308"/>
    <mergeCell ref="ABK307:ABK310"/>
    <mergeCell ref="ABL307:ABL310"/>
    <mergeCell ref="ABN307:ABN308"/>
    <mergeCell ref="ABO307:ABO308"/>
    <mergeCell ref="ABR307:ABR308"/>
    <mergeCell ref="ABZ307:ABZ308"/>
    <mergeCell ref="ACA307:ACA310"/>
    <mergeCell ref="ACB307:ACB310"/>
    <mergeCell ref="ACD307:ACD308"/>
    <mergeCell ref="ACE307:ACE308"/>
    <mergeCell ref="ACH307:ACH308"/>
    <mergeCell ref="ACP307:ACP308"/>
    <mergeCell ref="ACQ307:ACQ310"/>
    <mergeCell ref="ACR307:ACR310"/>
    <mergeCell ref="ACT307:ACT308"/>
    <mergeCell ref="ACU307:ACU308"/>
    <mergeCell ref="ABJ309:ABJ310"/>
    <mergeCell ref="ABN309:ABN310"/>
    <mergeCell ref="ABO309:ABO310"/>
    <mergeCell ref="ABR309:ABR310"/>
    <mergeCell ref="ABZ309:ABZ310"/>
    <mergeCell ref="ACD309:ACD310"/>
    <mergeCell ref="ACE309:ACE310"/>
    <mergeCell ref="ACH309:ACH310"/>
    <mergeCell ref="ACP309:ACP310"/>
    <mergeCell ref="ACT309:ACT310"/>
    <mergeCell ref="ACU309:ACU310"/>
    <mergeCell ref="ZO307:ZO310"/>
    <mergeCell ref="ZP307:ZP310"/>
    <mergeCell ref="ZR307:ZR308"/>
    <mergeCell ref="ZS307:ZS308"/>
    <mergeCell ref="ZV307:ZV308"/>
    <mergeCell ref="AAD307:AAD308"/>
    <mergeCell ref="AAE307:AAE310"/>
    <mergeCell ref="AAF307:AAF310"/>
    <mergeCell ref="AAH307:AAH308"/>
    <mergeCell ref="AAI307:AAI308"/>
    <mergeCell ref="AAL307:AAL308"/>
    <mergeCell ref="AAT307:AAT308"/>
    <mergeCell ref="AAU307:AAU310"/>
    <mergeCell ref="AAV307:AAV310"/>
    <mergeCell ref="AAX307:AAX308"/>
    <mergeCell ref="AAY307:AAY308"/>
    <mergeCell ref="ABB307:ABB308"/>
    <mergeCell ref="ZR309:ZR310"/>
    <mergeCell ref="ZS309:ZS310"/>
    <mergeCell ref="ZV309:ZV310"/>
    <mergeCell ref="AAD309:AAD310"/>
    <mergeCell ref="AAH309:AAH310"/>
    <mergeCell ref="AAI309:AAI310"/>
    <mergeCell ref="AAL309:AAL310"/>
    <mergeCell ref="AAT309:AAT310"/>
    <mergeCell ref="AAX309:AAX310"/>
    <mergeCell ref="AAY309:AAY310"/>
    <mergeCell ref="ABB309:ABB310"/>
    <mergeCell ref="XT307:XT310"/>
    <mergeCell ref="XV307:XV308"/>
    <mergeCell ref="XW307:XW308"/>
    <mergeCell ref="XZ307:XZ308"/>
    <mergeCell ref="YH307:YH308"/>
    <mergeCell ref="YI307:YI310"/>
    <mergeCell ref="YJ307:YJ310"/>
    <mergeCell ref="YL307:YL308"/>
    <mergeCell ref="YM307:YM308"/>
    <mergeCell ref="YP307:YP308"/>
    <mergeCell ref="YX307:YX308"/>
    <mergeCell ref="YY307:YY310"/>
    <mergeCell ref="YZ307:YZ310"/>
    <mergeCell ref="ZB307:ZB308"/>
    <mergeCell ref="ZC307:ZC308"/>
    <mergeCell ref="ZF307:ZF308"/>
    <mergeCell ref="ZN307:ZN308"/>
    <mergeCell ref="XV309:XV310"/>
    <mergeCell ref="XW309:XW310"/>
    <mergeCell ref="XZ309:XZ310"/>
    <mergeCell ref="YH309:YH310"/>
    <mergeCell ref="YL309:YL310"/>
    <mergeCell ref="YM309:YM310"/>
    <mergeCell ref="YP309:YP310"/>
    <mergeCell ref="YX309:YX310"/>
    <mergeCell ref="ZB309:ZB310"/>
    <mergeCell ref="ZC309:ZC310"/>
    <mergeCell ref="ZF309:ZF310"/>
    <mergeCell ref="ZN309:ZN310"/>
    <mergeCell ref="VZ307:VZ308"/>
    <mergeCell ref="WA307:WA308"/>
    <mergeCell ref="WD307:WD308"/>
    <mergeCell ref="WL307:WL308"/>
    <mergeCell ref="WM307:WM310"/>
    <mergeCell ref="WN307:WN310"/>
    <mergeCell ref="WP307:WP308"/>
    <mergeCell ref="WQ307:WQ308"/>
    <mergeCell ref="WT307:WT308"/>
    <mergeCell ref="XB307:XB308"/>
    <mergeCell ref="XC307:XC310"/>
    <mergeCell ref="XD307:XD310"/>
    <mergeCell ref="XF307:XF308"/>
    <mergeCell ref="XG307:XG308"/>
    <mergeCell ref="XJ307:XJ308"/>
    <mergeCell ref="XR307:XR308"/>
    <mergeCell ref="XS307:XS310"/>
    <mergeCell ref="VZ309:VZ310"/>
    <mergeCell ref="WA309:WA310"/>
    <mergeCell ref="WD309:WD310"/>
    <mergeCell ref="WL309:WL310"/>
    <mergeCell ref="WP309:WP310"/>
    <mergeCell ref="WQ309:WQ310"/>
    <mergeCell ref="WT309:WT310"/>
    <mergeCell ref="XB309:XB310"/>
    <mergeCell ref="XF309:XF310"/>
    <mergeCell ref="XG309:XG310"/>
    <mergeCell ref="XJ309:XJ310"/>
    <mergeCell ref="XR309:XR310"/>
    <mergeCell ref="UE307:UE308"/>
    <mergeCell ref="UH307:UH308"/>
    <mergeCell ref="UP307:UP308"/>
    <mergeCell ref="UQ307:UQ310"/>
    <mergeCell ref="UR307:UR310"/>
    <mergeCell ref="UT307:UT308"/>
    <mergeCell ref="UU307:UU308"/>
    <mergeCell ref="UX307:UX308"/>
    <mergeCell ref="VF307:VF308"/>
    <mergeCell ref="VG307:VG310"/>
    <mergeCell ref="VH307:VH310"/>
    <mergeCell ref="VJ307:VJ308"/>
    <mergeCell ref="VK307:VK308"/>
    <mergeCell ref="VN307:VN308"/>
    <mergeCell ref="VV307:VV308"/>
    <mergeCell ref="VW307:VW310"/>
    <mergeCell ref="VX307:VX310"/>
    <mergeCell ref="UE309:UE310"/>
    <mergeCell ref="UH309:UH310"/>
    <mergeCell ref="UP309:UP310"/>
    <mergeCell ref="UT309:UT310"/>
    <mergeCell ref="UU309:UU310"/>
    <mergeCell ref="UX309:UX310"/>
    <mergeCell ref="VF309:VF310"/>
    <mergeCell ref="VJ309:VJ310"/>
    <mergeCell ref="VK309:VK310"/>
    <mergeCell ref="VN309:VN310"/>
    <mergeCell ref="VV309:VV310"/>
    <mergeCell ref="SL307:SL308"/>
    <mergeCell ref="ST307:ST308"/>
    <mergeCell ref="SU307:SU310"/>
    <mergeCell ref="SV307:SV310"/>
    <mergeCell ref="SX307:SX308"/>
    <mergeCell ref="SY307:SY308"/>
    <mergeCell ref="TB307:TB308"/>
    <mergeCell ref="TJ307:TJ308"/>
    <mergeCell ref="TK307:TK310"/>
    <mergeCell ref="TL307:TL310"/>
    <mergeCell ref="TN307:TN308"/>
    <mergeCell ref="TO307:TO308"/>
    <mergeCell ref="TR307:TR308"/>
    <mergeCell ref="TZ307:TZ308"/>
    <mergeCell ref="UA307:UA310"/>
    <mergeCell ref="UB307:UB310"/>
    <mergeCell ref="UD307:UD308"/>
    <mergeCell ref="SL309:SL310"/>
    <mergeCell ref="ST309:ST310"/>
    <mergeCell ref="SX309:SX310"/>
    <mergeCell ref="SY309:SY310"/>
    <mergeCell ref="TB309:TB310"/>
    <mergeCell ref="TJ309:TJ310"/>
    <mergeCell ref="TN309:TN310"/>
    <mergeCell ref="TO309:TO310"/>
    <mergeCell ref="TR309:TR310"/>
    <mergeCell ref="TZ309:TZ310"/>
    <mergeCell ref="UD309:UD310"/>
    <mergeCell ref="QX307:QX308"/>
    <mergeCell ref="QY307:QY310"/>
    <mergeCell ref="QZ307:QZ310"/>
    <mergeCell ref="RB307:RB308"/>
    <mergeCell ref="RC307:RC308"/>
    <mergeCell ref="RF307:RF308"/>
    <mergeCell ref="RN307:RN308"/>
    <mergeCell ref="RO307:RO310"/>
    <mergeCell ref="RP307:RP310"/>
    <mergeCell ref="RR307:RR308"/>
    <mergeCell ref="RS307:RS308"/>
    <mergeCell ref="RV307:RV308"/>
    <mergeCell ref="SD307:SD308"/>
    <mergeCell ref="SE307:SE310"/>
    <mergeCell ref="SF307:SF310"/>
    <mergeCell ref="SH307:SH308"/>
    <mergeCell ref="SI307:SI308"/>
    <mergeCell ref="QX309:QX310"/>
    <mergeCell ref="RB309:RB310"/>
    <mergeCell ref="RC309:RC310"/>
    <mergeCell ref="RF309:RF310"/>
    <mergeCell ref="RN309:RN310"/>
    <mergeCell ref="RR309:RR310"/>
    <mergeCell ref="RS309:RS310"/>
    <mergeCell ref="RV309:RV310"/>
    <mergeCell ref="SD309:SD310"/>
    <mergeCell ref="SH309:SH310"/>
    <mergeCell ref="SI309:SI310"/>
    <mergeCell ref="PC307:PC310"/>
    <mergeCell ref="PD307:PD310"/>
    <mergeCell ref="PF307:PF308"/>
    <mergeCell ref="PG307:PG308"/>
    <mergeCell ref="PJ307:PJ308"/>
    <mergeCell ref="PR307:PR308"/>
    <mergeCell ref="PS307:PS310"/>
    <mergeCell ref="PT307:PT310"/>
    <mergeCell ref="PV307:PV308"/>
    <mergeCell ref="PW307:PW308"/>
    <mergeCell ref="PZ307:PZ308"/>
    <mergeCell ref="QH307:QH308"/>
    <mergeCell ref="QI307:QI310"/>
    <mergeCell ref="QJ307:QJ310"/>
    <mergeCell ref="QL307:QL308"/>
    <mergeCell ref="QM307:QM308"/>
    <mergeCell ref="QP307:QP308"/>
    <mergeCell ref="PF309:PF310"/>
    <mergeCell ref="PG309:PG310"/>
    <mergeCell ref="PJ309:PJ310"/>
    <mergeCell ref="PR309:PR310"/>
    <mergeCell ref="PV309:PV310"/>
    <mergeCell ref="PW309:PW310"/>
    <mergeCell ref="PZ309:PZ310"/>
    <mergeCell ref="QH309:QH310"/>
    <mergeCell ref="QL309:QL310"/>
    <mergeCell ref="QM309:QM310"/>
    <mergeCell ref="QP309:QP310"/>
    <mergeCell ref="NH307:NH310"/>
    <mergeCell ref="NJ307:NJ308"/>
    <mergeCell ref="NK307:NK308"/>
    <mergeCell ref="NN307:NN308"/>
    <mergeCell ref="NV307:NV308"/>
    <mergeCell ref="NW307:NW310"/>
    <mergeCell ref="NX307:NX310"/>
    <mergeCell ref="NZ307:NZ308"/>
    <mergeCell ref="OA307:OA308"/>
    <mergeCell ref="OD307:OD308"/>
    <mergeCell ref="OL307:OL308"/>
    <mergeCell ref="OM307:OM310"/>
    <mergeCell ref="ON307:ON310"/>
    <mergeCell ref="OP307:OP308"/>
    <mergeCell ref="OQ307:OQ308"/>
    <mergeCell ref="OT307:OT308"/>
    <mergeCell ref="PB307:PB308"/>
    <mergeCell ref="NJ309:NJ310"/>
    <mergeCell ref="NK309:NK310"/>
    <mergeCell ref="NN309:NN310"/>
    <mergeCell ref="NV309:NV310"/>
    <mergeCell ref="NZ309:NZ310"/>
    <mergeCell ref="OA309:OA310"/>
    <mergeCell ref="OD309:OD310"/>
    <mergeCell ref="OL309:OL310"/>
    <mergeCell ref="OP309:OP310"/>
    <mergeCell ref="OQ309:OQ310"/>
    <mergeCell ref="OT309:OT310"/>
    <mergeCell ref="PB309:PB310"/>
    <mergeCell ref="LN307:LN308"/>
    <mergeCell ref="LO307:LO308"/>
    <mergeCell ref="LR307:LR308"/>
    <mergeCell ref="LZ307:LZ308"/>
    <mergeCell ref="MA307:MA310"/>
    <mergeCell ref="MB307:MB310"/>
    <mergeCell ref="MD307:MD308"/>
    <mergeCell ref="ME307:ME308"/>
    <mergeCell ref="MH307:MH308"/>
    <mergeCell ref="MP307:MP308"/>
    <mergeCell ref="MQ307:MQ310"/>
    <mergeCell ref="MR307:MR310"/>
    <mergeCell ref="MT307:MT308"/>
    <mergeCell ref="MU307:MU308"/>
    <mergeCell ref="MX307:MX308"/>
    <mergeCell ref="NF307:NF308"/>
    <mergeCell ref="NG307:NG310"/>
    <mergeCell ref="LN309:LN310"/>
    <mergeCell ref="LO309:LO310"/>
    <mergeCell ref="LR309:LR310"/>
    <mergeCell ref="LZ309:LZ310"/>
    <mergeCell ref="MD309:MD310"/>
    <mergeCell ref="ME309:ME310"/>
    <mergeCell ref="MH309:MH310"/>
    <mergeCell ref="MP309:MP310"/>
    <mergeCell ref="MT309:MT310"/>
    <mergeCell ref="MU309:MU310"/>
    <mergeCell ref="MX309:MX310"/>
    <mergeCell ref="NF309:NF310"/>
    <mergeCell ref="JS307:JS308"/>
    <mergeCell ref="JV307:JV308"/>
    <mergeCell ref="KD307:KD308"/>
    <mergeCell ref="KE307:KE310"/>
    <mergeCell ref="KF307:KF310"/>
    <mergeCell ref="KH307:KH308"/>
    <mergeCell ref="KI307:KI308"/>
    <mergeCell ref="KL307:KL308"/>
    <mergeCell ref="KT307:KT308"/>
    <mergeCell ref="KU307:KU310"/>
    <mergeCell ref="KV307:KV310"/>
    <mergeCell ref="KX307:KX308"/>
    <mergeCell ref="KY307:KY308"/>
    <mergeCell ref="LB307:LB308"/>
    <mergeCell ref="LJ307:LJ308"/>
    <mergeCell ref="LK307:LK310"/>
    <mergeCell ref="LL307:LL310"/>
    <mergeCell ref="JS309:JS310"/>
    <mergeCell ref="JV309:JV310"/>
    <mergeCell ref="KD309:KD310"/>
    <mergeCell ref="KH309:KH310"/>
    <mergeCell ref="KI309:KI310"/>
    <mergeCell ref="KL309:KL310"/>
    <mergeCell ref="KT309:KT310"/>
    <mergeCell ref="KX309:KX310"/>
    <mergeCell ref="KY309:KY310"/>
    <mergeCell ref="LB309:LB310"/>
    <mergeCell ref="LJ309:LJ310"/>
    <mergeCell ref="HZ307:HZ308"/>
    <mergeCell ref="IH307:IH308"/>
    <mergeCell ref="II307:II310"/>
    <mergeCell ref="IJ307:IJ310"/>
    <mergeCell ref="IL307:IL308"/>
    <mergeCell ref="IM307:IM308"/>
    <mergeCell ref="IP307:IP308"/>
    <mergeCell ref="IX307:IX308"/>
    <mergeCell ref="IY307:IY310"/>
    <mergeCell ref="IZ307:IZ310"/>
    <mergeCell ref="JB307:JB308"/>
    <mergeCell ref="JC307:JC308"/>
    <mergeCell ref="JF307:JF308"/>
    <mergeCell ref="JN307:JN308"/>
    <mergeCell ref="JO307:JO310"/>
    <mergeCell ref="JP307:JP310"/>
    <mergeCell ref="JR307:JR308"/>
    <mergeCell ref="HZ309:HZ310"/>
    <mergeCell ref="IH309:IH310"/>
    <mergeCell ref="IL309:IL310"/>
    <mergeCell ref="IM309:IM310"/>
    <mergeCell ref="IP309:IP310"/>
    <mergeCell ref="IX309:IX310"/>
    <mergeCell ref="JB309:JB310"/>
    <mergeCell ref="JC309:JC310"/>
    <mergeCell ref="JF309:JF310"/>
    <mergeCell ref="JN309:JN310"/>
    <mergeCell ref="JR309:JR310"/>
    <mergeCell ref="GL307:GL308"/>
    <mergeCell ref="GM307:GM310"/>
    <mergeCell ref="GN307:GN310"/>
    <mergeCell ref="GP307:GP308"/>
    <mergeCell ref="GQ307:GQ308"/>
    <mergeCell ref="GT307:GT308"/>
    <mergeCell ref="HB307:HB308"/>
    <mergeCell ref="HC307:HC310"/>
    <mergeCell ref="HD307:HD310"/>
    <mergeCell ref="HF307:HF308"/>
    <mergeCell ref="HG307:HG308"/>
    <mergeCell ref="HJ307:HJ308"/>
    <mergeCell ref="HR307:HR308"/>
    <mergeCell ref="HS307:HS310"/>
    <mergeCell ref="HT307:HT310"/>
    <mergeCell ref="HV307:HV308"/>
    <mergeCell ref="HW307:HW308"/>
    <mergeCell ref="GL309:GL310"/>
    <mergeCell ref="GP309:GP310"/>
    <mergeCell ref="GQ309:GQ310"/>
    <mergeCell ref="GT309:GT310"/>
    <mergeCell ref="HB309:HB310"/>
    <mergeCell ref="HF309:HF310"/>
    <mergeCell ref="HG309:HG310"/>
    <mergeCell ref="HJ309:HJ310"/>
    <mergeCell ref="HR309:HR310"/>
    <mergeCell ref="HV309:HV310"/>
    <mergeCell ref="HW309:HW310"/>
    <mergeCell ref="FZ307:FZ308"/>
    <mergeCell ref="GA307:GA308"/>
    <mergeCell ref="GD307:GD308"/>
    <mergeCell ref="ET309:ET310"/>
    <mergeCell ref="EU309:EU310"/>
    <mergeCell ref="EX309:EX310"/>
    <mergeCell ref="FF309:FF310"/>
    <mergeCell ref="FJ309:FJ310"/>
    <mergeCell ref="FK309:FK310"/>
    <mergeCell ref="FN309:FN310"/>
    <mergeCell ref="FV309:FV310"/>
    <mergeCell ref="FZ309:FZ310"/>
    <mergeCell ref="GA309:GA310"/>
    <mergeCell ref="GD309:GD310"/>
    <mergeCell ref="ED307:ED308"/>
    <mergeCell ref="EE307:EE308"/>
    <mergeCell ref="EH307:EH308"/>
    <mergeCell ref="EP307:EP308"/>
    <mergeCell ref="CX309:CX310"/>
    <mergeCell ref="CY309:CY310"/>
    <mergeCell ref="DB309:DB310"/>
    <mergeCell ref="DJ309:DJ310"/>
    <mergeCell ref="DN309:DN310"/>
    <mergeCell ref="DO309:DO310"/>
    <mergeCell ref="DR309:DR310"/>
    <mergeCell ref="DZ309:DZ310"/>
    <mergeCell ref="ED309:ED310"/>
    <mergeCell ref="EE309:EE310"/>
    <mergeCell ref="EH309:EH310"/>
    <mergeCell ref="EP309:EP310"/>
    <mergeCell ref="DN307:DN308"/>
    <mergeCell ref="DO307:DO308"/>
    <mergeCell ref="DR307:DR308"/>
    <mergeCell ref="DZ307:DZ308"/>
    <mergeCell ref="EA307:EA310"/>
    <mergeCell ref="EB307:EB310"/>
    <mergeCell ref="A439:A442"/>
    <mergeCell ref="A321:A326"/>
    <mergeCell ref="A305:A310"/>
    <mergeCell ref="B439:B442"/>
    <mergeCell ref="P372:P373"/>
    <mergeCell ref="D374:D375"/>
    <mergeCell ref="B372:B375"/>
    <mergeCell ref="D372:D373"/>
    <mergeCell ref="E372:E373"/>
    <mergeCell ref="H372:H373"/>
    <mergeCell ref="P364:P365"/>
    <mergeCell ref="D366:D367"/>
    <mergeCell ref="P360:P361"/>
    <mergeCell ref="A360:A363"/>
    <mergeCell ref="A400:A403"/>
    <mergeCell ref="B376:B379"/>
    <mergeCell ref="E346:E347"/>
    <mergeCell ref="E338:E339"/>
    <mergeCell ref="H338:H339"/>
    <mergeCell ref="EQ307:EQ310"/>
    <mergeCell ref="ER307:ER310"/>
    <mergeCell ref="ET307:ET308"/>
    <mergeCell ref="EU307:EU308"/>
    <mergeCell ref="EX307:EX308"/>
    <mergeCell ref="FF307:FF308"/>
    <mergeCell ref="FG307:FG310"/>
    <mergeCell ref="FH307:FH310"/>
    <mergeCell ref="FJ307:FJ308"/>
    <mergeCell ref="FK307:FK308"/>
    <mergeCell ref="FN307:FN308"/>
    <mergeCell ref="FV307:FV308"/>
    <mergeCell ref="FW307:FW310"/>
    <mergeCell ref="FX307:FX310"/>
    <mergeCell ref="A435:A438"/>
    <mergeCell ref="A380:A383"/>
    <mergeCell ref="B380:B383"/>
    <mergeCell ref="D380:D381"/>
    <mergeCell ref="E380:E381"/>
    <mergeCell ref="R309:R310"/>
    <mergeCell ref="V309:V310"/>
    <mergeCell ref="W309:W310"/>
    <mergeCell ref="Z309:Z310"/>
    <mergeCell ref="AH309:AH310"/>
    <mergeCell ref="AL309:AL310"/>
    <mergeCell ref="AM309:AM310"/>
    <mergeCell ref="AP309:AP310"/>
    <mergeCell ref="AX309:AX310"/>
    <mergeCell ref="BB309:BB310"/>
    <mergeCell ref="BC309:BC310"/>
    <mergeCell ref="BF309:BF310"/>
    <mergeCell ref="E362:E363"/>
    <mergeCell ref="P366:P367"/>
    <mergeCell ref="R307:R308"/>
    <mergeCell ref="S307:S310"/>
    <mergeCell ref="T307:T310"/>
    <mergeCell ref="V307:V308"/>
    <mergeCell ref="W307:W308"/>
    <mergeCell ref="Z307:Z308"/>
    <mergeCell ref="AH307:AH308"/>
    <mergeCell ref="AI307:AI310"/>
    <mergeCell ref="AJ307:AJ310"/>
    <mergeCell ref="AL307:AL308"/>
    <mergeCell ref="AM307:AM308"/>
    <mergeCell ref="AP307:AP308"/>
    <mergeCell ref="AX307:AX308"/>
    <mergeCell ref="AY307:AY310"/>
    <mergeCell ref="AZ307:AZ310"/>
    <mergeCell ref="P370:P371"/>
    <mergeCell ref="P394:P395"/>
    <mergeCell ref="P392:P393"/>
    <mergeCell ref="B451:B454"/>
    <mergeCell ref="CV307:CV310"/>
    <mergeCell ref="CX307:CX308"/>
    <mergeCell ref="CY307:CY308"/>
    <mergeCell ref="DB307:DB308"/>
    <mergeCell ref="DJ307:DJ308"/>
    <mergeCell ref="DK307:DK310"/>
    <mergeCell ref="DL307:DL310"/>
    <mergeCell ref="B419:B422"/>
    <mergeCell ref="D394:D395"/>
    <mergeCell ref="E394:E395"/>
    <mergeCell ref="H394:H395"/>
    <mergeCell ref="P407:P408"/>
    <mergeCell ref="D409:D410"/>
    <mergeCell ref="E409:E410"/>
    <mergeCell ref="H409:H410"/>
    <mergeCell ref="D407:D408"/>
    <mergeCell ref="B368:B371"/>
    <mergeCell ref="D368:D369"/>
    <mergeCell ref="E368:E369"/>
    <mergeCell ref="H368:H369"/>
    <mergeCell ref="P368:P369"/>
    <mergeCell ref="D370:D371"/>
    <mergeCell ref="H342:H343"/>
    <mergeCell ref="H348:H349"/>
    <mergeCell ref="D445:D446"/>
    <mergeCell ref="D396:D397"/>
    <mergeCell ref="D340:D341"/>
    <mergeCell ref="E340:E341"/>
    <mergeCell ref="P350:P351"/>
    <mergeCell ref="H457:H458"/>
    <mergeCell ref="BF307:BF308"/>
    <mergeCell ref="BN307:BN308"/>
    <mergeCell ref="BO307:BO310"/>
    <mergeCell ref="BP307:BP310"/>
    <mergeCell ref="BR307:BR308"/>
    <mergeCell ref="BS307:BS308"/>
    <mergeCell ref="BV307:BV308"/>
    <mergeCell ref="CD307:CD308"/>
    <mergeCell ref="CE307:CE310"/>
    <mergeCell ref="CF307:CF310"/>
    <mergeCell ref="CH307:CH308"/>
    <mergeCell ref="CI307:CI308"/>
    <mergeCell ref="CL307:CL308"/>
    <mergeCell ref="D437:D438"/>
    <mergeCell ref="B443:B446"/>
    <mergeCell ref="E407:E408"/>
    <mergeCell ref="D323:D326"/>
    <mergeCell ref="E427:E428"/>
    <mergeCell ref="E350:E351"/>
    <mergeCell ref="CT307:CT308"/>
    <mergeCell ref="CU307:CU310"/>
    <mergeCell ref="BN309:BN310"/>
    <mergeCell ref="BR309:BR310"/>
    <mergeCell ref="BS309:BS310"/>
    <mergeCell ref="BV309:BV310"/>
    <mergeCell ref="CD309:CD310"/>
    <mergeCell ref="CH309:CH310"/>
    <mergeCell ref="CI309:CI310"/>
    <mergeCell ref="CL309:CL310"/>
    <mergeCell ref="CT309:CT310"/>
    <mergeCell ref="H439:H440"/>
    <mergeCell ref="A469:A472"/>
    <mergeCell ref="BB307:BB308"/>
    <mergeCell ref="BC307:BC308"/>
    <mergeCell ref="B346:B349"/>
    <mergeCell ref="D346:D347"/>
    <mergeCell ref="H431:H432"/>
    <mergeCell ref="P380:P381"/>
    <mergeCell ref="D382:D383"/>
    <mergeCell ref="E382:E383"/>
    <mergeCell ref="H382:H383"/>
    <mergeCell ref="P382:P383"/>
    <mergeCell ref="P469:P472"/>
    <mergeCell ref="P348:P349"/>
    <mergeCell ref="P457:P458"/>
    <mergeCell ref="P459:P460"/>
    <mergeCell ref="P461:P462"/>
    <mergeCell ref="P463:P464"/>
    <mergeCell ref="A376:A379"/>
    <mergeCell ref="A396:A399"/>
    <mergeCell ref="P376:P377"/>
    <mergeCell ref="D378:D379"/>
    <mergeCell ref="D419:D420"/>
    <mergeCell ref="E419:E420"/>
    <mergeCell ref="H419:H420"/>
    <mergeCell ref="P419:P420"/>
    <mergeCell ref="H398:H399"/>
    <mergeCell ref="P398:P399"/>
    <mergeCell ref="B400:B403"/>
    <mergeCell ref="D400:D401"/>
    <mergeCell ref="E400:E401"/>
    <mergeCell ref="H400:H401"/>
    <mergeCell ref="P400:P401"/>
    <mergeCell ref="D402:D403"/>
    <mergeCell ref="E402:E403"/>
    <mergeCell ref="B384:B387"/>
    <mergeCell ref="E390:E391"/>
    <mergeCell ref="B388:B391"/>
    <mergeCell ref="B459:B462"/>
    <mergeCell ref="E451:E452"/>
    <mergeCell ref="H463:H464"/>
    <mergeCell ref="D321:D322"/>
    <mergeCell ref="B360:B363"/>
    <mergeCell ref="C321:C326"/>
    <mergeCell ref="E313:E314"/>
    <mergeCell ref="P321:P322"/>
    <mergeCell ref="P323:P324"/>
    <mergeCell ref="P429:P430"/>
    <mergeCell ref="P431:P432"/>
    <mergeCell ref="P433:P434"/>
    <mergeCell ref="P435:P436"/>
    <mergeCell ref="P437:P438"/>
    <mergeCell ref="P439:P440"/>
    <mergeCell ref="P441:P442"/>
    <mergeCell ref="P443:P444"/>
    <mergeCell ref="P445:P446"/>
    <mergeCell ref="P451:P452"/>
    <mergeCell ref="P453:P454"/>
    <mergeCell ref="P455:P456"/>
    <mergeCell ref="H455:H456"/>
    <mergeCell ref="D465:D466"/>
    <mergeCell ref="E465:E466"/>
    <mergeCell ref="B467:B468"/>
    <mergeCell ref="H447:H448"/>
    <mergeCell ref="D449:D450"/>
    <mergeCell ref="P480:P481"/>
    <mergeCell ref="P484:P485"/>
    <mergeCell ref="P486:P487"/>
    <mergeCell ref="P488:P489"/>
    <mergeCell ref="P490:P491"/>
    <mergeCell ref="A486:A487"/>
    <mergeCell ref="D488:D489"/>
    <mergeCell ref="B475:B478"/>
    <mergeCell ref="C475:C478"/>
    <mergeCell ref="D496:D497"/>
    <mergeCell ref="C492:C495"/>
    <mergeCell ref="A419:A422"/>
    <mergeCell ref="B405:B406"/>
    <mergeCell ref="C405:C406"/>
    <mergeCell ref="H366:H367"/>
    <mergeCell ref="H360:H361"/>
    <mergeCell ref="A407:A414"/>
    <mergeCell ref="P473:P474"/>
    <mergeCell ref="P475:P476"/>
    <mergeCell ref="P396:P397"/>
    <mergeCell ref="D398:D399"/>
    <mergeCell ref="E398:E399"/>
    <mergeCell ref="E360:E361"/>
    <mergeCell ref="E388:E389"/>
    <mergeCell ref="H388:H389"/>
    <mergeCell ref="P388:P389"/>
    <mergeCell ref="D390:D391"/>
    <mergeCell ref="A423:A426"/>
    <mergeCell ref="E415:E416"/>
    <mergeCell ref="E445:E446"/>
    <mergeCell ref="A463:A466"/>
    <mergeCell ref="C467:C468"/>
    <mergeCell ref="E439:E440"/>
    <mergeCell ref="H411:H414"/>
    <mergeCell ref="P411:P412"/>
    <mergeCell ref="P413:P414"/>
    <mergeCell ref="P409:P410"/>
    <mergeCell ref="H429:H430"/>
    <mergeCell ref="H417:H418"/>
    <mergeCell ref="H425:H426"/>
    <mergeCell ref="H433:H434"/>
    <mergeCell ref="H437:H438"/>
    <mergeCell ref="H441:H442"/>
    <mergeCell ref="H445:H446"/>
    <mergeCell ref="P465:P466"/>
    <mergeCell ref="P467:P468"/>
    <mergeCell ref="E378:E379"/>
    <mergeCell ref="H378:H379"/>
    <mergeCell ref="P378:P379"/>
    <mergeCell ref="B396:B399"/>
    <mergeCell ref="A473:A474"/>
    <mergeCell ref="H473:H474"/>
    <mergeCell ref="A364:A367"/>
    <mergeCell ref="B364:B367"/>
    <mergeCell ref="D364:D365"/>
    <mergeCell ref="E364:E365"/>
    <mergeCell ref="H364:H365"/>
    <mergeCell ref="A405:A406"/>
    <mergeCell ref="A490:A491"/>
    <mergeCell ref="H484:H485"/>
    <mergeCell ref="A492:A495"/>
    <mergeCell ref="H374:H375"/>
    <mergeCell ref="P374:P375"/>
    <mergeCell ref="D455:D456"/>
    <mergeCell ref="A577:A580"/>
    <mergeCell ref="A581:A584"/>
    <mergeCell ref="A597:A600"/>
    <mergeCell ref="A516:A519"/>
    <mergeCell ref="B605:B608"/>
    <mergeCell ref="D599:D600"/>
    <mergeCell ref="D589:D590"/>
    <mergeCell ref="B593:B596"/>
    <mergeCell ref="P593:P596"/>
    <mergeCell ref="P597:P600"/>
    <mergeCell ref="H595:H596"/>
    <mergeCell ref="B609:B612"/>
    <mergeCell ref="B601:B604"/>
    <mergeCell ref="A566:A567"/>
    <mergeCell ref="A589:A592"/>
    <mergeCell ref="H508:H509"/>
    <mergeCell ref="A502:A507"/>
    <mergeCell ref="B621:B624"/>
    <mergeCell ref="B617:B620"/>
    <mergeCell ref="B486:B487"/>
    <mergeCell ref="B484:B485"/>
    <mergeCell ref="C484:C485"/>
    <mergeCell ref="D421:D422"/>
    <mergeCell ref="E421:E422"/>
    <mergeCell ref="H421:H422"/>
    <mergeCell ref="P421:P422"/>
    <mergeCell ref="B431:B434"/>
    <mergeCell ref="P558:P559"/>
    <mergeCell ref="B526:B529"/>
    <mergeCell ref="H526:H527"/>
    <mergeCell ref="H490:H491"/>
    <mergeCell ref="C490:C491"/>
    <mergeCell ref="C469:C472"/>
    <mergeCell ref="A475:A478"/>
    <mergeCell ref="B496:B501"/>
    <mergeCell ref="A496:A501"/>
    <mergeCell ref="P526:P527"/>
    <mergeCell ref="P528:P529"/>
    <mergeCell ref="P522:P523"/>
    <mergeCell ref="P524:P525"/>
    <mergeCell ref="P502:P503"/>
    <mergeCell ref="P477:P478"/>
    <mergeCell ref="D475:D476"/>
    <mergeCell ref="P538:P539"/>
    <mergeCell ref="D540:D543"/>
    <mergeCell ref="E540:E543"/>
    <mergeCell ref="H540:H543"/>
    <mergeCell ref="H532:H533"/>
    <mergeCell ref="P532:P533"/>
    <mergeCell ref="H477:H478"/>
    <mergeCell ref="B435:B438"/>
    <mergeCell ref="B455:B458"/>
    <mergeCell ref="C415:C466"/>
    <mergeCell ref="A447:A450"/>
    <mergeCell ref="B447:B450"/>
    <mergeCell ref="B427:B430"/>
    <mergeCell ref="E423:E424"/>
    <mergeCell ref="A451:A454"/>
    <mergeCell ref="P482:P483"/>
    <mergeCell ref="P415:P416"/>
    <mergeCell ref="P417:P418"/>
    <mergeCell ref="P423:P424"/>
    <mergeCell ref="P425:P426"/>
    <mergeCell ref="P427:P428"/>
    <mergeCell ref="B508:B511"/>
    <mergeCell ref="B512:B515"/>
    <mergeCell ref="E556:E559"/>
    <mergeCell ref="P518:P519"/>
    <mergeCell ref="E581:E582"/>
    <mergeCell ref="H534:H535"/>
    <mergeCell ref="P500:P501"/>
    <mergeCell ref="B492:B495"/>
    <mergeCell ref="B488:B489"/>
    <mergeCell ref="H510:H511"/>
    <mergeCell ref="P510:P511"/>
    <mergeCell ref="D512:D513"/>
    <mergeCell ref="P498:P499"/>
    <mergeCell ref="P585:P588"/>
    <mergeCell ref="P589:P592"/>
    <mergeCell ref="P536:P537"/>
    <mergeCell ref="E536:E537"/>
    <mergeCell ref="H536:H537"/>
    <mergeCell ref="P556:P557"/>
    <mergeCell ref="E560:E561"/>
    <mergeCell ref="C488:C489"/>
    <mergeCell ref="P496:P497"/>
    <mergeCell ref="B589:B592"/>
    <mergeCell ref="B585:B588"/>
    <mergeCell ref="B581:B584"/>
    <mergeCell ref="C577:C636"/>
    <mergeCell ref="H581:H582"/>
    <mergeCell ref="D583:D584"/>
    <mergeCell ref="E579:E580"/>
    <mergeCell ref="H579:H580"/>
    <mergeCell ref="E627:E628"/>
    <mergeCell ref="H627:H628"/>
    <mergeCell ref="D629:D630"/>
    <mergeCell ref="E629:E630"/>
    <mergeCell ref="P492:P493"/>
    <mergeCell ref="P494:P495"/>
    <mergeCell ref="P685:P686"/>
    <mergeCell ref="P633:P636"/>
    <mergeCell ref="B687:B688"/>
    <mergeCell ref="P512:P513"/>
    <mergeCell ref="D514:D515"/>
    <mergeCell ref="E514:E515"/>
    <mergeCell ref="H514:H515"/>
    <mergeCell ref="P514:P515"/>
    <mergeCell ref="P548:P549"/>
    <mergeCell ref="P540:P541"/>
    <mergeCell ref="P542:P543"/>
    <mergeCell ref="H569:H570"/>
    <mergeCell ref="H518:H519"/>
    <mergeCell ref="D550:D551"/>
    <mergeCell ref="E550:E551"/>
    <mergeCell ref="H550:H551"/>
    <mergeCell ref="P550:P551"/>
    <mergeCell ref="D552:D553"/>
    <mergeCell ref="E552:E553"/>
    <mergeCell ref="B577:B580"/>
    <mergeCell ref="E593:E594"/>
    <mergeCell ref="H601:H602"/>
    <mergeCell ref="P617:P620"/>
    <mergeCell ref="P621:P624"/>
    <mergeCell ref="B647:B650"/>
    <mergeCell ref="B651:B654"/>
    <mergeCell ref="H737:H738"/>
    <mergeCell ref="D716:D717"/>
    <mergeCell ref="D690:D691"/>
    <mergeCell ref="P743:P744"/>
    <mergeCell ref="P745:P746"/>
    <mergeCell ref="P747:P748"/>
    <mergeCell ref="E488:E489"/>
    <mergeCell ref="E569:E570"/>
    <mergeCell ref="B560:B561"/>
    <mergeCell ref="H530:H531"/>
    <mergeCell ref="P530:P531"/>
    <mergeCell ref="D532:D533"/>
    <mergeCell ref="E532:E533"/>
    <mergeCell ref="P554:P555"/>
    <mergeCell ref="P516:P517"/>
    <mergeCell ref="P520:P521"/>
    <mergeCell ref="C562:C565"/>
    <mergeCell ref="H560:H561"/>
    <mergeCell ref="H552:H553"/>
    <mergeCell ref="P552:P553"/>
    <mergeCell ref="H554:H555"/>
    <mergeCell ref="H556:H559"/>
    <mergeCell ref="P546:P547"/>
    <mergeCell ref="H583:H584"/>
    <mergeCell ref="E587:E588"/>
    <mergeCell ref="H587:H588"/>
    <mergeCell ref="C560:C561"/>
    <mergeCell ref="D528:D529"/>
    <mergeCell ref="P560:P561"/>
    <mergeCell ref="H564:H565"/>
    <mergeCell ref="B562:B565"/>
    <mergeCell ref="P562:P565"/>
    <mergeCell ref="C569:C570"/>
    <mergeCell ref="D577:D578"/>
    <mergeCell ref="P613:P616"/>
    <mergeCell ref="P569:P570"/>
    <mergeCell ref="D595:D596"/>
    <mergeCell ref="E595:E596"/>
    <mergeCell ref="A737:A740"/>
    <mergeCell ref="D675:D676"/>
    <mergeCell ref="D687:D688"/>
    <mergeCell ref="E690:E691"/>
    <mergeCell ref="E723:E726"/>
    <mergeCell ref="B743:B744"/>
    <mergeCell ref="C743:C744"/>
    <mergeCell ref="B681:B686"/>
    <mergeCell ref="E611:E612"/>
    <mergeCell ref="D603:D604"/>
    <mergeCell ref="D663:D664"/>
    <mergeCell ref="D647:D648"/>
    <mergeCell ref="E647:E648"/>
    <mergeCell ref="H607:H608"/>
    <mergeCell ref="D609:D610"/>
    <mergeCell ref="E609:E610"/>
    <mergeCell ref="H609:H610"/>
    <mergeCell ref="H635:H636"/>
    <mergeCell ref="B625:B628"/>
    <mergeCell ref="B710:B713"/>
    <mergeCell ref="B706:B709"/>
    <mergeCell ref="B696:B699"/>
    <mergeCell ref="D696:D697"/>
    <mergeCell ref="H723:H726"/>
    <mergeCell ref="A609:A612"/>
    <mergeCell ref="A613:A616"/>
    <mergeCell ref="A675:A680"/>
    <mergeCell ref="C643:C654"/>
    <mergeCell ref="A655:A660"/>
    <mergeCell ref="A643:A646"/>
    <mergeCell ref="B690:B695"/>
    <mergeCell ref="H694:H695"/>
    <mergeCell ref="H704:H705"/>
    <mergeCell ref="C690:C717"/>
    <mergeCell ref="B665:B668"/>
    <mergeCell ref="C665:C668"/>
    <mergeCell ref="A690:A695"/>
    <mergeCell ref="A601:A604"/>
    <mergeCell ref="A605:A608"/>
    <mergeCell ref="A681:A686"/>
    <mergeCell ref="A743:A744"/>
    <mergeCell ref="A617:A620"/>
    <mergeCell ref="A621:A624"/>
    <mergeCell ref="E603:E604"/>
    <mergeCell ref="H603:H604"/>
    <mergeCell ref="H605:H606"/>
    <mergeCell ref="D694:D695"/>
    <mergeCell ref="E694:E695"/>
    <mergeCell ref="D704:D705"/>
    <mergeCell ref="E704:E705"/>
    <mergeCell ref="H712:H713"/>
    <mergeCell ref="H692:H693"/>
    <mergeCell ref="A647:A650"/>
    <mergeCell ref="A651:A654"/>
    <mergeCell ref="D733:D734"/>
    <mergeCell ref="E743:E744"/>
    <mergeCell ref="E735:E736"/>
    <mergeCell ref="D737:D738"/>
    <mergeCell ref="D661:D662"/>
    <mergeCell ref="E661:E662"/>
    <mergeCell ref="C741:C742"/>
    <mergeCell ref="B741:B742"/>
    <mergeCell ref="E617:E618"/>
    <mergeCell ref="H617:H618"/>
    <mergeCell ref="B718:B719"/>
    <mergeCell ref="P647:P648"/>
    <mergeCell ref="P723:P724"/>
    <mergeCell ref="P725:P726"/>
    <mergeCell ref="B597:B600"/>
    <mergeCell ref="H763:H764"/>
    <mergeCell ref="E583:E584"/>
    <mergeCell ref="H615:H616"/>
    <mergeCell ref="D617:D618"/>
    <mergeCell ref="E1058:E1059"/>
    <mergeCell ref="H1058:H1059"/>
    <mergeCell ref="E589:E590"/>
    <mergeCell ref="E677:E680"/>
    <mergeCell ref="P783:P784"/>
    <mergeCell ref="P785:P786"/>
    <mergeCell ref="P787:P788"/>
    <mergeCell ref="H769:H770"/>
    <mergeCell ref="P765:P766"/>
    <mergeCell ref="P767:P768"/>
    <mergeCell ref="P769:P770"/>
    <mergeCell ref="P679:P680"/>
    <mergeCell ref="P649:P654"/>
    <mergeCell ref="P677:P678"/>
    <mergeCell ref="H629:H630"/>
    <mergeCell ref="H611:H612"/>
    <mergeCell ref="D613:D614"/>
    <mergeCell ref="E613:E614"/>
    <mergeCell ref="H733:H734"/>
    <mergeCell ref="B675:B680"/>
    <mergeCell ref="E625:E626"/>
    <mergeCell ref="H625:H626"/>
    <mergeCell ref="H643:H644"/>
    <mergeCell ref="P721:P722"/>
    <mergeCell ref="P690:P691"/>
    <mergeCell ref="P692:P693"/>
    <mergeCell ref="H779:H780"/>
    <mergeCell ref="C669:C686"/>
    <mergeCell ref="D681:D682"/>
    <mergeCell ref="E681:E682"/>
    <mergeCell ref="E718:E719"/>
    <mergeCell ref="D727:D728"/>
    <mergeCell ref="E671:E674"/>
    <mergeCell ref="H706:H707"/>
    <mergeCell ref="P751:P752"/>
    <mergeCell ref="D621:D622"/>
    <mergeCell ref="E599:E600"/>
    <mergeCell ref="P714:P715"/>
    <mergeCell ref="P716:P717"/>
    <mergeCell ref="H716:H717"/>
    <mergeCell ref="P637:P638"/>
    <mergeCell ref="P639:P640"/>
    <mergeCell ref="H767:H768"/>
    <mergeCell ref="E765:E766"/>
    <mergeCell ref="D761:D762"/>
    <mergeCell ref="E779:E780"/>
    <mergeCell ref="E747:E748"/>
    <mergeCell ref="D747:D748"/>
    <mergeCell ref="P641:P642"/>
    <mergeCell ref="P643:P644"/>
    <mergeCell ref="P645:P646"/>
    <mergeCell ref="D619:D620"/>
    <mergeCell ref="E619:E620"/>
    <mergeCell ref="B655:B660"/>
    <mergeCell ref="D665:D666"/>
    <mergeCell ref="P712:P713"/>
    <mergeCell ref="P605:P608"/>
    <mergeCell ref="P609:P612"/>
    <mergeCell ref="E591:E592"/>
    <mergeCell ref="D593:D594"/>
    <mergeCell ref="E783:E784"/>
    <mergeCell ref="C779:C788"/>
    <mergeCell ref="H741:H742"/>
    <mergeCell ref="E1090:E1091"/>
    <mergeCell ref="H1090:H1091"/>
    <mergeCell ref="P1090:P1091"/>
    <mergeCell ref="D1092:D1093"/>
    <mergeCell ref="E1092:E1093"/>
    <mergeCell ref="H1092:H1093"/>
    <mergeCell ref="P1092:P1093"/>
    <mergeCell ref="E1024:E1025"/>
    <mergeCell ref="H1024:H1025"/>
    <mergeCell ref="P1024:P1025"/>
    <mergeCell ref="H1048:H1049"/>
    <mergeCell ref="P1048:P1049"/>
    <mergeCell ref="D950:D951"/>
    <mergeCell ref="H787:H788"/>
    <mergeCell ref="H783:H784"/>
    <mergeCell ref="H940:H941"/>
    <mergeCell ref="H755:H756"/>
    <mergeCell ref="D791:D792"/>
    <mergeCell ref="E769:E770"/>
    <mergeCell ref="D851:D852"/>
    <mergeCell ref="E851:E852"/>
    <mergeCell ref="H851:H852"/>
    <mergeCell ref="C830:C835"/>
    <mergeCell ref="D830:D831"/>
    <mergeCell ref="P950:P951"/>
    <mergeCell ref="D857:D858"/>
    <mergeCell ref="E857:E858"/>
    <mergeCell ref="H857:H858"/>
    <mergeCell ref="P857:P860"/>
    <mergeCell ref="D859:D860"/>
    <mergeCell ref="E859:E860"/>
    <mergeCell ref="P794:P795"/>
    <mergeCell ref="D796:D797"/>
    <mergeCell ref="E796:E797"/>
    <mergeCell ref="H796:H797"/>
    <mergeCell ref="P796:P797"/>
    <mergeCell ref="D869:D870"/>
    <mergeCell ref="E761:E762"/>
    <mergeCell ref="H771:H772"/>
    <mergeCell ref="C718:C719"/>
    <mergeCell ref="P1062:P1063"/>
    <mergeCell ref="D1064:D1065"/>
    <mergeCell ref="E1064:E1065"/>
    <mergeCell ref="H1064:H1065"/>
    <mergeCell ref="P1064:P1065"/>
    <mergeCell ref="E1060:E1061"/>
    <mergeCell ref="H1060:H1061"/>
    <mergeCell ref="P753:P756"/>
    <mergeCell ref="E739:E740"/>
    <mergeCell ref="H753:H754"/>
    <mergeCell ref="H757:H758"/>
    <mergeCell ref="H671:H674"/>
    <mergeCell ref="D677:D680"/>
    <mergeCell ref="E729:E732"/>
    <mergeCell ref="H729:H732"/>
    <mergeCell ref="D714:D715"/>
    <mergeCell ref="B1003:B1004"/>
    <mergeCell ref="H773:H774"/>
    <mergeCell ref="A718:A719"/>
    <mergeCell ref="H721:H722"/>
    <mergeCell ref="E755:E756"/>
    <mergeCell ref="P816:P819"/>
    <mergeCell ref="D818:D819"/>
    <mergeCell ref="E818:E819"/>
    <mergeCell ref="H818:H819"/>
    <mergeCell ref="A820:A825"/>
    <mergeCell ref="B820:B825"/>
    <mergeCell ref="C820:C825"/>
    <mergeCell ref="D820:D821"/>
    <mergeCell ref="E820:E821"/>
    <mergeCell ref="H820:H821"/>
    <mergeCell ref="C892:C895"/>
    <mergeCell ref="B892:B895"/>
    <mergeCell ref="A892:A895"/>
    <mergeCell ref="H892:H895"/>
    <mergeCell ref="P894:P895"/>
    <mergeCell ref="C970:C975"/>
    <mergeCell ref="B970:B975"/>
    <mergeCell ref="A970:A975"/>
    <mergeCell ref="D974:D975"/>
    <mergeCell ref="E974:E975"/>
    <mergeCell ref="D970:D973"/>
    <mergeCell ref="E970:E973"/>
    <mergeCell ref="P970:P971"/>
    <mergeCell ref="P972:P973"/>
    <mergeCell ref="P974:P975"/>
    <mergeCell ref="P828:P829"/>
    <mergeCell ref="D942:D943"/>
    <mergeCell ref="E942:E943"/>
    <mergeCell ref="H942:H943"/>
    <mergeCell ref="D896:D897"/>
    <mergeCell ref="H970:H973"/>
    <mergeCell ref="A826:A829"/>
    <mergeCell ref="B826:B829"/>
    <mergeCell ref="C826:C829"/>
    <mergeCell ref="D826:D827"/>
    <mergeCell ref="E826:E827"/>
    <mergeCell ref="H826:H827"/>
    <mergeCell ref="H785:H786"/>
    <mergeCell ref="H781:H782"/>
    <mergeCell ref="D906:D907"/>
    <mergeCell ref="E906:E907"/>
    <mergeCell ref="A983:A986"/>
    <mergeCell ref="B958:B961"/>
    <mergeCell ref="B906:B909"/>
    <mergeCell ref="B995:B998"/>
    <mergeCell ref="B977:B982"/>
    <mergeCell ref="A958:A961"/>
    <mergeCell ref="A999:A1002"/>
    <mergeCell ref="H914:H915"/>
    <mergeCell ref="P914:P915"/>
    <mergeCell ref="H916:H917"/>
    <mergeCell ref="P916:P917"/>
    <mergeCell ref="H888:H891"/>
    <mergeCell ref="D898:D899"/>
    <mergeCell ref="A789:A792"/>
    <mergeCell ref="D991:D992"/>
    <mergeCell ref="E938:E939"/>
    <mergeCell ref="D940:D941"/>
    <mergeCell ref="E940:E941"/>
    <mergeCell ref="H1016:H1017"/>
    <mergeCell ref="P1016:P1017"/>
    <mergeCell ref="A1151:A1154"/>
    <mergeCell ref="H1022:H1023"/>
    <mergeCell ref="P1022:P1023"/>
    <mergeCell ref="D1024:D1025"/>
    <mergeCell ref="H751:H752"/>
    <mergeCell ref="H747:H748"/>
    <mergeCell ref="P739:P740"/>
    <mergeCell ref="B761:B764"/>
    <mergeCell ref="P718:P719"/>
    <mergeCell ref="C721:C726"/>
    <mergeCell ref="B721:B726"/>
    <mergeCell ref="B745:B748"/>
    <mergeCell ref="A721:A726"/>
    <mergeCell ref="E737:E738"/>
    <mergeCell ref="D1147:D1148"/>
    <mergeCell ref="A1147:A1150"/>
    <mergeCell ref="H1112:H1113"/>
    <mergeCell ref="H1110:H1111"/>
    <mergeCell ref="H1108:H1109"/>
    <mergeCell ref="H1106:H1107"/>
    <mergeCell ref="E1038:E1039"/>
    <mergeCell ref="D1012:D1013"/>
    <mergeCell ref="E1012:E1013"/>
    <mergeCell ref="H1012:H1013"/>
    <mergeCell ref="P1012:P1013"/>
    <mergeCell ref="H1026:H1027"/>
    <mergeCell ref="A1094:A1099"/>
    <mergeCell ref="B1094:B1099"/>
    <mergeCell ref="D1094:D1095"/>
    <mergeCell ref="E1094:E1095"/>
    <mergeCell ref="H1094:H1095"/>
    <mergeCell ref="P1094:P1095"/>
    <mergeCell ref="H1096:H1097"/>
    <mergeCell ref="P1096:P1097"/>
    <mergeCell ref="B1086:B1089"/>
    <mergeCell ref="H1147:H1148"/>
    <mergeCell ref="A1010:A1013"/>
    <mergeCell ref="D1072:D1073"/>
    <mergeCell ref="E1072:E1073"/>
    <mergeCell ref="H1072:H1073"/>
    <mergeCell ref="P1072:P1073"/>
    <mergeCell ref="P1030:P1031"/>
    <mergeCell ref="A1032:A1033"/>
    <mergeCell ref="B1032:B1033"/>
    <mergeCell ref="C1032:C1033"/>
    <mergeCell ref="D1032:D1033"/>
    <mergeCell ref="E1032:E1033"/>
    <mergeCell ref="H1032:H1033"/>
    <mergeCell ref="P1032:P1033"/>
    <mergeCell ref="A1034:A1037"/>
    <mergeCell ref="B1034:B1037"/>
    <mergeCell ref="C1034:C1077"/>
    <mergeCell ref="D1034:D1035"/>
    <mergeCell ref="E1034:E1035"/>
    <mergeCell ref="H1034:H1035"/>
    <mergeCell ref="A1030:A1031"/>
    <mergeCell ref="P1034:P1035"/>
    <mergeCell ref="H1044:H1045"/>
    <mergeCell ref="P1044:P1045"/>
    <mergeCell ref="A1046:A1049"/>
    <mergeCell ref="B1046:B1049"/>
    <mergeCell ref="D1046:D1047"/>
    <mergeCell ref="D1030:D1031"/>
    <mergeCell ref="P1036:P1037"/>
    <mergeCell ref="P1058:P1059"/>
    <mergeCell ref="D1060:D1061"/>
    <mergeCell ref="B1050:B1053"/>
    <mergeCell ref="E1068:E1069"/>
    <mergeCell ref="H1068:H1069"/>
    <mergeCell ref="P1068:P1069"/>
    <mergeCell ref="A1070:A1073"/>
    <mergeCell ref="H1038:H1039"/>
    <mergeCell ref="A1323:A1326"/>
    <mergeCell ref="C1267:C1272"/>
    <mergeCell ref="E1288:E1289"/>
    <mergeCell ref="D1299:D1300"/>
    <mergeCell ref="D1281:D1282"/>
    <mergeCell ref="E1273:E1274"/>
    <mergeCell ref="B1303:B1306"/>
    <mergeCell ref="A1303:A1306"/>
    <mergeCell ref="H1242:H1243"/>
    <mergeCell ref="H1246:H1247"/>
    <mergeCell ref="A1290:A1295"/>
    <mergeCell ref="B1290:B1295"/>
    <mergeCell ref="D1265:D1266"/>
    <mergeCell ref="E1265:E1266"/>
    <mergeCell ref="E1259:E1260"/>
    <mergeCell ref="D1261:D1262"/>
    <mergeCell ref="E1261:E1262"/>
    <mergeCell ref="A1259:A1262"/>
    <mergeCell ref="B1232:B1235"/>
    <mergeCell ref="E1285:E1286"/>
    <mergeCell ref="E1292:E1293"/>
    <mergeCell ref="B1277:B1280"/>
    <mergeCell ref="B1263:B1266"/>
    <mergeCell ref="D1301:D1302"/>
    <mergeCell ref="A1248:A1253"/>
    <mergeCell ref="D1250:D1253"/>
    <mergeCell ref="E1250:E1253"/>
    <mergeCell ref="D1323:D1324"/>
    <mergeCell ref="E1303:E1304"/>
    <mergeCell ref="C1299:C1330"/>
    <mergeCell ref="A1273:A1276"/>
    <mergeCell ref="C1290:C1295"/>
    <mergeCell ref="D1290:D1291"/>
    <mergeCell ref="A1277:A1280"/>
    <mergeCell ref="A1281:A1284"/>
    <mergeCell ref="A1263:A1266"/>
    <mergeCell ref="H1265:H1266"/>
    <mergeCell ref="D1263:D1264"/>
    <mergeCell ref="E1263:E1264"/>
    <mergeCell ref="H1263:H1264"/>
    <mergeCell ref="H1261:H1262"/>
    <mergeCell ref="D1238:D1239"/>
    <mergeCell ref="E1238:E1239"/>
    <mergeCell ref="H1232:H1233"/>
    <mergeCell ref="D1234:D1235"/>
    <mergeCell ref="D1307:D1308"/>
    <mergeCell ref="B1273:B1276"/>
    <mergeCell ref="C1285:C1286"/>
    <mergeCell ref="D1285:D1286"/>
    <mergeCell ref="H1267:H1268"/>
    <mergeCell ref="H1248:H1249"/>
    <mergeCell ref="A1319:A1322"/>
    <mergeCell ref="H1305:H1306"/>
    <mergeCell ref="H1309:H1310"/>
    <mergeCell ref="B1163:B1166"/>
    <mergeCell ref="P1290:P1291"/>
    <mergeCell ref="P1279:P1280"/>
    <mergeCell ref="D1174:D1175"/>
    <mergeCell ref="D1214:D1215"/>
    <mergeCell ref="D1292:D1293"/>
    <mergeCell ref="P1309:P1310"/>
    <mergeCell ref="P1313:P1314"/>
    <mergeCell ref="A1212:A1215"/>
    <mergeCell ref="A1200:A1203"/>
    <mergeCell ref="D1198:D1199"/>
    <mergeCell ref="P1200:P1201"/>
    <mergeCell ref="E1165:E1166"/>
    <mergeCell ref="H1277:H1278"/>
    <mergeCell ref="H1161:H1162"/>
    <mergeCell ref="A1167:A1170"/>
    <mergeCell ref="A1163:A1166"/>
    <mergeCell ref="H1163:H1164"/>
    <mergeCell ref="D1161:D1162"/>
    <mergeCell ref="D1165:D1166"/>
    <mergeCell ref="H1224:H1225"/>
    <mergeCell ref="D1169:D1170"/>
    <mergeCell ref="A1172:A1175"/>
    <mergeCell ref="A1184:A1189"/>
    <mergeCell ref="D1186:D1189"/>
    <mergeCell ref="E1186:E1189"/>
    <mergeCell ref="D1192:D1195"/>
    <mergeCell ref="E1192:E1195"/>
    <mergeCell ref="D1236:D1237"/>
    <mergeCell ref="A1296:A1297"/>
    <mergeCell ref="H1169:H1170"/>
    <mergeCell ref="E1208:E1209"/>
    <mergeCell ref="E1182:E1183"/>
    <mergeCell ref="H1259:H1260"/>
    <mergeCell ref="E1242:E1243"/>
    <mergeCell ref="H1192:H1195"/>
    <mergeCell ref="P1196:P1197"/>
    <mergeCell ref="H1210:H1211"/>
    <mergeCell ref="E1169:E1170"/>
    <mergeCell ref="H1303:H1304"/>
    <mergeCell ref="E1236:E1237"/>
    <mergeCell ref="D1224:D1225"/>
    <mergeCell ref="C1240:C1243"/>
    <mergeCell ref="E1248:E1249"/>
    <mergeCell ref="H1198:H1199"/>
    <mergeCell ref="A1176:A1179"/>
    <mergeCell ref="B1190:B1195"/>
    <mergeCell ref="H1236:H1237"/>
    <mergeCell ref="B1220:B1223"/>
    <mergeCell ref="H1178:H1179"/>
    <mergeCell ref="H1182:H1183"/>
    <mergeCell ref="C1200:C1207"/>
    <mergeCell ref="H1220:H1221"/>
    <mergeCell ref="H1222:H1223"/>
    <mergeCell ref="D1288:D1289"/>
    <mergeCell ref="B1285:B1286"/>
    <mergeCell ref="D1313:D1314"/>
    <mergeCell ref="E1313:E1314"/>
    <mergeCell ref="B1224:B1227"/>
    <mergeCell ref="H1226:H1227"/>
    <mergeCell ref="D1226:D1227"/>
    <mergeCell ref="E1226:E1227"/>
    <mergeCell ref="C1220:C1223"/>
    <mergeCell ref="H1208:H1209"/>
    <mergeCell ref="H1240:H1241"/>
    <mergeCell ref="A1307:A1310"/>
    <mergeCell ref="A1315:A1318"/>
    <mergeCell ref="E1311:E1312"/>
    <mergeCell ref="A1196:A1199"/>
    <mergeCell ref="A1190:A1195"/>
    <mergeCell ref="H1190:H1191"/>
    <mergeCell ref="A1254:A1257"/>
    <mergeCell ref="D1254:D1255"/>
    <mergeCell ref="E1254:E1255"/>
    <mergeCell ref="D1256:D1257"/>
    <mergeCell ref="E1256:E1257"/>
    <mergeCell ref="C1273:C1280"/>
    <mergeCell ref="A1216:A1219"/>
    <mergeCell ref="B1288:B1289"/>
    <mergeCell ref="C1172:C1189"/>
    <mergeCell ref="B1184:B1189"/>
    <mergeCell ref="H1188:H1189"/>
    <mergeCell ref="H1290:H1293"/>
    <mergeCell ref="H1234:H1235"/>
    <mergeCell ref="D1315:D1316"/>
    <mergeCell ref="H1315:H1316"/>
    <mergeCell ref="H1307:H1308"/>
    <mergeCell ref="D1305:D1306"/>
    <mergeCell ref="E1305:E1306"/>
    <mergeCell ref="C1244:C1247"/>
    <mergeCell ref="B1244:B1247"/>
    <mergeCell ref="B1267:B1272"/>
    <mergeCell ref="E1178:E1179"/>
    <mergeCell ref="A1208:A1211"/>
    <mergeCell ref="B1172:B1175"/>
    <mergeCell ref="H1230:H1231"/>
    <mergeCell ref="A1240:A1243"/>
    <mergeCell ref="A1180:A1183"/>
    <mergeCell ref="B1307:B1310"/>
    <mergeCell ref="D1210:D1211"/>
    <mergeCell ref="B1196:B1199"/>
    <mergeCell ref="E1234:E1235"/>
    <mergeCell ref="A1244:A1247"/>
    <mergeCell ref="D1212:D1213"/>
    <mergeCell ref="C1224:C1227"/>
    <mergeCell ref="B1240:B1243"/>
    <mergeCell ref="D1230:D1231"/>
    <mergeCell ref="H1204:H1205"/>
    <mergeCell ref="E1210:E1211"/>
    <mergeCell ref="E1228:E1229"/>
    <mergeCell ref="H1238:H1239"/>
    <mergeCell ref="H1321:H1322"/>
    <mergeCell ref="D1242:D1243"/>
    <mergeCell ref="D1240:D1241"/>
    <mergeCell ref="H1294:H1295"/>
    <mergeCell ref="A1299:A1302"/>
    <mergeCell ref="B1299:B1302"/>
    <mergeCell ref="A1267:A1272"/>
    <mergeCell ref="A1204:A1207"/>
    <mergeCell ref="D1267:D1268"/>
    <mergeCell ref="H1299:H1300"/>
    <mergeCell ref="H1216:H1217"/>
    <mergeCell ref="H1218:H1219"/>
    <mergeCell ref="C1254:C1257"/>
    <mergeCell ref="E1222:E1223"/>
    <mergeCell ref="E1214:E1215"/>
    <mergeCell ref="P771:P772"/>
    <mergeCell ref="H687:H688"/>
    <mergeCell ref="P681:P682"/>
    <mergeCell ref="P683:P684"/>
    <mergeCell ref="D952:D953"/>
    <mergeCell ref="E952:E953"/>
    <mergeCell ref="H952:H953"/>
    <mergeCell ref="P952:P953"/>
    <mergeCell ref="H995:H996"/>
    <mergeCell ref="P987:P988"/>
    <mergeCell ref="D993:D994"/>
    <mergeCell ref="E993:E994"/>
    <mergeCell ref="D1003:D1004"/>
    <mergeCell ref="D962:D963"/>
    <mergeCell ref="D983:D984"/>
    <mergeCell ref="E983:E984"/>
    <mergeCell ref="H983:H984"/>
    <mergeCell ref="H968:H969"/>
    <mergeCell ref="E995:E996"/>
    <mergeCell ref="E989:E990"/>
    <mergeCell ref="D985:D986"/>
    <mergeCell ref="E985:E986"/>
    <mergeCell ref="H985:H986"/>
    <mergeCell ref="D979:D982"/>
    <mergeCell ref="E979:E982"/>
    <mergeCell ref="H979:H982"/>
    <mergeCell ref="H999:H1000"/>
    <mergeCell ref="H1001:H1002"/>
    <mergeCell ref="H993:H994"/>
    <mergeCell ref="P993:P994"/>
    <mergeCell ref="H958:H959"/>
    <mergeCell ref="P981:P982"/>
    <mergeCell ref="P1001:P1002"/>
    <mergeCell ref="H964:H965"/>
    <mergeCell ref="H960:H961"/>
    <mergeCell ref="D999:D1000"/>
    <mergeCell ref="E999:E1000"/>
    <mergeCell ref="P962:P963"/>
    <mergeCell ref="P964:P965"/>
    <mergeCell ref="D968:D969"/>
    <mergeCell ref="E968:E969"/>
    <mergeCell ref="D987:D988"/>
    <mergeCell ref="E987:E988"/>
    <mergeCell ref="E958:E959"/>
    <mergeCell ref="H987:H988"/>
    <mergeCell ref="H989:H990"/>
    <mergeCell ref="P977:P978"/>
    <mergeCell ref="D995:D996"/>
    <mergeCell ref="H898:H899"/>
    <mergeCell ref="P1188:P1189"/>
    <mergeCell ref="P1206:P1207"/>
    <mergeCell ref="D1155:D1156"/>
    <mergeCell ref="H1228:H1229"/>
    <mergeCell ref="E1206:E1207"/>
    <mergeCell ref="P1212:P1215"/>
    <mergeCell ref="P798:P799"/>
    <mergeCell ref="D800:D801"/>
    <mergeCell ref="E800:E801"/>
    <mergeCell ref="H800:H801"/>
    <mergeCell ref="P800:P801"/>
    <mergeCell ref="D877:D878"/>
    <mergeCell ref="E877:E878"/>
    <mergeCell ref="H877:H878"/>
    <mergeCell ref="P877:P878"/>
    <mergeCell ref="D879:D880"/>
    <mergeCell ref="E879:E880"/>
    <mergeCell ref="H879:H880"/>
    <mergeCell ref="P822:P823"/>
    <mergeCell ref="D824:D825"/>
    <mergeCell ref="E824:E825"/>
    <mergeCell ref="H824:H825"/>
    <mergeCell ref="P824:P825"/>
    <mergeCell ref="H791:H792"/>
    <mergeCell ref="H789:H790"/>
    <mergeCell ref="H920:H921"/>
    <mergeCell ref="P920:P921"/>
    <mergeCell ref="B816:B819"/>
    <mergeCell ref="C816:C819"/>
    <mergeCell ref="D816:D817"/>
    <mergeCell ref="P826:P827"/>
    <mergeCell ref="P853:P854"/>
    <mergeCell ref="H904:H905"/>
    <mergeCell ref="P900:P901"/>
    <mergeCell ref="P902:P903"/>
    <mergeCell ref="P904:P905"/>
    <mergeCell ref="C1159:C1162"/>
    <mergeCell ref="D1228:D1229"/>
    <mergeCell ref="E1212:E1213"/>
    <mergeCell ref="H1212:H1213"/>
    <mergeCell ref="H1200:H1201"/>
    <mergeCell ref="B1159:B1162"/>
    <mergeCell ref="P1216:P1219"/>
    <mergeCell ref="D1204:D1205"/>
    <mergeCell ref="C1026:C1029"/>
    <mergeCell ref="B1030:B1031"/>
    <mergeCell ref="C1030:C1031"/>
    <mergeCell ref="E1030:E1031"/>
    <mergeCell ref="D1056:D1057"/>
    <mergeCell ref="B1074:B1077"/>
    <mergeCell ref="B1078:B1081"/>
    <mergeCell ref="C1078:C1081"/>
    <mergeCell ref="D1078:D1079"/>
    <mergeCell ref="E1078:E1079"/>
    <mergeCell ref="B1070:B1073"/>
    <mergeCell ref="D1070:D1071"/>
    <mergeCell ref="E1070:E1071"/>
    <mergeCell ref="E924:E925"/>
    <mergeCell ref="D900:D901"/>
    <mergeCell ref="E900:E901"/>
    <mergeCell ref="D902:D903"/>
    <mergeCell ref="E902:E903"/>
    <mergeCell ref="E1149:E1150"/>
    <mergeCell ref="P1147:P1150"/>
    <mergeCell ref="A1159:A1162"/>
    <mergeCell ref="E1204:E1205"/>
    <mergeCell ref="H1155:H1156"/>
    <mergeCell ref="H1157:H1158"/>
    <mergeCell ref="D1172:D1173"/>
    <mergeCell ref="E1157:E1158"/>
    <mergeCell ref="D1157:D1158"/>
    <mergeCell ref="P1161:P1162"/>
    <mergeCell ref="A1006:A1009"/>
    <mergeCell ref="B1006:B1009"/>
    <mergeCell ref="C1006:C1017"/>
    <mergeCell ref="D1006:D1007"/>
    <mergeCell ref="E1006:E1007"/>
    <mergeCell ref="H1006:H1007"/>
    <mergeCell ref="P1006:P1007"/>
    <mergeCell ref="D1008:D1009"/>
    <mergeCell ref="D1086:D1087"/>
    <mergeCell ref="E1086:E1087"/>
    <mergeCell ref="H1086:H1087"/>
    <mergeCell ref="P1086:P1087"/>
    <mergeCell ref="H1098:H1099"/>
    <mergeCell ref="P1098:P1099"/>
    <mergeCell ref="E1062:E1063"/>
    <mergeCell ref="H1062:H1063"/>
    <mergeCell ref="P940:P941"/>
    <mergeCell ref="A934:A937"/>
    <mergeCell ref="D910:D911"/>
    <mergeCell ref="E910:E911"/>
    <mergeCell ref="P908:P909"/>
    <mergeCell ref="P779:P782"/>
    <mergeCell ref="D954:D955"/>
    <mergeCell ref="E954:E955"/>
    <mergeCell ref="H954:H955"/>
    <mergeCell ref="H944:H945"/>
    <mergeCell ref="P944:P945"/>
    <mergeCell ref="P912:P913"/>
    <mergeCell ref="D914:D915"/>
    <mergeCell ref="P886:P887"/>
    <mergeCell ref="E928:E929"/>
    <mergeCell ref="H910:H911"/>
    <mergeCell ref="H912:H913"/>
    <mergeCell ref="B882:B885"/>
    <mergeCell ref="C882:C885"/>
    <mergeCell ref="D882:D883"/>
    <mergeCell ref="E882:E883"/>
    <mergeCell ref="B962:B965"/>
    <mergeCell ref="B999:B1002"/>
    <mergeCell ref="E991:E992"/>
    <mergeCell ref="D989:D990"/>
    <mergeCell ref="A1155:A1158"/>
    <mergeCell ref="A1143:A1146"/>
    <mergeCell ref="B1143:B1146"/>
    <mergeCell ref="C1143:C1146"/>
    <mergeCell ref="D1143:D1144"/>
    <mergeCell ref="A1014:A1017"/>
    <mergeCell ref="B1014:B1017"/>
    <mergeCell ref="D1014:D1015"/>
    <mergeCell ref="E1014:E1015"/>
    <mergeCell ref="B1155:B1158"/>
    <mergeCell ref="B1010:B1013"/>
    <mergeCell ref="D1010:D1011"/>
    <mergeCell ref="E1010:E1011"/>
    <mergeCell ref="A1026:A1029"/>
    <mergeCell ref="B1026:B1029"/>
    <mergeCell ref="A710:A713"/>
    <mergeCell ref="A714:A717"/>
    <mergeCell ref="B714:B717"/>
    <mergeCell ref="D692:D693"/>
    <mergeCell ref="E692:E693"/>
    <mergeCell ref="E759:E760"/>
    <mergeCell ref="A749:A752"/>
    <mergeCell ref="B753:B756"/>
    <mergeCell ref="B757:B760"/>
    <mergeCell ref="D706:D707"/>
    <mergeCell ref="E706:E707"/>
    <mergeCell ref="B946:B949"/>
    <mergeCell ref="P789:P792"/>
    <mergeCell ref="P763:P764"/>
    <mergeCell ref="H906:H907"/>
    <mergeCell ref="A765:A768"/>
    <mergeCell ref="A946:A949"/>
    <mergeCell ref="E716:E717"/>
    <mergeCell ref="E696:E697"/>
    <mergeCell ref="B783:B788"/>
    <mergeCell ref="H759:H760"/>
    <mergeCell ref="P733:P734"/>
    <mergeCell ref="P731:P732"/>
    <mergeCell ref="P757:P760"/>
    <mergeCell ref="E771:E774"/>
    <mergeCell ref="P820:P821"/>
    <mergeCell ref="B798:B801"/>
    <mergeCell ref="C798:C801"/>
    <mergeCell ref="D798:D799"/>
    <mergeCell ref="D763:D764"/>
    <mergeCell ref="D771:D774"/>
    <mergeCell ref="A727:A732"/>
    <mergeCell ref="D698:D699"/>
    <mergeCell ref="D894:D895"/>
    <mergeCell ref="E894:E895"/>
    <mergeCell ref="A922:A925"/>
    <mergeCell ref="B922:B925"/>
    <mergeCell ref="D922:D923"/>
    <mergeCell ref="E922:E923"/>
    <mergeCell ref="E789:E790"/>
    <mergeCell ref="C727:C740"/>
    <mergeCell ref="D735:D736"/>
    <mergeCell ref="D743:D744"/>
    <mergeCell ref="D718:D719"/>
    <mergeCell ref="C753:C760"/>
    <mergeCell ref="C745:C752"/>
    <mergeCell ref="A769:A774"/>
    <mergeCell ref="D908:D909"/>
    <mergeCell ref="E908:E909"/>
    <mergeCell ref="B896:B905"/>
    <mergeCell ref="A896:A905"/>
    <mergeCell ref="D926:D927"/>
    <mergeCell ref="E926:E927"/>
    <mergeCell ref="D751:D752"/>
    <mergeCell ref="E753:E754"/>
    <mergeCell ref="D767:D768"/>
    <mergeCell ref="D753:D754"/>
    <mergeCell ref="D783:D784"/>
    <mergeCell ref="D759:D760"/>
    <mergeCell ref="P706:P707"/>
    <mergeCell ref="P708:P709"/>
    <mergeCell ref="P710:P711"/>
    <mergeCell ref="D938:D939"/>
    <mergeCell ref="C906:C909"/>
    <mergeCell ref="A700:A705"/>
    <mergeCell ref="B700:B705"/>
    <mergeCell ref="D946:D947"/>
    <mergeCell ref="D779:D780"/>
    <mergeCell ref="E946:E947"/>
    <mergeCell ref="B749:B752"/>
    <mergeCell ref="B765:B768"/>
    <mergeCell ref="D781:D782"/>
    <mergeCell ref="E781:E782"/>
    <mergeCell ref="E767:E768"/>
    <mergeCell ref="A991:A994"/>
    <mergeCell ref="E997:E998"/>
    <mergeCell ref="E745:E746"/>
    <mergeCell ref="A798:A801"/>
    <mergeCell ref="A696:A699"/>
    <mergeCell ref="A706:A709"/>
    <mergeCell ref="D708:D709"/>
    <mergeCell ref="E714:E715"/>
    <mergeCell ref="E749:E750"/>
    <mergeCell ref="A816:A819"/>
    <mergeCell ref="D934:D935"/>
    <mergeCell ref="D912:D913"/>
    <mergeCell ref="E930:E931"/>
    <mergeCell ref="E798:E799"/>
    <mergeCell ref="A836:A842"/>
    <mergeCell ref="A962:A965"/>
    <mergeCell ref="D977:D978"/>
    <mergeCell ref="E1001:E1002"/>
    <mergeCell ref="A987:A990"/>
    <mergeCell ref="D932:D933"/>
    <mergeCell ref="E932:E933"/>
    <mergeCell ref="B779:B782"/>
    <mergeCell ref="B983:B986"/>
    <mergeCell ref="A830:A835"/>
    <mergeCell ref="D836:D838"/>
    <mergeCell ref="E836:E838"/>
    <mergeCell ref="A861:A864"/>
    <mergeCell ref="B861:B864"/>
    <mergeCell ref="D861:D862"/>
    <mergeCell ref="E861:E862"/>
    <mergeCell ref="E785:E788"/>
    <mergeCell ref="D785:D788"/>
    <mergeCell ref="D956:D957"/>
    <mergeCell ref="E956:E957"/>
    <mergeCell ref="E816:E817"/>
    <mergeCell ref="A802:A805"/>
    <mergeCell ref="B802:B807"/>
    <mergeCell ref="C802:C807"/>
    <mergeCell ref="D802:D803"/>
    <mergeCell ref="E802:E803"/>
    <mergeCell ref="D924:D925"/>
    <mergeCell ref="A745:A748"/>
    <mergeCell ref="D765:D766"/>
    <mergeCell ref="B934:B937"/>
    <mergeCell ref="A930:A933"/>
    <mergeCell ref="A914:A917"/>
    <mergeCell ref="B914:B917"/>
    <mergeCell ref="E914:E915"/>
    <mergeCell ref="D916:D917"/>
    <mergeCell ref="E916:E917"/>
    <mergeCell ref="C886:C891"/>
    <mergeCell ref="B886:B891"/>
    <mergeCell ref="A886:A891"/>
    <mergeCell ref="A779:A782"/>
    <mergeCell ref="A669:A674"/>
    <mergeCell ref="D637:D638"/>
    <mergeCell ref="D605:D606"/>
    <mergeCell ref="E605:E606"/>
    <mergeCell ref="D607:D608"/>
    <mergeCell ref="D789:D790"/>
    <mergeCell ref="D504:D507"/>
    <mergeCell ref="E534:E535"/>
    <mergeCell ref="A661:A664"/>
    <mergeCell ref="B661:B664"/>
    <mergeCell ref="C661:C664"/>
    <mergeCell ref="A550:A553"/>
    <mergeCell ref="B550:B553"/>
    <mergeCell ref="E791:E792"/>
    <mergeCell ref="D520:D521"/>
    <mergeCell ref="E520:E521"/>
    <mergeCell ref="E645:E646"/>
    <mergeCell ref="D769:D770"/>
    <mergeCell ref="A687:A688"/>
    <mergeCell ref="D631:D632"/>
    <mergeCell ref="E633:E634"/>
    <mergeCell ref="C789:C792"/>
    <mergeCell ref="E698:E699"/>
    <mergeCell ref="D700:D701"/>
    <mergeCell ref="E700:E701"/>
    <mergeCell ref="D702:D703"/>
    <mergeCell ref="E702:E703"/>
    <mergeCell ref="E712:E713"/>
    <mergeCell ref="D729:D732"/>
    <mergeCell ref="B727:B732"/>
    <mergeCell ref="B733:B736"/>
    <mergeCell ref="A733:A736"/>
    <mergeCell ref="P932:P933"/>
    <mergeCell ref="H932:H933"/>
    <mergeCell ref="H798:H799"/>
    <mergeCell ref="A753:A756"/>
    <mergeCell ref="A757:A760"/>
    <mergeCell ref="A783:A788"/>
    <mergeCell ref="E763:E764"/>
    <mergeCell ref="P926:P927"/>
    <mergeCell ref="D928:D929"/>
    <mergeCell ref="A761:A764"/>
    <mergeCell ref="D723:D726"/>
    <mergeCell ref="B737:B740"/>
    <mergeCell ref="B789:B792"/>
    <mergeCell ref="E751:E752"/>
    <mergeCell ref="D657:D660"/>
    <mergeCell ref="P625:P628"/>
    <mergeCell ref="P629:P632"/>
    <mergeCell ref="D581:D582"/>
    <mergeCell ref="A585:A588"/>
    <mergeCell ref="E643:E644"/>
    <mergeCell ref="C566:C567"/>
    <mergeCell ref="C655:C660"/>
    <mergeCell ref="A526:A529"/>
    <mergeCell ref="C502:C559"/>
    <mergeCell ref="A593:A596"/>
    <mergeCell ref="D904:D905"/>
    <mergeCell ref="E904:E905"/>
    <mergeCell ref="H727:H728"/>
    <mergeCell ref="P773:P774"/>
    <mergeCell ref="P727:P728"/>
    <mergeCell ref="B769:B774"/>
    <mergeCell ref="H761:H762"/>
    <mergeCell ref="P338:P339"/>
    <mergeCell ref="A338:A341"/>
    <mergeCell ref="B338:B341"/>
    <mergeCell ref="A251:A256"/>
    <mergeCell ref="B251:B256"/>
    <mergeCell ref="D251:D252"/>
    <mergeCell ref="E251:E252"/>
    <mergeCell ref="H251:H252"/>
    <mergeCell ref="E245:E248"/>
    <mergeCell ref="P315:P316"/>
    <mergeCell ref="P346:P347"/>
    <mergeCell ref="A287:A290"/>
    <mergeCell ref="A342:A345"/>
    <mergeCell ref="H263:H264"/>
    <mergeCell ref="P263:P264"/>
    <mergeCell ref="E217:E218"/>
    <mergeCell ref="P217:P220"/>
    <mergeCell ref="D219:D220"/>
    <mergeCell ref="P245:P246"/>
    <mergeCell ref="H265:H266"/>
    <mergeCell ref="A271:A276"/>
    <mergeCell ref="P249:P250"/>
    <mergeCell ref="P221:P222"/>
    <mergeCell ref="B265:B270"/>
    <mergeCell ref="D344:D345"/>
    <mergeCell ref="E344:E345"/>
    <mergeCell ref="H344:H345"/>
    <mergeCell ref="P344:P345"/>
    <mergeCell ref="P325:P326"/>
    <mergeCell ref="P342:P343"/>
    <mergeCell ref="E283:E284"/>
    <mergeCell ref="D283:D284"/>
    <mergeCell ref="P303:P304"/>
    <mergeCell ref="A293:A294"/>
    <mergeCell ref="B293:B294"/>
    <mergeCell ref="D293:D294"/>
    <mergeCell ref="E293:E294"/>
    <mergeCell ref="D285:D286"/>
    <mergeCell ref="D245:D248"/>
    <mergeCell ref="D277:D278"/>
    <mergeCell ref="A291:A292"/>
    <mergeCell ref="B291:B292"/>
    <mergeCell ref="C251:C262"/>
    <mergeCell ref="A257:A262"/>
    <mergeCell ref="B257:B262"/>
    <mergeCell ref="P227:P228"/>
    <mergeCell ref="D309:D310"/>
    <mergeCell ref="H273:H276"/>
    <mergeCell ref="C265:C270"/>
    <mergeCell ref="B271:B276"/>
    <mergeCell ref="E303:E304"/>
    <mergeCell ref="H303:H304"/>
    <mergeCell ref="D253:D256"/>
    <mergeCell ref="E333:E336"/>
    <mergeCell ref="B327:B330"/>
    <mergeCell ref="A327:A330"/>
    <mergeCell ref="D327:D328"/>
    <mergeCell ref="E327:E328"/>
    <mergeCell ref="D329:D330"/>
    <mergeCell ref="E329:E330"/>
    <mergeCell ref="B331:B336"/>
    <mergeCell ref="C331:C336"/>
    <mergeCell ref="A331:A336"/>
    <mergeCell ref="D331:D332"/>
    <mergeCell ref="P56:P57"/>
    <mergeCell ref="C62:C67"/>
    <mergeCell ref="C68:C75"/>
    <mergeCell ref="D58:D61"/>
    <mergeCell ref="E58:E61"/>
    <mergeCell ref="D199:D200"/>
    <mergeCell ref="E180:E183"/>
    <mergeCell ref="P66:P67"/>
    <mergeCell ref="P68:P69"/>
    <mergeCell ref="P74:P75"/>
    <mergeCell ref="P76:P77"/>
    <mergeCell ref="P78:P79"/>
    <mergeCell ref="P80:P81"/>
    <mergeCell ref="P160:P161"/>
    <mergeCell ref="P162:P163"/>
    <mergeCell ref="P164:P165"/>
    <mergeCell ref="P168:P169"/>
    <mergeCell ref="P170:P171"/>
    <mergeCell ref="P180:P181"/>
    <mergeCell ref="P186:P187"/>
    <mergeCell ref="A186:A187"/>
    <mergeCell ref="B186:B187"/>
    <mergeCell ref="C186:C187"/>
    <mergeCell ref="A146:A155"/>
    <mergeCell ref="B146:B155"/>
    <mergeCell ref="D140:D141"/>
    <mergeCell ref="C146:C155"/>
    <mergeCell ref="D148:D155"/>
    <mergeCell ref="E148:E155"/>
    <mergeCell ref="D186:D187"/>
    <mergeCell ref="E186:E187"/>
    <mergeCell ref="H186:H187"/>
    <mergeCell ref="A142:A145"/>
    <mergeCell ref="A82:A83"/>
    <mergeCell ref="B82:B83"/>
    <mergeCell ref="C82:C83"/>
    <mergeCell ref="D82:D83"/>
    <mergeCell ref="E82:E83"/>
    <mergeCell ref="H82:H83"/>
    <mergeCell ref="A84:A87"/>
    <mergeCell ref="B84:B87"/>
    <mergeCell ref="C84:C87"/>
    <mergeCell ref="D84:D85"/>
    <mergeCell ref="E84:E85"/>
    <mergeCell ref="H84:H85"/>
    <mergeCell ref="P84:P85"/>
    <mergeCell ref="D86:D87"/>
    <mergeCell ref="E86:E87"/>
    <mergeCell ref="H86:H87"/>
    <mergeCell ref="P86:P87"/>
    <mergeCell ref="D122:D123"/>
    <mergeCell ref="H128:H129"/>
    <mergeCell ref="A168:A171"/>
    <mergeCell ref="P156:P157"/>
    <mergeCell ref="P172:P173"/>
    <mergeCell ref="P174:P175"/>
    <mergeCell ref="P176:P177"/>
    <mergeCell ref="P82:P83"/>
    <mergeCell ref="B142:B145"/>
    <mergeCell ref="C142:C145"/>
    <mergeCell ref="H144:H145"/>
    <mergeCell ref="C138:C141"/>
    <mergeCell ref="P126:P127"/>
    <mergeCell ref="A192:A196"/>
    <mergeCell ref="H54:H55"/>
    <mergeCell ref="C56:C61"/>
    <mergeCell ref="P58:P59"/>
    <mergeCell ref="E64:E67"/>
    <mergeCell ref="H64:H65"/>
    <mergeCell ref="P64:P65"/>
    <mergeCell ref="D70:D75"/>
    <mergeCell ref="E70:E75"/>
    <mergeCell ref="H70:H71"/>
    <mergeCell ref="P70:P71"/>
    <mergeCell ref="H72:H73"/>
    <mergeCell ref="P72:P73"/>
    <mergeCell ref="H60:H61"/>
    <mergeCell ref="H52:H53"/>
    <mergeCell ref="P60:P61"/>
    <mergeCell ref="P52:P55"/>
    <mergeCell ref="E52:E53"/>
    <mergeCell ref="A52:A55"/>
    <mergeCell ref="B52:B55"/>
    <mergeCell ref="H56:H57"/>
    <mergeCell ref="E78:E79"/>
    <mergeCell ref="C52:C55"/>
    <mergeCell ref="H58:H59"/>
    <mergeCell ref="D64:D67"/>
    <mergeCell ref="D37:D38"/>
    <mergeCell ref="D52:D53"/>
    <mergeCell ref="D54:D55"/>
    <mergeCell ref="A76:A77"/>
    <mergeCell ref="B76:B77"/>
    <mergeCell ref="C76:C77"/>
    <mergeCell ref="D76:D77"/>
    <mergeCell ref="E76:E77"/>
    <mergeCell ref="C78:C81"/>
    <mergeCell ref="D78:D79"/>
    <mergeCell ref="H78:H79"/>
    <mergeCell ref="D80:D81"/>
    <mergeCell ref="E80:E81"/>
    <mergeCell ref="H80:H81"/>
    <mergeCell ref="C37:C44"/>
    <mergeCell ref="D39:D40"/>
    <mergeCell ref="E39:E40"/>
    <mergeCell ref="P45:P46"/>
    <mergeCell ref="P47:P48"/>
    <mergeCell ref="P49:P50"/>
    <mergeCell ref="P62:P63"/>
    <mergeCell ref="H66:H67"/>
    <mergeCell ref="A68:A75"/>
    <mergeCell ref="B68:B75"/>
    <mergeCell ref="D68:D69"/>
    <mergeCell ref="E68:E69"/>
    <mergeCell ref="H68:H69"/>
    <mergeCell ref="H74:H75"/>
    <mergeCell ref="A62:A67"/>
    <mergeCell ref="B62:B67"/>
    <mergeCell ref="D62:D63"/>
    <mergeCell ref="E62:E63"/>
    <mergeCell ref="H62:H63"/>
    <mergeCell ref="H76:H77"/>
    <mergeCell ref="A78:A81"/>
    <mergeCell ref="B78:B81"/>
    <mergeCell ref="A56:A61"/>
    <mergeCell ref="B56:B61"/>
    <mergeCell ref="C47:C50"/>
    <mergeCell ref="D47:D50"/>
    <mergeCell ref="B25:B28"/>
    <mergeCell ref="A29:A32"/>
    <mergeCell ref="E45:E46"/>
    <mergeCell ref="H45:H46"/>
    <mergeCell ref="D17:D18"/>
    <mergeCell ref="E25:E26"/>
    <mergeCell ref="H25:H26"/>
    <mergeCell ref="E19:E20"/>
    <mergeCell ref="H19:H20"/>
    <mergeCell ref="D19:D20"/>
    <mergeCell ref="H47:H48"/>
    <mergeCell ref="D33:D34"/>
    <mergeCell ref="A41:A44"/>
    <mergeCell ref="C5:C20"/>
    <mergeCell ref="C21:C36"/>
    <mergeCell ref="D7:D8"/>
    <mergeCell ref="D9:D10"/>
    <mergeCell ref="D43:D44"/>
    <mergeCell ref="E43:E44"/>
    <mergeCell ref="D35:D36"/>
    <mergeCell ref="E35:E36"/>
    <mergeCell ref="E33:E34"/>
    <mergeCell ref="E23:E24"/>
    <mergeCell ref="D27:D28"/>
    <mergeCell ref="E27:E28"/>
    <mergeCell ref="B21:B24"/>
    <mergeCell ref="H27:H28"/>
    <mergeCell ref="D41:D42"/>
    <mergeCell ref="E37:E38"/>
    <mergeCell ref="E41:E42"/>
    <mergeCell ref="D15:D16"/>
    <mergeCell ref="E13:E14"/>
    <mergeCell ref="H13:H14"/>
    <mergeCell ref="E7:E8"/>
    <mergeCell ref="B9:B12"/>
    <mergeCell ref="D11:D12"/>
    <mergeCell ref="E11:E12"/>
    <mergeCell ref="D31:D32"/>
    <mergeCell ref="E31:E32"/>
    <mergeCell ref="H31:H32"/>
    <mergeCell ref="A25:A28"/>
    <mergeCell ref="B29:B32"/>
    <mergeCell ref="A17:A20"/>
    <mergeCell ref="B17:B20"/>
    <mergeCell ref="D29:D30"/>
    <mergeCell ref="E29:E30"/>
    <mergeCell ref="H29:H30"/>
    <mergeCell ref="A21:A24"/>
    <mergeCell ref="H7:H8"/>
    <mergeCell ref="E17:E18"/>
    <mergeCell ref="H17:H18"/>
    <mergeCell ref="D21:D22"/>
    <mergeCell ref="E21:E22"/>
    <mergeCell ref="H11:H12"/>
    <mergeCell ref="B5:B8"/>
    <mergeCell ref="E9:E10"/>
    <mergeCell ref="H35:H36"/>
    <mergeCell ref="B41:B44"/>
    <mergeCell ref="A9:A12"/>
    <mergeCell ref="H21:H22"/>
    <mergeCell ref="D25:D26"/>
    <mergeCell ref="H23:H24"/>
    <mergeCell ref="D23:D24"/>
    <mergeCell ref="H166:H167"/>
    <mergeCell ref="B197:B200"/>
    <mergeCell ref="C197:C200"/>
    <mergeCell ref="H172:H173"/>
    <mergeCell ref="A188:A191"/>
    <mergeCell ref="G2:G3"/>
    <mergeCell ref="B120:B121"/>
    <mergeCell ref="C120:C121"/>
    <mergeCell ref="D128:D129"/>
    <mergeCell ref="H176:H177"/>
    <mergeCell ref="H170:H171"/>
    <mergeCell ref="H160:H161"/>
    <mergeCell ref="E209:E210"/>
    <mergeCell ref="H197:H198"/>
    <mergeCell ref="H201:H202"/>
    <mergeCell ref="B473:B474"/>
    <mergeCell ref="H215:H216"/>
    <mergeCell ref="H217:H218"/>
    <mergeCell ref="A665:A668"/>
    <mergeCell ref="D655:D656"/>
    <mergeCell ref="A775:A778"/>
    <mergeCell ref="B775:B778"/>
    <mergeCell ref="C775:C778"/>
    <mergeCell ref="E775:E776"/>
    <mergeCell ref="D775:D776"/>
    <mergeCell ref="D777:D778"/>
    <mergeCell ref="E777:E778"/>
    <mergeCell ref="B991:B994"/>
    <mergeCell ref="E884:E885"/>
    <mergeCell ref="D888:D891"/>
    <mergeCell ref="E888:E891"/>
    <mergeCell ref="E912:E913"/>
    <mergeCell ref="E960:E961"/>
    <mergeCell ref="D960:D961"/>
    <mergeCell ref="C761:C774"/>
    <mergeCell ref="D669:D670"/>
    <mergeCell ref="E675:E676"/>
    <mergeCell ref="D643:D644"/>
    <mergeCell ref="E639:E640"/>
    <mergeCell ref="D627:D628"/>
    <mergeCell ref="E15:E16"/>
    <mergeCell ref="H15:H16"/>
    <mergeCell ref="A33:A36"/>
    <mergeCell ref="A45:A46"/>
    <mergeCell ref="B45:B46"/>
    <mergeCell ref="A2:A3"/>
    <mergeCell ref="B2:B3"/>
    <mergeCell ref="D2:E2"/>
    <mergeCell ref="F2:F3"/>
    <mergeCell ref="C2:C3"/>
    <mergeCell ref="H2:H3"/>
    <mergeCell ref="D745:D746"/>
    <mergeCell ref="D749:D750"/>
    <mergeCell ref="D739:D740"/>
    <mergeCell ref="H665:H666"/>
    <mergeCell ref="E510:E511"/>
    <mergeCell ref="D566:D567"/>
    <mergeCell ref="H743:H744"/>
    <mergeCell ref="H745:H746"/>
    <mergeCell ref="H749:H750"/>
    <mergeCell ref="E721:E722"/>
    <mergeCell ref="D721:D722"/>
    <mergeCell ref="E522:E525"/>
    <mergeCell ref="D611:D612"/>
    <mergeCell ref="O2:O3"/>
    <mergeCell ref="I2:N2"/>
    <mergeCell ref="D451:D452"/>
    <mergeCell ref="H9:H10"/>
    <mergeCell ref="E227:E228"/>
    <mergeCell ref="D88:D89"/>
    <mergeCell ref="E88:E89"/>
    <mergeCell ref="H88:H89"/>
    <mergeCell ref="B128:B133"/>
    <mergeCell ref="A37:A40"/>
    <mergeCell ref="B37:B40"/>
    <mergeCell ref="A13:A16"/>
    <mergeCell ref="B13:B16"/>
    <mergeCell ref="D221:D222"/>
    <mergeCell ref="H223:H224"/>
    <mergeCell ref="H225:H226"/>
    <mergeCell ref="H227:H228"/>
    <mergeCell ref="D215:D216"/>
    <mergeCell ref="E215:E216"/>
    <mergeCell ref="E188:E189"/>
    <mergeCell ref="D459:D460"/>
    <mergeCell ref="D56:D57"/>
    <mergeCell ref="E56:E57"/>
    <mergeCell ref="D13:D14"/>
    <mergeCell ref="H33:H34"/>
    <mergeCell ref="B33:B36"/>
    <mergeCell ref="A47:A50"/>
    <mergeCell ref="B47:B50"/>
    <mergeCell ref="E47:E50"/>
    <mergeCell ref="H43:H44"/>
    <mergeCell ref="H39:H40"/>
    <mergeCell ref="H37:H38"/>
    <mergeCell ref="H41:H42"/>
    <mergeCell ref="A372:A375"/>
    <mergeCell ref="C287:C290"/>
    <mergeCell ref="D287:D288"/>
    <mergeCell ref="E287:E288"/>
    <mergeCell ref="D289:D290"/>
    <mergeCell ref="E289:E290"/>
    <mergeCell ref="H249:H250"/>
    <mergeCell ref="H267:H270"/>
    <mergeCell ref="C45:C46"/>
    <mergeCell ref="D45:D46"/>
    <mergeCell ref="H221:H222"/>
    <mergeCell ref="A277:A282"/>
    <mergeCell ref="H305:H306"/>
    <mergeCell ref="E431:E432"/>
    <mergeCell ref="B315:B320"/>
    <mergeCell ref="A315:A320"/>
    <mergeCell ref="C188:C191"/>
    <mergeCell ref="B311:B314"/>
    <mergeCell ref="E203:E204"/>
    <mergeCell ref="A172:A175"/>
    <mergeCell ref="C168:C175"/>
    <mergeCell ref="D126:D127"/>
    <mergeCell ref="D160:D161"/>
    <mergeCell ref="B156:B159"/>
    <mergeCell ref="H162:H163"/>
    <mergeCell ref="E160:E161"/>
    <mergeCell ref="D168:D169"/>
    <mergeCell ref="E168:E169"/>
    <mergeCell ref="E174:E175"/>
    <mergeCell ref="E112:E113"/>
    <mergeCell ref="H112:H113"/>
    <mergeCell ref="H168:H169"/>
    <mergeCell ref="D362:D363"/>
    <mergeCell ref="H188:H189"/>
    <mergeCell ref="H190:H191"/>
    <mergeCell ref="D536:D537"/>
    <mergeCell ref="D441:D442"/>
    <mergeCell ref="E564:E565"/>
    <mergeCell ref="E631:E632"/>
    <mergeCell ref="D633:D634"/>
    <mergeCell ref="D197:D198"/>
    <mergeCell ref="E197:E198"/>
    <mergeCell ref="H199:H200"/>
    <mergeCell ref="D518:D519"/>
    <mergeCell ref="E518:E519"/>
    <mergeCell ref="D227:D228"/>
    <mergeCell ref="P2:P3"/>
    <mergeCell ref="H231:H232"/>
    <mergeCell ref="E429:E430"/>
    <mergeCell ref="D457:D458"/>
    <mergeCell ref="D190:D191"/>
    <mergeCell ref="E190:E191"/>
    <mergeCell ref="E162:E163"/>
    <mergeCell ref="E309:E310"/>
    <mergeCell ref="E271:E272"/>
    <mergeCell ref="H645:H646"/>
    <mergeCell ref="D467:D468"/>
    <mergeCell ref="A431:A434"/>
    <mergeCell ref="D461:D462"/>
    <mergeCell ref="A415:A418"/>
    <mergeCell ref="A427:A430"/>
    <mergeCell ref="E459:E460"/>
    <mergeCell ref="A459:A462"/>
    <mergeCell ref="A488:A489"/>
    <mergeCell ref="D453:D454"/>
    <mergeCell ref="A455:A458"/>
    <mergeCell ref="B633:B636"/>
    <mergeCell ref="B629:B632"/>
    <mergeCell ref="E486:E487"/>
    <mergeCell ref="D571:D572"/>
    <mergeCell ref="E417:E418"/>
    <mergeCell ref="D645:D646"/>
    <mergeCell ref="H633:H634"/>
    <mergeCell ref="D562:D563"/>
    <mergeCell ref="D207:D208"/>
    <mergeCell ref="D203:D204"/>
    <mergeCell ref="A633:A636"/>
    <mergeCell ref="D623:D624"/>
    <mergeCell ref="E623:E624"/>
    <mergeCell ref="B643:B646"/>
    <mergeCell ref="B277:B282"/>
    <mergeCell ref="D279:D282"/>
    <mergeCell ref="E279:E282"/>
    <mergeCell ref="H279:H282"/>
    <mergeCell ref="A311:A314"/>
    <mergeCell ref="D311:D312"/>
    <mergeCell ref="E311:E312"/>
    <mergeCell ref="D313:D314"/>
    <mergeCell ref="H313:H314"/>
    <mergeCell ref="H315:H316"/>
    <mergeCell ref="H317:H320"/>
    <mergeCell ref="D615:D616"/>
    <mergeCell ref="E615:E616"/>
    <mergeCell ref="E480:E481"/>
    <mergeCell ref="H498:H501"/>
    <mergeCell ref="H702:H703"/>
    <mergeCell ref="D522:D525"/>
    <mergeCell ref="H661:H662"/>
    <mergeCell ref="D597:D598"/>
    <mergeCell ref="D473:D474"/>
    <mergeCell ref="H469:H470"/>
    <mergeCell ref="D469:D470"/>
    <mergeCell ref="D360:D361"/>
    <mergeCell ref="D554:D555"/>
    <mergeCell ref="E665:E666"/>
    <mergeCell ref="D477:D478"/>
    <mergeCell ref="D447:D448"/>
    <mergeCell ref="E447:E448"/>
    <mergeCell ref="D405:D406"/>
    <mergeCell ref="E441:E442"/>
    <mergeCell ref="E467:E468"/>
    <mergeCell ref="A1:P1"/>
    <mergeCell ref="A641:A642"/>
    <mergeCell ref="B641:B642"/>
    <mergeCell ref="C641:C642"/>
    <mergeCell ref="D641:D642"/>
    <mergeCell ref="E641:E642"/>
    <mergeCell ref="D162:D163"/>
    <mergeCell ref="H271:H272"/>
    <mergeCell ref="H277:H278"/>
    <mergeCell ref="E54:E55"/>
    <mergeCell ref="E122:E123"/>
    <mergeCell ref="H122:H123"/>
    <mergeCell ref="H146:H147"/>
    <mergeCell ref="H174:H175"/>
    <mergeCell ref="E170:E171"/>
    <mergeCell ref="E144:E145"/>
    <mergeCell ref="D443:D444"/>
    <mergeCell ref="D435:D436"/>
    <mergeCell ref="E435:E436"/>
    <mergeCell ref="D423:D424"/>
    <mergeCell ref="D315:D316"/>
    <mergeCell ref="H475:H476"/>
    <mergeCell ref="H488:H489"/>
    <mergeCell ref="E577:E578"/>
    <mergeCell ref="H639:H640"/>
    <mergeCell ref="H496:H497"/>
    <mergeCell ref="H427:H428"/>
    <mergeCell ref="A637:A640"/>
    <mergeCell ref="C637:C640"/>
    <mergeCell ref="B637:B640"/>
    <mergeCell ref="B571:B576"/>
    <mergeCell ref="B469:B472"/>
    <mergeCell ref="D5:D6"/>
    <mergeCell ref="E5:E6"/>
    <mergeCell ref="H5:H6"/>
    <mergeCell ref="A5:A8"/>
    <mergeCell ref="H340:H341"/>
    <mergeCell ref="H390:H391"/>
    <mergeCell ref="H467:H468"/>
    <mergeCell ref="E241:E242"/>
    <mergeCell ref="D243:D244"/>
    <mergeCell ref="E243:E244"/>
    <mergeCell ref="H480:H481"/>
    <mergeCell ref="D213:D214"/>
    <mergeCell ref="E213:E214"/>
    <mergeCell ref="E219:E220"/>
    <mergeCell ref="D120:D121"/>
    <mergeCell ref="D144:D145"/>
    <mergeCell ref="H655:H656"/>
    <mergeCell ref="H675:H676"/>
    <mergeCell ref="D639:D640"/>
    <mergeCell ref="D429:D430"/>
    <mergeCell ref="D439:D440"/>
    <mergeCell ref="E508:E509"/>
    <mergeCell ref="E366:E367"/>
    <mergeCell ref="H657:H660"/>
    <mergeCell ref="E453:E454"/>
    <mergeCell ref="E455:E456"/>
    <mergeCell ref="H613:H614"/>
    <mergeCell ref="E607:E608"/>
    <mergeCell ref="D338:D339"/>
    <mergeCell ref="H522:H525"/>
    <mergeCell ref="D530:D531"/>
    <mergeCell ref="E554:E555"/>
    <mergeCell ref="D556:D559"/>
    <mergeCell ref="E530:E531"/>
    <mergeCell ref="D544:D545"/>
    <mergeCell ref="H544:H545"/>
    <mergeCell ref="D546:D549"/>
    <mergeCell ref="E546:E549"/>
    <mergeCell ref="H546:H549"/>
    <mergeCell ref="H667:H668"/>
    <mergeCell ref="E512:E513"/>
    <mergeCell ref="E544:E545"/>
    <mergeCell ref="E597:E598"/>
    <mergeCell ref="H597:H598"/>
    <mergeCell ref="D579:D580"/>
    <mergeCell ref="D333:D336"/>
    <mergeCell ref="H333:H336"/>
    <mergeCell ref="D267:D270"/>
    <mergeCell ref="E267:E270"/>
    <mergeCell ref="H571:H576"/>
    <mergeCell ref="E317:E318"/>
    <mergeCell ref="E425:E426"/>
    <mergeCell ref="H589:H590"/>
    <mergeCell ref="H321:H322"/>
    <mergeCell ref="D352:D355"/>
    <mergeCell ref="E352:E355"/>
    <mergeCell ref="H352:H355"/>
    <mergeCell ref="D635:D636"/>
    <mergeCell ref="E635:E636"/>
    <mergeCell ref="D601:D602"/>
    <mergeCell ref="D508:D509"/>
    <mergeCell ref="D486:D487"/>
    <mergeCell ref="D307:D308"/>
    <mergeCell ref="E307:E308"/>
    <mergeCell ref="D463:D464"/>
    <mergeCell ref="E473:E474"/>
    <mergeCell ref="E370:E371"/>
    <mergeCell ref="H370:H371"/>
    <mergeCell ref="E449:E450"/>
    <mergeCell ref="H449:H450"/>
    <mergeCell ref="H461:H462"/>
    <mergeCell ref="H443:H444"/>
    <mergeCell ref="H451:H452"/>
    <mergeCell ref="H405:H406"/>
    <mergeCell ref="D425:D426"/>
    <mergeCell ref="E156:E157"/>
    <mergeCell ref="E437:E438"/>
    <mergeCell ref="B423:B426"/>
    <mergeCell ref="B168:B171"/>
    <mergeCell ref="D417:D418"/>
    <mergeCell ref="B490:B491"/>
    <mergeCell ref="D427:D428"/>
    <mergeCell ref="D431:D432"/>
    <mergeCell ref="E433:E434"/>
    <mergeCell ref="D433:D434"/>
    <mergeCell ref="B342:B345"/>
    <mergeCell ref="D342:D343"/>
    <mergeCell ref="E342:E343"/>
    <mergeCell ref="B407:B414"/>
    <mergeCell ref="C407:C414"/>
    <mergeCell ref="D411:D414"/>
    <mergeCell ref="E411:E414"/>
    <mergeCell ref="E392:E393"/>
    <mergeCell ref="B502:B507"/>
    <mergeCell ref="H435:H436"/>
    <mergeCell ref="B245:B250"/>
    <mergeCell ref="C245:C250"/>
    <mergeCell ref="H710:H711"/>
    <mergeCell ref="H714:H715"/>
    <mergeCell ref="D564:D565"/>
    <mergeCell ref="H623:H624"/>
    <mergeCell ref="D625:D626"/>
    <mergeCell ref="E494:E495"/>
    <mergeCell ref="H459:H460"/>
    <mergeCell ref="H415:H416"/>
    <mergeCell ref="H423:H424"/>
    <mergeCell ref="C687:C688"/>
    <mergeCell ref="P340:P341"/>
    <mergeCell ref="D651:D652"/>
    <mergeCell ref="E651:E652"/>
    <mergeCell ref="H649:H650"/>
    <mergeCell ref="H651:H652"/>
    <mergeCell ref="H653:H654"/>
    <mergeCell ref="P534:P535"/>
    <mergeCell ref="P577:P580"/>
    <mergeCell ref="P581:P584"/>
    <mergeCell ref="D683:D686"/>
    <mergeCell ref="E683:E686"/>
    <mergeCell ref="E482:E483"/>
    <mergeCell ref="H482:H483"/>
    <mergeCell ref="D667:D668"/>
    <mergeCell ref="E667:E668"/>
    <mergeCell ref="C473:C474"/>
    <mergeCell ref="E687:E688"/>
    <mergeCell ref="H621:H622"/>
    <mergeCell ref="H346:H347"/>
    <mergeCell ref="P255:P256"/>
    <mergeCell ref="H211:H212"/>
    <mergeCell ref="E277:E278"/>
    <mergeCell ref="P405:P406"/>
    <mergeCell ref="P352:P353"/>
    <mergeCell ref="E484:E485"/>
    <mergeCell ref="D587:D588"/>
    <mergeCell ref="E663:E664"/>
    <mergeCell ref="E708:E709"/>
    <mergeCell ref="D484:D485"/>
    <mergeCell ref="E477:E478"/>
    <mergeCell ref="H492:H493"/>
    <mergeCell ref="D273:D276"/>
    <mergeCell ref="H765:H766"/>
    <mergeCell ref="E733:E734"/>
    <mergeCell ref="P729:P730"/>
    <mergeCell ref="D170:D171"/>
    <mergeCell ref="P665:P668"/>
    <mergeCell ref="P761:P762"/>
    <mergeCell ref="E601:E602"/>
    <mergeCell ref="P386:P387"/>
    <mergeCell ref="H243:H244"/>
    <mergeCell ref="H253:H256"/>
    <mergeCell ref="P253:P254"/>
    <mergeCell ref="D560:D561"/>
    <mergeCell ref="E405:E406"/>
    <mergeCell ref="H362:H363"/>
    <mergeCell ref="P694:P695"/>
    <mergeCell ref="P704:P705"/>
    <mergeCell ref="P696:P697"/>
    <mergeCell ref="P698:P699"/>
    <mergeCell ref="P700:P701"/>
    <mergeCell ref="P702:P703"/>
    <mergeCell ref="P661:P664"/>
    <mergeCell ref="P657:P658"/>
    <mergeCell ref="P571:P572"/>
    <mergeCell ref="P573:P574"/>
    <mergeCell ref="P671:P672"/>
    <mergeCell ref="P673:P674"/>
    <mergeCell ref="P655:P656"/>
    <mergeCell ref="P601:P604"/>
    <mergeCell ref="E457:E458"/>
    <mergeCell ref="H512:H513"/>
    <mergeCell ref="E469:E470"/>
    <mergeCell ref="E669:E670"/>
    <mergeCell ref="H669:H670"/>
    <mergeCell ref="H663:H664"/>
    <mergeCell ref="E621:E622"/>
    <mergeCell ref="E475:E476"/>
    <mergeCell ref="D471:D472"/>
    <mergeCell ref="E471:E472"/>
    <mergeCell ref="H465:H466"/>
    <mergeCell ref="H504:H507"/>
    <mergeCell ref="H471:H472"/>
    <mergeCell ref="D480:D481"/>
    <mergeCell ref="H681:H682"/>
    <mergeCell ref="H683:H686"/>
    <mergeCell ref="H562:H563"/>
    <mergeCell ref="D569:D570"/>
    <mergeCell ref="D573:D576"/>
    <mergeCell ref="H696:H697"/>
    <mergeCell ref="H700:H701"/>
    <mergeCell ref="D671:D674"/>
    <mergeCell ref="H641:H642"/>
    <mergeCell ref="E657:E660"/>
    <mergeCell ref="H698:H699"/>
    <mergeCell ref="H677:H680"/>
    <mergeCell ref="H637:H638"/>
    <mergeCell ref="E637:E638"/>
    <mergeCell ref="H631:H632"/>
    <mergeCell ref="P669:P670"/>
    <mergeCell ref="P675:P676"/>
    <mergeCell ref="P687:P688"/>
    <mergeCell ref="D649:D650"/>
    <mergeCell ref="E649:E650"/>
    <mergeCell ref="E653:E654"/>
    <mergeCell ref="D653:D654"/>
    <mergeCell ref="E757:E758"/>
    <mergeCell ref="H577:H578"/>
    <mergeCell ref="D348:D349"/>
    <mergeCell ref="E348:E349"/>
    <mergeCell ref="H350:H351"/>
    <mergeCell ref="E528:E529"/>
    <mergeCell ref="H528:H529"/>
    <mergeCell ref="H520:H521"/>
    <mergeCell ref="A467:A468"/>
    <mergeCell ref="H380:H381"/>
    <mergeCell ref="D591:D592"/>
    <mergeCell ref="D585:D586"/>
    <mergeCell ref="E585:E586"/>
    <mergeCell ref="H585:H586"/>
    <mergeCell ref="A443:A446"/>
    <mergeCell ref="E566:E567"/>
    <mergeCell ref="H566:H567"/>
    <mergeCell ref="H619:H620"/>
    <mergeCell ref="B669:B674"/>
    <mergeCell ref="D502:D503"/>
    <mergeCell ref="E504:E507"/>
    <mergeCell ref="D757:D758"/>
    <mergeCell ref="E562:E563"/>
    <mergeCell ref="E655:E656"/>
    <mergeCell ref="H591:H592"/>
    <mergeCell ref="H593:H594"/>
    <mergeCell ref="E496:E497"/>
    <mergeCell ref="H647:H648"/>
    <mergeCell ref="H735:H736"/>
    <mergeCell ref="H739:H740"/>
    <mergeCell ref="H718:H719"/>
    <mergeCell ref="H708:H709"/>
    <mergeCell ref="D710:D711"/>
    <mergeCell ref="E710:E711"/>
    <mergeCell ref="D712:D713"/>
    <mergeCell ref="A392:A395"/>
    <mergeCell ref="B392:B395"/>
    <mergeCell ref="D392:D393"/>
    <mergeCell ref="B463:B466"/>
    <mergeCell ref="H486:H487"/>
    <mergeCell ref="C486:C487"/>
    <mergeCell ref="E498:E501"/>
    <mergeCell ref="A484:A485"/>
    <mergeCell ref="B516:B519"/>
    <mergeCell ref="D516:D517"/>
    <mergeCell ref="E516:E517"/>
    <mergeCell ref="H516:H517"/>
    <mergeCell ref="H392:H393"/>
    <mergeCell ref="A512:A515"/>
    <mergeCell ref="D538:D539"/>
    <mergeCell ref="E538:E539"/>
    <mergeCell ref="H538:H539"/>
    <mergeCell ref="A508:A511"/>
    <mergeCell ref="E463:E464"/>
    <mergeCell ref="D492:D493"/>
    <mergeCell ref="A480:A483"/>
    <mergeCell ref="B480:B483"/>
    <mergeCell ref="C480:C483"/>
    <mergeCell ref="D482:D483"/>
    <mergeCell ref="A625:A628"/>
    <mergeCell ref="A629:A632"/>
    <mergeCell ref="B415:B418"/>
    <mergeCell ref="E443:E444"/>
    <mergeCell ref="H407:H408"/>
    <mergeCell ref="P749:P750"/>
    <mergeCell ref="H690:H691"/>
    <mergeCell ref="C496:C501"/>
    <mergeCell ref="E727:E728"/>
    <mergeCell ref="D755:D756"/>
    <mergeCell ref="H599:H600"/>
    <mergeCell ref="B613:B616"/>
    <mergeCell ref="D526:D527"/>
    <mergeCell ref="E526:E527"/>
    <mergeCell ref="P566:P567"/>
    <mergeCell ref="D415:D416"/>
    <mergeCell ref="A346:A349"/>
    <mergeCell ref="E321:E322"/>
    <mergeCell ref="P390:P391"/>
    <mergeCell ref="A368:A371"/>
    <mergeCell ref="B569:B570"/>
    <mergeCell ref="C571:C576"/>
    <mergeCell ref="B534:B537"/>
    <mergeCell ref="B554:B559"/>
    <mergeCell ref="E492:E493"/>
    <mergeCell ref="A530:A533"/>
    <mergeCell ref="A569:A570"/>
    <mergeCell ref="A571:A576"/>
    <mergeCell ref="A560:A561"/>
    <mergeCell ref="A562:A565"/>
    <mergeCell ref="P508:P509"/>
    <mergeCell ref="D510:D511"/>
    <mergeCell ref="H494:H495"/>
    <mergeCell ref="H502:H503"/>
    <mergeCell ref="H402:H403"/>
    <mergeCell ref="P402:P403"/>
    <mergeCell ref="A384:A387"/>
    <mergeCell ref="H453:H454"/>
    <mergeCell ref="B530:B533"/>
    <mergeCell ref="B566:B567"/>
    <mergeCell ref="A554:A559"/>
    <mergeCell ref="A544:A549"/>
    <mergeCell ref="B544:B549"/>
    <mergeCell ref="P544:P545"/>
    <mergeCell ref="D490:D491"/>
    <mergeCell ref="E490:E491"/>
    <mergeCell ref="A534:A537"/>
    <mergeCell ref="D534:D535"/>
    <mergeCell ref="A520:A525"/>
    <mergeCell ref="B520:B525"/>
    <mergeCell ref="E502:E503"/>
    <mergeCell ref="E573:E576"/>
    <mergeCell ref="P504:P505"/>
    <mergeCell ref="E396:E397"/>
    <mergeCell ref="H396:H397"/>
    <mergeCell ref="D498:D501"/>
    <mergeCell ref="E461:E462"/>
    <mergeCell ref="D494:D495"/>
    <mergeCell ref="E571:E572"/>
    <mergeCell ref="D388:D389"/>
    <mergeCell ref="E386:E387"/>
    <mergeCell ref="H386:H387"/>
    <mergeCell ref="D376:D377"/>
    <mergeCell ref="E376:E377"/>
    <mergeCell ref="H376:H377"/>
    <mergeCell ref="A388:A391"/>
    <mergeCell ref="P506:P507"/>
    <mergeCell ref="A538:A543"/>
    <mergeCell ref="B538:B543"/>
    <mergeCell ref="E374:E375"/>
    <mergeCell ref="P362:P363"/>
    <mergeCell ref="P291:P292"/>
    <mergeCell ref="H207:H208"/>
    <mergeCell ref="P223:P224"/>
    <mergeCell ref="H235:H236"/>
    <mergeCell ref="C233:C236"/>
    <mergeCell ref="D233:D234"/>
    <mergeCell ref="E233:E234"/>
    <mergeCell ref="A263:A264"/>
    <mergeCell ref="B263:B264"/>
    <mergeCell ref="C263:C264"/>
    <mergeCell ref="E235:E236"/>
    <mergeCell ref="A241:A244"/>
    <mergeCell ref="C311:C314"/>
    <mergeCell ref="H287:H288"/>
    <mergeCell ref="H289:H290"/>
    <mergeCell ref="H311:H312"/>
    <mergeCell ref="E315:E316"/>
    <mergeCell ref="C315:C320"/>
    <mergeCell ref="A237:A240"/>
    <mergeCell ref="B237:B240"/>
    <mergeCell ref="C237:C240"/>
    <mergeCell ref="D237:D238"/>
    <mergeCell ref="E237:E238"/>
    <mergeCell ref="H237:H238"/>
    <mergeCell ref="P309:P310"/>
    <mergeCell ref="P267:P268"/>
    <mergeCell ref="P251:P252"/>
    <mergeCell ref="D317:D318"/>
    <mergeCell ref="B287:B290"/>
    <mergeCell ref="H219:H220"/>
    <mergeCell ref="A209:A212"/>
    <mergeCell ref="A283:A286"/>
    <mergeCell ref="B283:B286"/>
    <mergeCell ref="C271:C286"/>
    <mergeCell ref="D305:D306"/>
    <mergeCell ref="E305:E306"/>
    <mergeCell ref="D249:D250"/>
    <mergeCell ref="E249:E250"/>
    <mergeCell ref="C209:C212"/>
    <mergeCell ref="D209:D210"/>
    <mergeCell ref="B229:B232"/>
    <mergeCell ref="C229:C232"/>
    <mergeCell ref="D229:D230"/>
    <mergeCell ref="E229:E230"/>
    <mergeCell ref="D231:D232"/>
    <mergeCell ref="H291:H292"/>
    <mergeCell ref="P269:P270"/>
    <mergeCell ref="P354:P355"/>
    <mergeCell ref="B350:B355"/>
    <mergeCell ref="A350:A355"/>
    <mergeCell ref="B205:B208"/>
    <mergeCell ref="B305:B310"/>
    <mergeCell ref="C205:C208"/>
    <mergeCell ref="A225:A228"/>
    <mergeCell ref="B225:B228"/>
    <mergeCell ref="C225:C228"/>
    <mergeCell ref="D225:D226"/>
    <mergeCell ref="E225:E226"/>
    <mergeCell ref="P305:P306"/>
    <mergeCell ref="D350:D351"/>
    <mergeCell ref="H323:H326"/>
    <mergeCell ref="C327:C330"/>
    <mergeCell ref="P307:P308"/>
    <mergeCell ref="P281:P282"/>
    <mergeCell ref="P247:P248"/>
    <mergeCell ref="A245:A250"/>
    <mergeCell ref="D201:D202"/>
    <mergeCell ref="E201:E202"/>
    <mergeCell ref="H257:H258"/>
    <mergeCell ref="H259:H260"/>
    <mergeCell ref="H261:H262"/>
    <mergeCell ref="H283:H284"/>
    <mergeCell ref="H327:H328"/>
    <mergeCell ref="E285:E286"/>
    <mergeCell ref="P203:P204"/>
    <mergeCell ref="P205:P206"/>
    <mergeCell ref="P207:P208"/>
    <mergeCell ref="P209:P210"/>
    <mergeCell ref="P211:P212"/>
    <mergeCell ref="P213:P214"/>
    <mergeCell ref="P215:P216"/>
    <mergeCell ref="A213:A216"/>
    <mergeCell ref="H241:H242"/>
    <mergeCell ref="B321:B326"/>
    <mergeCell ref="E323:E326"/>
    <mergeCell ref="P235:P236"/>
    <mergeCell ref="H229:H230"/>
    <mergeCell ref="D271:D272"/>
    <mergeCell ref="D263:D264"/>
    <mergeCell ref="E263:E264"/>
    <mergeCell ref="H209:H210"/>
    <mergeCell ref="D217:D218"/>
    <mergeCell ref="A221:A224"/>
    <mergeCell ref="B221:B224"/>
    <mergeCell ref="C221:C224"/>
    <mergeCell ref="A265:A270"/>
    <mergeCell ref="A217:A220"/>
    <mergeCell ref="B217:B220"/>
    <mergeCell ref="D265:D266"/>
    <mergeCell ref="E265:E266"/>
    <mergeCell ref="P311:P312"/>
    <mergeCell ref="P229:P230"/>
    <mergeCell ref="E273:E276"/>
    <mergeCell ref="D257:D258"/>
    <mergeCell ref="E257:E258"/>
    <mergeCell ref="D259:D262"/>
    <mergeCell ref="E259:E262"/>
    <mergeCell ref="E331:E332"/>
    <mergeCell ref="C217:C220"/>
    <mergeCell ref="P275:P276"/>
    <mergeCell ref="D241:D242"/>
    <mergeCell ref="D205:D206"/>
    <mergeCell ref="H293:H294"/>
    <mergeCell ref="P293:P294"/>
    <mergeCell ref="A295:A300"/>
    <mergeCell ref="B295:B300"/>
    <mergeCell ref="D295:D296"/>
    <mergeCell ref="E295:E296"/>
    <mergeCell ref="H295:H296"/>
    <mergeCell ref="P295:P296"/>
    <mergeCell ref="D297:D298"/>
    <mergeCell ref="E297:E298"/>
    <mergeCell ref="H297:H300"/>
    <mergeCell ref="P297:P298"/>
    <mergeCell ref="D299:D300"/>
    <mergeCell ref="E299:E300"/>
    <mergeCell ref="P299:P300"/>
    <mergeCell ref="A301:A304"/>
    <mergeCell ref="B301:B304"/>
    <mergeCell ref="D301:D302"/>
    <mergeCell ref="E301:E302"/>
    <mergeCell ref="H301:H302"/>
    <mergeCell ref="P301:P302"/>
    <mergeCell ref="D303:D304"/>
    <mergeCell ref="H329:H330"/>
    <mergeCell ref="H331:H332"/>
    <mergeCell ref="P231:P232"/>
    <mergeCell ref="P233:P234"/>
    <mergeCell ref="P271:P272"/>
    <mergeCell ref="P317:P318"/>
    <mergeCell ref="P319:P320"/>
    <mergeCell ref="P289:P290"/>
    <mergeCell ref="P265:P266"/>
    <mergeCell ref="P287:P288"/>
    <mergeCell ref="A229:A232"/>
    <mergeCell ref="E239:E240"/>
    <mergeCell ref="H239:H240"/>
    <mergeCell ref="C241:C244"/>
    <mergeCell ref="E221:E222"/>
    <mergeCell ref="E207:E208"/>
    <mergeCell ref="D211:D212"/>
    <mergeCell ref="E211:E212"/>
    <mergeCell ref="B209:B212"/>
    <mergeCell ref="E205:E206"/>
    <mergeCell ref="H205:H206"/>
    <mergeCell ref="B241:B244"/>
    <mergeCell ref="P225:P226"/>
    <mergeCell ref="E253:E256"/>
    <mergeCell ref="C291:C304"/>
    <mergeCell ref="D291:D292"/>
    <mergeCell ref="E291:E292"/>
    <mergeCell ref="A205:A208"/>
    <mergeCell ref="H245:H248"/>
    <mergeCell ref="D223:D224"/>
    <mergeCell ref="E223:E224"/>
    <mergeCell ref="E231:E232"/>
    <mergeCell ref="A233:A236"/>
    <mergeCell ref="B233:B236"/>
    <mergeCell ref="P313:P314"/>
    <mergeCell ref="B213:B216"/>
    <mergeCell ref="C213:C216"/>
    <mergeCell ref="P333:P334"/>
    <mergeCell ref="P335:P336"/>
    <mergeCell ref="P283:P284"/>
    <mergeCell ref="B124:B127"/>
    <mergeCell ref="D124:D125"/>
    <mergeCell ref="B192:B196"/>
    <mergeCell ref="D134:D135"/>
    <mergeCell ref="E128:E129"/>
    <mergeCell ref="E138:E139"/>
    <mergeCell ref="H138:H139"/>
    <mergeCell ref="P128:P129"/>
    <mergeCell ref="A120:A121"/>
    <mergeCell ref="D174:D175"/>
    <mergeCell ref="A138:A141"/>
    <mergeCell ref="D142:D143"/>
    <mergeCell ref="E142:E143"/>
    <mergeCell ref="B138:B141"/>
    <mergeCell ref="D138:D139"/>
    <mergeCell ref="H156:H157"/>
    <mergeCell ref="D180:D183"/>
    <mergeCell ref="P130:P131"/>
    <mergeCell ref="P134:P135"/>
    <mergeCell ref="P136:P137"/>
    <mergeCell ref="P138:P139"/>
    <mergeCell ref="P140:P141"/>
    <mergeCell ref="A128:A133"/>
    <mergeCell ref="H140:H141"/>
    <mergeCell ref="C156:C159"/>
    <mergeCell ref="D158:D159"/>
    <mergeCell ref="E158:E159"/>
    <mergeCell ref="H158:H159"/>
    <mergeCell ref="P158:P159"/>
    <mergeCell ref="P122:P123"/>
    <mergeCell ref="E120:E121"/>
    <mergeCell ref="A134:A137"/>
    <mergeCell ref="B134:B137"/>
    <mergeCell ref="A160:A161"/>
    <mergeCell ref="B160:B161"/>
    <mergeCell ref="P154:P155"/>
    <mergeCell ref="H124:H127"/>
    <mergeCell ref="P124:P125"/>
    <mergeCell ref="B188:B191"/>
    <mergeCell ref="D172:D173"/>
    <mergeCell ref="E134:E135"/>
    <mergeCell ref="H142:H143"/>
    <mergeCell ref="E146:E147"/>
    <mergeCell ref="D146:D147"/>
    <mergeCell ref="D156:D157"/>
    <mergeCell ref="D188:D189"/>
    <mergeCell ref="P188:P189"/>
    <mergeCell ref="A201:A204"/>
    <mergeCell ref="E199:E200"/>
    <mergeCell ref="E172:E173"/>
    <mergeCell ref="C305:C310"/>
    <mergeCell ref="H307:H310"/>
    <mergeCell ref="D319:D320"/>
    <mergeCell ref="E319:E320"/>
    <mergeCell ref="C192:C196"/>
    <mergeCell ref="D192:D194"/>
    <mergeCell ref="E192:E194"/>
    <mergeCell ref="H193:H194"/>
    <mergeCell ref="H233:H234"/>
    <mergeCell ref="D235:D236"/>
    <mergeCell ref="D239:D240"/>
    <mergeCell ref="D100:D101"/>
    <mergeCell ref="E100:E101"/>
    <mergeCell ref="H100:H101"/>
    <mergeCell ref="D195:D196"/>
    <mergeCell ref="E195:E196"/>
    <mergeCell ref="H195:H196"/>
    <mergeCell ref="P195:P196"/>
    <mergeCell ref="P104:P105"/>
    <mergeCell ref="P106:P107"/>
    <mergeCell ref="D108:D109"/>
    <mergeCell ref="E108:E109"/>
    <mergeCell ref="P166:P167"/>
    <mergeCell ref="P142:P143"/>
    <mergeCell ref="P144:P145"/>
    <mergeCell ref="P146:P147"/>
    <mergeCell ref="P152:P153"/>
    <mergeCell ref="H148:H149"/>
    <mergeCell ref="H150:H151"/>
    <mergeCell ref="H152:H153"/>
    <mergeCell ref="P148:P149"/>
    <mergeCell ref="P150:P151"/>
    <mergeCell ref="P257:P258"/>
    <mergeCell ref="P259:P260"/>
    <mergeCell ref="P261:P262"/>
    <mergeCell ref="P184:P185"/>
    <mergeCell ref="P277:P278"/>
    <mergeCell ref="P279:P280"/>
    <mergeCell ref="P193:P194"/>
    <mergeCell ref="A100:A101"/>
    <mergeCell ref="B100:B101"/>
    <mergeCell ref="D110:D111"/>
    <mergeCell ref="E110:E111"/>
    <mergeCell ref="B108:B111"/>
    <mergeCell ref="D104:D107"/>
    <mergeCell ref="E104:E107"/>
    <mergeCell ref="B102:B107"/>
    <mergeCell ref="A112:A119"/>
    <mergeCell ref="B112:B119"/>
    <mergeCell ref="C112:C119"/>
    <mergeCell ref="D112:D113"/>
    <mergeCell ref="C100:C101"/>
    <mergeCell ref="P182:P183"/>
    <mergeCell ref="C176:C183"/>
    <mergeCell ref="B176:B183"/>
    <mergeCell ref="A122:A127"/>
    <mergeCell ref="B122:B123"/>
    <mergeCell ref="C122:C127"/>
    <mergeCell ref="P201:P202"/>
    <mergeCell ref="A197:A200"/>
    <mergeCell ref="P197:P200"/>
    <mergeCell ref="H203:H204"/>
    <mergeCell ref="B201:B204"/>
    <mergeCell ref="C201:C204"/>
    <mergeCell ref="H213:H214"/>
    <mergeCell ref="P237:P240"/>
    <mergeCell ref="P273:P274"/>
    <mergeCell ref="P110:P111"/>
    <mergeCell ref="C102:C111"/>
    <mergeCell ref="D130:D133"/>
    <mergeCell ref="E130:E133"/>
    <mergeCell ref="H130:H133"/>
    <mergeCell ref="P132:P133"/>
    <mergeCell ref="H180:H183"/>
    <mergeCell ref="H154:H155"/>
    <mergeCell ref="E90:E98"/>
    <mergeCell ref="D90:D98"/>
    <mergeCell ref="P190:P191"/>
    <mergeCell ref="D102:D103"/>
    <mergeCell ref="E102:E103"/>
    <mergeCell ref="H102:H103"/>
    <mergeCell ref="P100:P101"/>
    <mergeCell ref="P102:P103"/>
    <mergeCell ref="P108:P109"/>
    <mergeCell ref="P92:P93"/>
    <mergeCell ref="C160:C161"/>
    <mergeCell ref="A162:A167"/>
    <mergeCell ref="B162:B167"/>
    <mergeCell ref="C162:C167"/>
    <mergeCell ref="D164:D167"/>
    <mergeCell ref="E164:E167"/>
    <mergeCell ref="H90:H93"/>
    <mergeCell ref="C134:C137"/>
    <mergeCell ref="H134:H135"/>
    <mergeCell ref="D136:D137"/>
    <mergeCell ref="E136:E137"/>
    <mergeCell ref="H136:H137"/>
    <mergeCell ref="H108:H111"/>
    <mergeCell ref="P120:P121"/>
    <mergeCell ref="H120:H121"/>
    <mergeCell ref="A102:A111"/>
    <mergeCell ref="A156:A159"/>
    <mergeCell ref="D176:D179"/>
    <mergeCell ref="E176:E179"/>
    <mergeCell ref="P178:P179"/>
    <mergeCell ref="A184:A185"/>
    <mergeCell ref="B184:B185"/>
    <mergeCell ref="C184:C185"/>
    <mergeCell ref="D184:D185"/>
    <mergeCell ref="E184:E185"/>
    <mergeCell ref="H184:H185"/>
    <mergeCell ref="P112:P113"/>
    <mergeCell ref="D114:D115"/>
    <mergeCell ref="E114:E115"/>
    <mergeCell ref="H114:H115"/>
    <mergeCell ref="P114:P115"/>
    <mergeCell ref="D116:D117"/>
    <mergeCell ref="E116:E117"/>
    <mergeCell ref="H116:H117"/>
    <mergeCell ref="P116:P117"/>
    <mergeCell ref="D118:D119"/>
    <mergeCell ref="E118:E119"/>
    <mergeCell ref="H118:H119"/>
    <mergeCell ref="P118:P119"/>
    <mergeCell ref="E140:E141"/>
    <mergeCell ref="C128:C133"/>
    <mergeCell ref="E124:E125"/>
    <mergeCell ref="E126:E127"/>
    <mergeCell ref="A176:A183"/>
    <mergeCell ref="B172:B175"/>
    <mergeCell ref="P96:P97"/>
    <mergeCell ref="P90:P91"/>
    <mergeCell ref="C88:C99"/>
    <mergeCell ref="B88:B99"/>
    <mergeCell ref="A88:A99"/>
    <mergeCell ref="P94:P95"/>
    <mergeCell ref="P98:P99"/>
    <mergeCell ref="P88:P89"/>
    <mergeCell ref="H164:H165"/>
  </mergeCells>
  <printOptions verticalCentered="1"/>
  <pageMargins left="3.937007874015748E-2" right="3.937007874015748E-2" top="0" bottom="0" header="0.31496062992125984" footer="0.11811023622047245"/>
  <pageSetup paperSize="9" scale="58" fitToHeight="0" orientation="landscape" r:id="rId1"/>
  <headerFooter>
    <oddHeader>&amp;C&amp;14Прошу внести изменения в информацию, размещаемую на сайте. Информация, требующая изменения выделена курсивом.&amp;Rпо состоянию на 24.07.2015г</oddHeader>
    <oddFooter>&amp;C&amp;14Начальник отдела регулирования тарифов (цен) в сфере теплоснабжения &amp;R&amp;14С.А. Курылко</oddFooter>
  </headerFooter>
  <rowBreaks count="1" manualBreakCount="1">
    <brk id="132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01"/>
  <sheetViews>
    <sheetView tabSelected="1" zoomScaleNormal="100" zoomScaleSheetLayoutView="70" workbookViewId="0">
      <pane xSplit="1" ySplit="4" topLeftCell="B2443" activePane="bottomRight" state="frozen"/>
      <selection pane="topRight" activeCell="B1" sqref="B1"/>
      <selection pane="bottomLeft" activeCell="A5" sqref="A5"/>
      <selection pane="bottomRight" activeCell="K2449" sqref="K2449:L2464"/>
    </sheetView>
  </sheetViews>
  <sheetFormatPr defaultColWidth="9.140625" defaultRowHeight="15" outlineLevelRow="1" x14ac:dyDescent="0.25"/>
  <cols>
    <col min="1" max="1" width="17" style="56" customWidth="1"/>
    <col min="2" max="2" width="25" style="56" customWidth="1"/>
    <col min="3" max="3" width="29.85546875" style="56" customWidth="1"/>
    <col min="4" max="4" width="13.140625" style="35" customWidth="1"/>
    <col min="5" max="5" width="11.85546875" style="35" customWidth="1"/>
    <col min="6" max="6" width="16.140625" style="35" customWidth="1"/>
    <col min="7" max="7" width="13.42578125" style="35" customWidth="1"/>
    <col min="8" max="8" width="29.5703125" style="38" customWidth="1"/>
    <col min="9" max="9" width="13.42578125" style="35" customWidth="1"/>
    <col min="10" max="10" width="17.42578125" style="35" customWidth="1"/>
    <col min="11" max="11" width="16.42578125" style="70" customWidth="1"/>
    <col min="12" max="12" width="16.28515625" style="70" customWidth="1"/>
    <col min="13" max="13" width="49.85546875" style="34" customWidth="1"/>
    <col min="14" max="14" width="12.140625" style="55" bestFit="1" customWidth="1"/>
    <col min="15" max="15" width="12.85546875" style="55" customWidth="1"/>
    <col min="16" max="16" width="15.5703125" style="56" bestFit="1" customWidth="1"/>
    <col min="17" max="17" width="11.7109375" style="57" bestFit="1" customWidth="1"/>
    <col min="18" max="18" width="14.7109375" style="57" customWidth="1"/>
    <col min="19" max="19" width="16.28515625" style="58" customWidth="1"/>
    <col min="20" max="20" width="18.7109375" style="55" customWidth="1"/>
    <col min="21" max="21" width="15.5703125" style="56" bestFit="1" customWidth="1"/>
    <col min="22" max="16384" width="9.140625" style="56"/>
  </cols>
  <sheetData>
    <row r="1" spans="1:20" s="35" customFormat="1" ht="31.5" customHeight="1" x14ac:dyDescent="0.25">
      <c r="A1" s="216" t="s">
        <v>600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52"/>
      <c r="O1" s="52"/>
      <c r="Q1" s="53"/>
      <c r="R1" s="53"/>
      <c r="S1" s="54"/>
      <c r="T1" s="52"/>
    </row>
    <row r="2" spans="1:20" ht="78" customHeight="1" x14ac:dyDescent="0.25">
      <c r="A2" s="149" t="s">
        <v>9</v>
      </c>
      <c r="B2" s="149" t="s">
        <v>2</v>
      </c>
      <c r="C2" s="218" t="s">
        <v>1</v>
      </c>
      <c r="D2" s="168" t="s">
        <v>13</v>
      </c>
      <c r="E2" s="168"/>
      <c r="F2" s="168" t="s">
        <v>8</v>
      </c>
      <c r="G2" s="168" t="s">
        <v>7</v>
      </c>
      <c r="H2" s="168" t="s">
        <v>14</v>
      </c>
      <c r="I2" s="168" t="s">
        <v>10</v>
      </c>
      <c r="J2" s="168"/>
      <c r="K2" s="168"/>
      <c r="L2" s="168"/>
      <c r="M2" s="183" t="s">
        <v>4</v>
      </c>
    </row>
    <row r="3" spans="1:20" ht="48.75" customHeight="1" x14ac:dyDescent="0.25">
      <c r="A3" s="150"/>
      <c r="B3" s="150"/>
      <c r="C3" s="219"/>
      <c r="D3" s="168" t="s">
        <v>6</v>
      </c>
      <c r="E3" s="168" t="s">
        <v>0</v>
      </c>
      <c r="F3" s="168"/>
      <c r="G3" s="168"/>
      <c r="H3" s="168"/>
      <c r="I3" s="168" t="s">
        <v>3</v>
      </c>
      <c r="J3" s="168" t="s">
        <v>11</v>
      </c>
      <c r="K3" s="191" t="s">
        <v>12</v>
      </c>
      <c r="L3" s="191"/>
      <c r="M3" s="183"/>
    </row>
    <row r="4" spans="1:20" ht="72" customHeight="1" x14ac:dyDescent="0.25">
      <c r="A4" s="151"/>
      <c r="B4" s="151"/>
      <c r="C4" s="220"/>
      <c r="D4" s="168"/>
      <c r="E4" s="168"/>
      <c r="F4" s="168"/>
      <c r="G4" s="168"/>
      <c r="H4" s="168"/>
      <c r="I4" s="168"/>
      <c r="J4" s="168"/>
      <c r="K4" s="15" t="s">
        <v>3</v>
      </c>
      <c r="L4" s="15" t="s">
        <v>5</v>
      </c>
      <c r="M4" s="183"/>
    </row>
    <row r="5" spans="1:20" s="10" customFormat="1" ht="28.5" customHeight="1" x14ac:dyDescent="0.25">
      <c r="A5" s="59" t="s">
        <v>145</v>
      </c>
      <c r="B5" s="7" t="s">
        <v>312</v>
      </c>
      <c r="C5" s="60"/>
      <c r="D5" s="61"/>
      <c r="E5" s="61"/>
      <c r="F5" s="61"/>
      <c r="G5" s="61"/>
      <c r="H5" s="61"/>
      <c r="I5" s="61"/>
      <c r="J5" s="61"/>
      <c r="K5" s="62"/>
      <c r="L5" s="62"/>
      <c r="M5" s="63"/>
      <c r="N5" s="11"/>
      <c r="O5" s="11"/>
      <c r="Q5" s="64"/>
      <c r="R5" s="64"/>
      <c r="S5" s="65"/>
      <c r="T5" s="11"/>
    </row>
    <row r="6" spans="1:20" s="17" customFormat="1" ht="15" customHeight="1" outlineLevel="1" x14ac:dyDescent="0.25">
      <c r="A6" s="146" t="s">
        <v>170</v>
      </c>
      <c r="B6" s="146" t="s">
        <v>334</v>
      </c>
      <c r="C6" s="165" t="s">
        <v>333</v>
      </c>
      <c r="D6" s="156">
        <v>42723</v>
      </c>
      <c r="E6" s="156" t="s">
        <v>633</v>
      </c>
      <c r="F6" s="12">
        <v>43466</v>
      </c>
      <c r="G6" s="12">
        <v>43646</v>
      </c>
      <c r="H6" s="168" t="s">
        <v>762</v>
      </c>
      <c r="I6" s="66">
        <v>4.8</v>
      </c>
      <c r="J6" s="13">
        <v>1162.1099999999999</v>
      </c>
      <c r="K6" s="15" t="s">
        <v>23</v>
      </c>
      <c r="L6" s="15" t="s">
        <v>23</v>
      </c>
      <c r="M6" s="183"/>
      <c r="N6" s="18"/>
      <c r="O6" s="18"/>
      <c r="Q6" s="67"/>
      <c r="R6" s="67"/>
      <c r="S6" s="68"/>
      <c r="T6" s="18"/>
    </row>
    <row r="7" spans="1:20" s="17" customFormat="1" ht="15" customHeight="1" outlineLevel="1" x14ac:dyDescent="0.25">
      <c r="A7" s="148"/>
      <c r="B7" s="148"/>
      <c r="C7" s="166"/>
      <c r="D7" s="156"/>
      <c r="E7" s="156"/>
      <c r="F7" s="12">
        <v>43647</v>
      </c>
      <c r="G7" s="12">
        <v>43830</v>
      </c>
      <c r="H7" s="168"/>
      <c r="I7" s="66">
        <v>5.1100000000000003</v>
      </c>
      <c r="J7" s="13">
        <v>1184.6400000000001</v>
      </c>
      <c r="K7" s="15" t="s">
        <v>23</v>
      </c>
      <c r="L7" s="15" t="s">
        <v>23</v>
      </c>
      <c r="M7" s="183"/>
      <c r="N7" s="18"/>
      <c r="O7" s="18"/>
      <c r="Q7" s="67"/>
      <c r="R7" s="67"/>
      <c r="S7" s="68"/>
      <c r="T7" s="18"/>
    </row>
    <row r="8" spans="1:20" s="17" customFormat="1" ht="15" customHeight="1" outlineLevel="1" x14ac:dyDescent="0.25">
      <c r="A8" s="148"/>
      <c r="B8" s="148"/>
      <c r="C8" s="166"/>
      <c r="D8" s="156">
        <v>43454</v>
      </c>
      <c r="E8" s="156" t="s">
        <v>738</v>
      </c>
      <c r="F8" s="50">
        <v>43466</v>
      </c>
      <c r="G8" s="50">
        <v>43646</v>
      </c>
      <c r="H8" s="168"/>
      <c r="I8" s="15" t="s">
        <v>23</v>
      </c>
      <c r="J8" s="15" t="s">
        <v>23</v>
      </c>
      <c r="K8" s="13">
        <v>5.6412305084745755</v>
      </c>
      <c r="L8" s="13">
        <v>1195.9049373618307</v>
      </c>
      <c r="M8" s="196" t="s">
        <v>420</v>
      </c>
      <c r="N8" s="18"/>
      <c r="O8" s="18"/>
      <c r="Q8" s="67"/>
      <c r="R8" s="67"/>
      <c r="S8" s="68"/>
      <c r="T8" s="18"/>
    </row>
    <row r="9" spans="1:20" s="17" customFormat="1" ht="15" customHeight="1" outlineLevel="1" x14ac:dyDescent="0.25">
      <c r="A9" s="148"/>
      <c r="B9" s="148"/>
      <c r="C9" s="166"/>
      <c r="D9" s="156"/>
      <c r="E9" s="156"/>
      <c r="F9" s="50">
        <v>43647</v>
      </c>
      <c r="G9" s="50">
        <v>43830</v>
      </c>
      <c r="H9" s="168"/>
      <c r="I9" s="15" t="s">
        <v>23</v>
      </c>
      <c r="J9" s="15" t="s">
        <v>23</v>
      </c>
      <c r="K9" s="13">
        <v>5.7540551186440672</v>
      </c>
      <c r="L9" s="13">
        <v>1219.8230361090673</v>
      </c>
      <c r="M9" s="198"/>
      <c r="N9" s="18"/>
      <c r="O9" s="18"/>
      <c r="Q9" s="67"/>
      <c r="R9" s="67"/>
      <c r="S9" s="68"/>
      <c r="T9" s="18"/>
    </row>
    <row r="10" spans="1:20" s="17" customFormat="1" ht="15" customHeight="1" outlineLevel="1" x14ac:dyDescent="0.25">
      <c r="A10" s="148"/>
      <c r="B10" s="148"/>
      <c r="C10" s="166"/>
      <c r="D10" s="156"/>
      <c r="E10" s="156"/>
      <c r="F10" s="50">
        <v>43466</v>
      </c>
      <c r="G10" s="50">
        <v>43646</v>
      </c>
      <c r="H10" s="168"/>
      <c r="I10" s="15" t="s">
        <v>23</v>
      </c>
      <c r="J10" s="15" t="s">
        <v>23</v>
      </c>
      <c r="K10" s="13">
        <v>5.6412305084745755</v>
      </c>
      <c r="L10" s="13">
        <v>1309.8006456820012</v>
      </c>
      <c r="M10" s="196" t="s">
        <v>421</v>
      </c>
      <c r="N10" s="18"/>
      <c r="O10" s="18"/>
      <c r="Q10" s="67"/>
      <c r="R10" s="67"/>
      <c r="S10" s="68"/>
      <c r="T10" s="18"/>
    </row>
    <row r="11" spans="1:20" s="17" customFormat="1" ht="15" customHeight="1" outlineLevel="1" x14ac:dyDescent="0.25">
      <c r="A11" s="148"/>
      <c r="B11" s="148"/>
      <c r="C11" s="166"/>
      <c r="D11" s="156"/>
      <c r="E11" s="156"/>
      <c r="F11" s="50">
        <v>43647</v>
      </c>
      <c r="G11" s="50">
        <v>43830</v>
      </c>
      <c r="H11" s="168"/>
      <c r="I11" s="15" t="s">
        <v>23</v>
      </c>
      <c r="J11" s="15" t="s">
        <v>23</v>
      </c>
      <c r="K11" s="13">
        <v>5.7540551186440672</v>
      </c>
      <c r="L11" s="13">
        <v>1335.9966585956413</v>
      </c>
      <c r="M11" s="198"/>
      <c r="N11" s="18"/>
      <c r="O11" s="18"/>
      <c r="Q11" s="67"/>
      <c r="R11" s="67"/>
      <c r="S11" s="68"/>
      <c r="T11" s="18"/>
    </row>
    <row r="12" spans="1:20" s="17" customFormat="1" ht="15" customHeight="1" outlineLevel="1" x14ac:dyDescent="0.25">
      <c r="A12" s="148"/>
      <c r="B12" s="148"/>
      <c r="C12" s="166"/>
      <c r="D12" s="156"/>
      <c r="E12" s="156"/>
      <c r="F12" s="50">
        <v>43466</v>
      </c>
      <c r="G12" s="50">
        <v>43646</v>
      </c>
      <c r="H12" s="168"/>
      <c r="I12" s="15" t="s">
        <v>23</v>
      </c>
      <c r="J12" s="15" t="s">
        <v>23</v>
      </c>
      <c r="K12" s="13">
        <v>5.6412305084745755</v>
      </c>
      <c r="L12" s="13">
        <v>1115.1005497022443</v>
      </c>
      <c r="M12" s="196" t="s">
        <v>422</v>
      </c>
      <c r="N12" s="18"/>
      <c r="O12" s="18"/>
      <c r="Q12" s="67"/>
      <c r="R12" s="67"/>
      <c r="S12" s="68"/>
      <c r="T12" s="18"/>
    </row>
    <row r="13" spans="1:20" s="17" customFormat="1" ht="15" customHeight="1" outlineLevel="1" x14ac:dyDescent="0.25">
      <c r="A13" s="148"/>
      <c r="B13" s="148"/>
      <c r="C13" s="166"/>
      <c r="D13" s="156"/>
      <c r="E13" s="156"/>
      <c r="F13" s="50">
        <v>43647</v>
      </c>
      <c r="G13" s="50">
        <v>43830</v>
      </c>
      <c r="H13" s="168"/>
      <c r="I13" s="15" t="s">
        <v>23</v>
      </c>
      <c r="J13" s="15" t="s">
        <v>23</v>
      </c>
      <c r="K13" s="13">
        <v>5.7540551186440672</v>
      </c>
      <c r="L13" s="13">
        <v>1137.4025606962891</v>
      </c>
      <c r="M13" s="198"/>
      <c r="N13" s="18"/>
      <c r="O13" s="18"/>
      <c r="Q13" s="67"/>
      <c r="R13" s="67"/>
      <c r="S13" s="68"/>
      <c r="T13" s="18"/>
    </row>
    <row r="14" spans="1:20" s="17" customFormat="1" ht="15" customHeight="1" outlineLevel="1" x14ac:dyDescent="0.25">
      <c r="A14" s="148"/>
      <c r="B14" s="148"/>
      <c r="C14" s="166"/>
      <c r="D14" s="156"/>
      <c r="E14" s="156"/>
      <c r="F14" s="50">
        <v>43466</v>
      </c>
      <c r="G14" s="50">
        <v>43646</v>
      </c>
      <c r="H14" s="168"/>
      <c r="I14" s="15" t="s">
        <v>23</v>
      </c>
      <c r="J14" s="15" t="s">
        <v>23</v>
      </c>
      <c r="K14" s="13">
        <v>5.6412305084745755</v>
      </c>
      <c r="L14" s="13">
        <v>1195.9049373618273</v>
      </c>
      <c r="M14" s="196" t="s">
        <v>423</v>
      </c>
      <c r="N14" s="18"/>
      <c r="O14" s="18"/>
      <c r="Q14" s="67"/>
      <c r="R14" s="67"/>
      <c r="S14" s="68"/>
      <c r="T14" s="18"/>
    </row>
    <row r="15" spans="1:20" s="17" customFormat="1" ht="15" customHeight="1" outlineLevel="1" x14ac:dyDescent="0.25">
      <c r="A15" s="148"/>
      <c r="B15" s="148"/>
      <c r="C15" s="166"/>
      <c r="D15" s="156"/>
      <c r="E15" s="156"/>
      <c r="F15" s="50">
        <v>43647</v>
      </c>
      <c r="G15" s="50">
        <v>43830</v>
      </c>
      <c r="H15" s="168"/>
      <c r="I15" s="15" t="s">
        <v>23</v>
      </c>
      <c r="J15" s="15" t="s">
        <v>23</v>
      </c>
      <c r="K15" s="13">
        <v>5.7540551186440672</v>
      </c>
      <c r="L15" s="13">
        <v>1219.8230361090639</v>
      </c>
      <c r="M15" s="198"/>
      <c r="N15" s="18"/>
      <c r="O15" s="18"/>
      <c r="Q15" s="67"/>
      <c r="R15" s="67"/>
      <c r="S15" s="68"/>
      <c r="T15" s="18"/>
    </row>
    <row r="16" spans="1:20" s="17" customFormat="1" ht="15" customHeight="1" outlineLevel="1" x14ac:dyDescent="0.25">
      <c r="A16" s="148"/>
      <c r="B16" s="148"/>
      <c r="C16" s="166"/>
      <c r="D16" s="156"/>
      <c r="E16" s="156"/>
      <c r="F16" s="50">
        <v>43466</v>
      </c>
      <c r="G16" s="50">
        <v>43646</v>
      </c>
      <c r="H16" s="168"/>
      <c r="I16" s="15" t="s">
        <v>23</v>
      </c>
      <c r="J16" s="15" t="s">
        <v>23</v>
      </c>
      <c r="K16" s="13">
        <v>5.6412305084745755</v>
      </c>
      <c r="L16" s="13">
        <v>1250.2642526964557</v>
      </c>
      <c r="M16" s="196" t="s">
        <v>424</v>
      </c>
      <c r="N16" s="18"/>
      <c r="O16" s="18"/>
      <c r="Q16" s="67"/>
      <c r="R16" s="67"/>
      <c r="S16" s="68"/>
      <c r="T16" s="18"/>
    </row>
    <row r="17" spans="1:20" s="17" customFormat="1" ht="15" customHeight="1" outlineLevel="1" x14ac:dyDescent="0.25">
      <c r="A17" s="148"/>
      <c r="B17" s="148"/>
      <c r="C17" s="166"/>
      <c r="D17" s="156"/>
      <c r="E17" s="156"/>
      <c r="F17" s="50">
        <v>43647</v>
      </c>
      <c r="G17" s="50">
        <v>43830</v>
      </c>
      <c r="H17" s="168"/>
      <c r="I17" s="15" t="s">
        <v>23</v>
      </c>
      <c r="J17" s="15" t="s">
        <v>23</v>
      </c>
      <c r="K17" s="13">
        <v>5.7540551186440672</v>
      </c>
      <c r="L17" s="13">
        <v>1275.2695377503849</v>
      </c>
      <c r="M17" s="198"/>
      <c r="N17" s="18"/>
      <c r="O17" s="18"/>
      <c r="Q17" s="67"/>
      <c r="R17" s="67"/>
      <c r="S17" s="68"/>
      <c r="T17" s="18"/>
    </row>
    <row r="18" spans="1:20" s="17" customFormat="1" ht="15" customHeight="1" outlineLevel="1" x14ac:dyDescent="0.25">
      <c r="A18" s="148"/>
      <c r="B18" s="148"/>
      <c r="C18" s="166"/>
      <c r="D18" s="156"/>
      <c r="E18" s="156"/>
      <c r="F18" s="50">
        <v>43466</v>
      </c>
      <c r="G18" s="50">
        <v>43646</v>
      </c>
      <c r="H18" s="168"/>
      <c r="I18" s="15" t="s">
        <v>23</v>
      </c>
      <c r="J18" s="15" t="s">
        <v>23</v>
      </c>
      <c r="K18" s="13">
        <v>5.6412305084745755</v>
      </c>
      <c r="L18" s="13">
        <v>1352.744929146985</v>
      </c>
      <c r="M18" s="196" t="s">
        <v>425</v>
      </c>
      <c r="N18" s="18"/>
      <c r="O18" s="18"/>
      <c r="Q18" s="67"/>
      <c r="R18" s="67"/>
      <c r="S18" s="68"/>
      <c r="T18" s="18"/>
    </row>
    <row r="19" spans="1:20" s="17" customFormat="1" ht="15" customHeight="1" outlineLevel="1" x14ac:dyDescent="0.25">
      <c r="A19" s="148"/>
      <c r="B19" s="148"/>
      <c r="C19" s="166"/>
      <c r="D19" s="156"/>
      <c r="E19" s="156"/>
      <c r="F19" s="50">
        <v>43647</v>
      </c>
      <c r="G19" s="50">
        <v>43830</v>
      </c>
      <c r="H19" s="168"/>
      <c r="I19" s="15" t="s">
        <v>23</v>
      </c>
      <c r="J19" s="15" t="s">
        <v>23</v>
      </c>
      <c r="K19" s="13">
        <v>5.7540551186440672</v>
      </c>
      <c r="L19" s="13">
        <v>1379.7998277299248</v>
      </c>
      <c r="M19" s="198"/>
      <c r="N19" s="18"/>
      <c r="O19" s="18"/>
      <c r="Q19" s="67"/>
      <c r="R19" s="67"/>
      <c r="S19" s="68"/>
      <c r="T19" s="18"/>
    </row>
    <row r="20" spans="1:20" s="17" customFormat="1" ht="15" customHeight="1" outlineLevel="1" x14ac:dyDescent="0.25">
      <c r="A20" s="148"/>
      <c r="B20" s="148"/>
      <c r="C20" s="166"/>
      <c r="D20" s="156"/>
      <c r="E20" s="156"/>
      <c r="F20" s="50">
        <v>43466</v>
      </c>
      <c r="G20" s="50">
        <v>43646</v>
      </c>
      <c r="H20" s="168"/>
      <c r="I20" s="15" t="s">
        <v>23</v>
      </c>
      <c r="J20" s="15" t="s">
        <v>23</v>
      </c>
      <c r="K20" s="13">
        <v>5.6412305084745755</v>
      </c>
      <c r="L20" s="13">
        <v>1146.0755649717512</v>
      </c>
      <c r="M20" s="196" t="s">
        <v>426</v>
      </c>
      <c r="N20" s="18"/>
      <c r="O20" s="18"/>
      <c r="P20" s="19"/>
      <c r="Q20" s="67"/>
      <c r="R20" s="67"/>
      <c r="S20" s="68"/>
      <c r="T20" s="18"/>
    </row>
    <row r="21" spans="1:20" s="17" customFormat="1" ht="15" customHeight="1" outlineLevel="1" x14ac:dyDescent="0.25">
      <c r="A21" s="148"/>
      <c r="B21" s="148"/>
      <c r="C21" s="166"/>
      <c r="D21" s="156"/>
      <c r="E21" s="156"/>
      <c r="F21" s="50">
        <v>43647</v>
      </c>
      <c r="G21" s="50">
        <v>43830</v>
      </c>
      <c r="H21" s="168"/>
      <c r="I21" s="15" t="s">
        <v>23</v>
      </c>
      <c r="J21" s="15" t="s">
        <v>23</v>
      </c>
      <c r="K21" s="13">
        <v>5.7540551186440672</v>
      </c>
      <c r="L21" s="13">
        <v>1168.9970762711862</v>
      </c>
      <c r="M21" s="198"/>
      <c r="N21" s="18"/>
      <c r="O21" s="18"/>
      <c r="P21" s="19"/>
      <c r="Q21" s="67"/>
      <c r="R21" s="67"/>
      <c r="S21" s="68"/>
      <c r="T21" s="18"/>
    </row>
    <row r="22" spans="1:20" s="17" customFormat="1" ht="15" customHeight="1" outlineLevel="1" x14ac:dyDescent="0.25">
      <c r="A22" s="148"/>
      <c r="B22" s="148"/>
      <c r="C22" s="166"/>
      <c r="D22" s="156"/>
      <c r="E22" s="156"/>
      <c r="F22" s="50">
        <v>43466</v>
      </c>
      <c r="G22" s="50">
        <v>43646</v>
      </c>
      <c r="H22" s="168"/>
      <c r="I22" s="15" t="s">
        <v>23</v>
      </c>
      <c r="J22" s="15" t="s">
        <v>23</v>
      </c>
      <c r="K22" s="13">
        <v>5.6412305084745755</v>
      </c>
      <c r="L22" s="13">
        <v>1250.2642526964557</v>
      </c>
      <c r="M22" s="196" t="s">
        <v>427</v>
      </c>
      <c r="N22" s="18"/>
      <c r="O22" s="18"/>
      <c r="P22" s="19"/>
      <c r="Q22" s="67"/>
      <c r="R22" s="67"/>
      <c r="S22" s="68"/>
      <c r="T22" s="18"/>
    </row>
    <row r="23" spans="1:20" s="17" customFormat="1" ht="15" customHeight="1" outlineLevel="1" x14ac:dyDescent="0.25">
      <c r="A23" s="147"/>
      <c r="B23" s="147"/>
      <c r="C23" s="167"/>
      <c r="D23" s="156"/>
      <c r="E23" s="156"/>
      <c r="F23" s="50">
        <v>43647</v>
      </c>
      <c r="G23" s="50">
        <v>43830</v>
      </c>
      <c r="H23" s="168"/>
      <c r="I23" s="15" t="s">
        <v>23</v>
      </c>
      <c r="J23" s="15" t="s">
        <v>23</v>
      </c>
      <c r="K23" s="13">
        <v>5.7540551186440672</v>
      </c>
      <c r="L23" s="13">
        <v>1275.2695377503849</v>
      </c>
      <c r="M23" s="198"/>
      <c r="N23" s="18"/>
      <c r="O23" s="18"/>
      <c r="P23" s="19"/>
      <c r="Q23" s="67"/>
      <c r="R23" s="67"/>
      <c r="S23" s="68"/>
      <c r="T23" s="18"/>
    </row>
    <row r="24" spans="1:20" ht="15" customHeight="1" outlineLevel="1" x14ac:dyDescent="0.25">
      <c r="A24" s="146" t="s">
        <v>170</v>
      </c>
      <c r="B24" s="146" t="s">
        <v>175</v>
      </c>
      <c r="C24" s="165" t="s">
        <v>333</v>
      </c>
      <c r="D24" s="156">
        <v>42723</v>
      </c>
      <c r="E24" s="156" t="s">
        <v>633</v>
      </c>
      <c r="F24" s="12">
        <v>43466</v>
      </c>
      <c r="G24" s="12">
        <v>43646</v>
      </c>
      <c r="H24" s="168" t="s">
        <v>762</v>
      </c>
      <c r="I24" s="66">
        <v>4.8</v>
      </c>
      <c r="J24" s="13">
        <v>1162.1099999999999</v>
      </c>
      <c r="K24" s="15" t="s">
        <v>23</v>
      </c>
      <c r="L24" s="15" t="s">
        <v>23</v>
      </c>
      <c r="M24" s="183"/>
    </row>
    <row r="25" spans="1:20" ht="15" customHeight="1" outlineLevel="1" x14ac:dyDescent="0.25">
      <c r="A25" s="148"/>
      <c r="B25" s="148"/>
      <c r="C25" s="166"/>
      <c r="D25" s="156"/>
      <c r="E25" s="156"/>
      <c r="F25" s="12">
        <v>43647</v>
      </c>
      <c r="G25" s="12">
        <v>43830</v>
      </c>
      <c r="H25" s="168"/>
      <c r="I25" s="66">
        <v>5.1100000000000003</v>
      </c>
      <c r="J25" s="13">
        <v>1184.6400000000001</v>
      </c>
      <c r="K25" s="15" t="s">
        <v>23</v>
      </c>
      <c r="L25" s="15" t="s">
        <v>23</v>
      </c>
      <c r="M25" s="183"/>
    </row>
    <row r="26" spans="1:20" ht="15" customHeight="1" outlineLevel="1" x14ac:dyDescent="0.25">
      <c r="A26" s="148"/>
      <c r="B26" s="148"/>
      <c r="C26" s="166"/>
      <c r="D26" s="156">
        <v>43454</v>
      </c>
      <c r="E26" s="156" t="s">
        <v>738</v>
      </c>
      <c r="F26" s="50">
        <v>43466</v>
      </c>
      <c r="G26" s="50">
        <v>43646</v>
      </c>
      <c r="H26" s="168"/>
      <c r="I26" s="15" t="s">
        <v>23</v>
      </c>
      <c r="J26" s="15" t="s">
        <v>23</v>
      </c>
      <c r="K26" s="13">
        <v>5.6440677966101687</v>
      </c>
      <c r="L26" s="13">
        <v>1214.2962417096535</v>
      </c>
      <c r="M26" s="196" t="s">
        <v>420</v>
      </c>
    </row>
    <row r="27" spans="1:20" ht="15" customHeight="1" outlineLevel="1" x14ac:dyDescent="0.25">
      <c r="A27" s="148"/>
      <c r="B27" s="148"/>
      <c r="C27" s="166"/>
      <c r="D27" s="156"/>
      <c r="E27" s="156"/>
      <c r="F27" s="50">
        <v>43647</v>
      </c>
      <c r="G27" s="50">
        <v>43830</v>
      </c>
      <c r="H27" s="168"/>
      <c r="I27" s="15" t="s">
        <v>23</v>
      </c>
      <c r="J27" s="15" t="s">
        <v>23</v>
      </c>
      <c r="K27" s="13">
        <v>5.7702581305435521</v>
      </c>
      <c r="L27" s="13">
        <v>1241.4455343399484</v>
      </c>
      <c r="M27" s="198"/>
    </row>
    <row r="28" spans="1:20" ht="15" customHeight="1" outlineLevel="1" x14ac:dyDescent="0.25">
      <c r="A28" s="148"/>
      <c r="B28" s="148"/>
      <c r="C28" s="166"/>
      <c r="D28" s="156"/>
      <c r="E28" s="156"/>
      <c r="F28" s="50">
        <v>43466</v>
      </c>
      <c r="G28" s="50">
        <v>43646</v>
      </c>
      <c r="H28" s="168"/>
      <c r="I28" s="15" t="s">
        <v>23</v>
      </c>
      <c r="J28" s="15" t="s">
        <v>23</v>
      </c>
      <c r="K28" s="13">
        <v>5.6440677966101687</v>
      </c>
      <c r="L28" s="13">
        <v>1329.9435028248588</v>
      </c>
      <c r="M28" s="196" t="s">
        <v>421</v>
      </c>
    </row>
    <row r="29" spans="1:20" ht="15" customHeight="1" outlineLevel="1" x14ac:dyDescent="0.25">
      <c r="A29" s="148"/>
      <c r="B29" s="148"/>
      <c r="C29" s="166"/>
      <c r="D29" s="156"/>
      <c r="E29" s="156"/>
      <c r="F29" s="50">
        <v>43647</v>
      </c>
      <c r="G29" s="50">
        <v>43830</v>
      </c>
      <c r="H29" s="168"/>
      <c r="I29" s="15" t="s">
        <v>23</v>
      </c>
      <c r="J29" s="15" t="s">
        <v>23</v>
      </c>
      <c r="K29" s="13">
        <v>5.7702581305435521</v>
      </c>
      <c r="L29" s="13">
        <v>1359.6784423723248</v>
      </c>
      <c r="M29" s="198"/>
    </row>
    <row r="30" spans="1:20" ht="15" customHeight="1" outlineLevel="1" x14ac:dyDescent="0.25">
      <c r="A30" s="148"/>
      <c r="B30" s="148"/>
      <c r="C30" s="166"/>
      <c r="D30" s="156"/>
      <c r="E30" s="156"/>
      <c r="F30" s="50">
        <v>43466</v>
      </c>
      <c r="G30" s="50">
        <v>43646</v>
      </c>
      <c r="H30" s="168"/>
      <c r="I30" s="15" t="s">
        <v>23</v>
      </c>
      <c r="J30" s="15" t="s">
        <v>23</v>
      </c>
      <c r="K30" s="13">
        <v>5.6440677966101687</v>
      </c>
      <c r="L30" s="13">
        <v>1132.2491983508933</v>
      </c>
      <c r="M30" s="196" t="s">
        <v>422</v>
      </c>
    </row>
    <row r="31" spans="1:20" ht="15" customHeight="1" outlineLevel="1" x14ac:dyDescent="0.25">
      <c r="A31" s="148"/>
      <c r="B31" s="148"/>
      <c r="C31" s="166"/>
      <c r="D31" s="156"/>
      <c r="E31" s="156"/>
      <c r="F31" s="50">
        <v>43647</v>
      </c>
      <c r="G31" s="50">
        <v>43830</v>
      </c>
      <c r="H31" s="168"/>
      <c r="I31" s="15" t="s">
        <v>23</v>
      </c>
      <c r="J31" s="15" t="s">
        <v>23</v>
      </c>
      <c r="K31" s="13">
        <v>5.7702581305435521</v>
      </c>
      <c r="L31" s="13">
        <v>1157.5640793169791</v>
      </c>
      <c r="M31" s="198"/>
    </row>
    <row r="32" spans="1:20" ht="15" customHeight="1" outlineLevel="1" x14ac:dyDescent="0.25">
      <c r="A32" s="148"/>
      <c r="B32" s="148"/>
      <c r="C32" s="166"/>
      <c r="D32" s="156"/>
      <c r="E32" s="156"/>
      <c r="F32" s="50">
        <v>43466</v>
      </c>
      <c r="G32" s="50">
        <v>43646</v>
      </c>
      <c r="H32" s="168"/>
      <c r="I32" s="15" t="s">
        <v>23</v>
      </c>
      <c r="J32" s="15" t="s">
        <v>23</v>
      </c>
      <c r="K32" s="13">
        <v>5.6440677966101687</v>
      </c>
      <c r="L32" s="13">
        <v>1214.2962417096535</v>
      </c>
      <c r="M32" s="196" t="s">
        <v>423</v>
      </c>
    </row>
    <row r="33" spans="1:13" ht="15" customHeight="1" outlineLevel="1" x14ac:dyDescent="0.25">
      <c r="A33" s="148"/>
      <c r="B33" s="148"/>
      <c r="C33" s="166"/>
      <c r="D33" s="156"/>
      <c r="E33" s="156"/>
      <c r="F33" s="50">
        <v>43647</v>
      </c>
      <c r="G33" s="50">
        <v>43830</v>
      </c>
      <c r="H33" s="168"/>
      <c r="I33" s="15" t="s">
        <v>23</v>
      </c>
      <c r="J33" s="15" t="s">
        <v>23</v>
      </c>
      <c r="K33" s="13">
        <v>5.7702581305435521</v>
      </c>
      <c r="L33" s="13">
        <v>1241.4455343399484</v>
      </c>
      <c r="M33" s="198"/>
    </row>
    <row r="34" spans="1:13" ht="15" customHeight="1" outlineLevel="1" x14ac:dyDescent="0.25">
      <c r="A34" s="148"/>
      <c r="B34" s="148"/>
      <c r="C34" s="166"/>
      <c r="D34" s="156"/>
      <c r="E34" s="156"/>
      <c r="F34" s="50">
        <v>43466</v>
      </c>
      <c r="G34" s="50">
        <v>43646</v>
      </c>
      <c r="H34" s="168"/>
      <c r="I34" s="15" t="s">
        <v>23</v>
      </c>
      <c r="J34" s="15" t="s">
        <v>23</v>
      </c>
      <c r="K34" s="13">
        <v>5.6440677966101687</v>
      </c>
      <c r="L34" s="13">
        <v>1269.4915254237287</v>
      </c>
      <c r="M34" s="196" t="s">
        <v>424</v>
      </c>
    </row>
    <row r="35" spans="1:13" ht="15" customHeight="1" outlineLevel="1" x14ac:dyDescent="0.25">
      <c r="A35" s="148"/>
      <c r="B35" s="148"/>
      <c r="C35" s="166"/>
      <c r="D35" s="156"/>
      <c r="E35" s="156"/>
      <c r="F35" s="50">
        <v>43647</v>
      </c>
      <c r="G35" s="50">
        <v>43830</v>
      </c>
      <c r="H35" s="168"/>
      <c r="I35" s="15" t="s">
        <v>23</v>
      </c>
      <c r="J35" s="15" t="s">
        <v>23</v>
      </c>
      <c r="K35" s="13">
        <v>5.7702581305435521</v>
      </c>
      <c r="L35" s="13">
        <v>1297.874876809946</v>
      </c>
      <c r="M35" s="198"/>
    </row>
    <row r="36" spans="1:13" ht="15" customHeight="1" outlineLevel="1" x14ac:dyDescent="0.25">
      <c r="A36" s="148"/>
      <c r="B36" s="148"/>
      <c r="C36" s="166"/>
      <c r="D36" s="156"/>
      <c r="E36" s="156"/>
      <c r="F36" s="50">
        <v>43466</v>
      </c>
      <c r="G36" s="50">
        <v>43646</v>
      </c>
      <c r="H36" s="168"/>
      <c r="I36" s="15" t="s">
        <v>23</v>
      </c>
      <c r="J36" s="15" t="s">
        <v>23</v>
      </c>
      <c r="K36" s="13">
        <v>5.6440677966101687</v>
      </c>
      <c r="L36" s="13">
        <v>1373.5482078355099</v>
      </c>
      <c r="M36" s="196" t="s">
        <v>425</v>
      </c>
    </row>
    <row r="37" spans="1:13" ht="15" customHeight="1" outlineLevel="1" x14ac:dyDescent="0.25">
      <c r="A37" s="148"/>
      <c r="B37" s="148"/>
      <c r="C37" s="166"/>
      <c r="D37" s="156"/>
      <c r="E37" s="156"/>
      <c r="F37" s="50">
        <v>43647</v>
      </c>
      <c r="G37" s="50">
        <v>43830</v>
      </c>
      <c r="H37" s="168"/>
      <c r="I37" s="15" t="s">
        <v>23</v>
      </c>
      <c r="J37" s="15" t="s">
        <v>23</v>
      </c>
      <c r="K37" s="13">
        <v>5.7702581305435521</v>
      </c>
      <c r="L37" s="13">
        <v>1404.2580634337123</v>
      </c>
      <c r="M37" s="198"/>
    </row>
    <row r="38" spans="1:13" ht="15" customHeight="1" outlineLevel="1" x14ac:dyDescent="0.25">
      <c r="A38" s="148"/>
      <c r="B38" s="148"/>
      <c r="C38" s="166"/>
      <c r="D38" s="156"/>
      <c r="E38" s="156"/>
      <c r="F38" s="50">
        <v>43466</v>
      </c>
      <c r="G38" s="50">
        <v>43646</v>
      </c>
      <c r="H38" s="168"/>
      <c r="I38" s="15" t="s">
        <v>23</v>
      </c>
      <c r="J38" s="15" t="s">
        <v>23</v>
      </c>
      <c r="K38" s="13">
        <v>5.6440677966101687</v>
      </c>
      <c r="L38" s="13">
        <v>1163.7005649717514</v>
      </c>
      <c r="M38" s="196" t="s">
        <v>426</v>
      </c>
    </row>
    <row r="39" spans="1:13" ht="15" customHeight="1" outlineLevel="1" x14ac:dyDescent="0.25">
      <c r="A39" s="148"/>
      <c r="B39" s="148"/>
      <c r="C39" s="166"/>
      <c r="D39" s="156"/>
      <c r="E39" s="156"/>
      <c r="F39" s="50">
        <v>43647</v>
      </c>
      <c r="G39" s="50">
        <v>43830</v>
      </c>
      <c r="H39" s="168"/>
      <c r="I39" s="15" t="s">
        <v>23</v>
      </c>
      <c r="J39" s="15" t="s">
        <v>23</v>
      </c>
      <c r="K39" s="13">
        <v>5.7702581305435521</v>
      </c>
      <c r="L39" s="13">
        <v>1189.718637075784</v>
      </c>
      <c r="M39" s="198"/>
    </row>
    <row r="40" spans="1:13" ht="15" customHeight="1" outlineLevel="1" x14ac:dyDescent="0.25">
      <c r="A40" s="148"/>
      <c r="B40" s="148"/>
      <c r="C40" s="166"/>
      <c r="D40" s="156"/>
      <c r="E40" s="156"/>
      <c r="F40" s="50">
        <v>43466</v>
      </c>
      <c r="G40" s="50">
        <v>43646</v>
      </c>
      <c r="H40" s="168"/>
      <c r="I40" s="15" t="s">
        <v>23</v>
      </c>
      <c r="J40" s="15" t="s">
        <v>23</v>
      </c>
      <c r="K40" s="13">
        <v>5.6412305084745755</v>
      </c>
      <c r="L40" s="13">
        <v>1269.5345146379041</v>
      </c>
      <c r="M40" s="196" t="s">
        <v>427</v>
      </c>
    </row>
    <row r="41" spans="1:13" ht="15" customHeight="1" outlineLevel="1" x14ac:dyDescent="0.25">
      <c r="A41" s="147"/>
      <c r="B41" s="147"/>
      <c r="C41" s="167"/>
      <c r="D41" s="156"/>
      <c r="E41" s="156"/>
      <c r="F41" s="50">
        <v>43647</v>
      </c>
      <c r="G41" s="50">
        <v>43830</v>
      </c>
      <c r="H41" s="168"/>
      <c r="I41" s="15" t="s">
        <v>23</v>
      </c>
      <c r="J41" s="15" t="s">
        <v>23</v>
      </c>
      <c r="K41" s="13">
        <v>5.7673574061860355</v>
      </c>
      <c r="L41" s="13">
        <v>1297.9188271789992</v>
      </c>
      <c r="M41" s="198"/>
    </row>
    <row r="42" spans="1:13" ht="15" customHeight="1" outlineLevel="1" x14ac:dyDescent="0.25">
      <c r="A42" s="146" t="s">
        <v>170</v>
      </c>
      <c r="B42" s="146" t="s">
        <v>314</v>
      </c>
      <c r="C42" s="165" t="s">
        <v>333</v>
      </c>
      <c r="D42" s="156">
        <v>42723</v>
      </c>
      <c r="E42" s="156" t="s">
        <v>764</v>
      </c>
      <c r="F42" s="12">
        <v>43466</v>
      </c>
      <c r="G42" s="12">
        <v>43646</v>
      </c>
      <c r="H42" s="168" t="s">
        <v>763</v>
      </c>
      <c r="I42" s="66">
        <v>31.12</v>
      </c>
      <c r="J42" s="13">
        <v>4083.64</v>
      </c>
      <c r="K42" s="15" t="s">
        <v>23</v>
      </c>
      <c r="L42" s="15" t="s">
        <v>23</v>
      </c>
      <c r="M42" s="183"/>
    </row>
    <row r="43" spans="1:13" ht="15" customHeight="1" outlineLevel="1" x14ac:dyDescent="0.25">
      <c r="A43" s="148"/>
      <c r="B43" s="148"/>
      <c r="C43" s="166"/>
      <c r="D43" s="156"/>
      <c r="E43" s="156"/>
      <c r="F43" s="12">
        <v>43647</v>
      </c>
      <c r="G43" s="12">
        <v>43830</v>
      </c>
      <c r="H43" s="168"/>
      <c r="I43" s="66">
        <v>32.07</v>
      </c>
      <c r="J43" s="13">
        <v>4138.2299999999996</v>
      </c>
      <c r="K43" s="15" t="s">
        <v>23</v>
      </c>
      <c r="L43" s="15" t="s">
        <v>23</v>
      </c>
      <c r="M43" s="183"/>
    </row>
    <row r="44" spans="1:13" ht="15" customHeight="1" outlineLevel="1" x14ac:dyDescent="0.25">
      <c r="A44" s="148"/>
      <c r="B44" s="148"/>
      <c r="C44" s="166"/>
      <c r="D44" s="156">
        <v>43454</v>
      </c>
      <c r="E44" s="156" t="s">
        <v>738</v>
      </c>
      <c r="F44" s="50">
        <v>43466</v>
      </c>
      <c r="G44" s="50">
        <v>43646</v>
      </c>
      <c r="H44" s="168"/>
      <c r="I44" s="15" t="s">
        <v>23</v>
      </c>
      <c r="J44" s="15" t="s">
        <v>23</v>
      </c>
      <c r="K44" s="13">
        <v>31.315657627118643</v>
      </c>
      <c r="L44" s="13">
        <v>1463.7084745762709</v>
      </c>
      <c r="M44" s="196" t="s">
        <v>420</v>
      </c>
    </row>
    <row r="45" spans="1:13" ht="15" customHeight="1" outlineLevel="1" x14ac:dyDescent="0.25">
      <c r="A45" s="148"/>
      <c r="B45" s="148"/>
      <c r="C45" s="166"/>
      <c r="D45" s="156"/>
      <c r="E45" s="156"/>
      <c r="F45" s="50">
        <v>43647</v>
      </c>
      <c r="G45" s="50">
        <v>43830</v>
      </c>
      <c r="H45" s="168"/>
      <c r="I45" s="15" t="s">
        <v>23</v>
      </c>
      <c r="J45" s="15" t="s">
        <v>23</v>
      </c>
      <c r="K45" s="13">
        <v>31.941970779661016</v>
      </c>
      <c r="L45" s="13">
        <v>1492.9826440677964</v>
      </c>
      <c r="M45" s="198"/>
    </row>
    <row r="46" spans="1:13" ht="15" customHeight="1" outlineLevel="1" x14ac:dyDescent="0.25">
      <c r="A46" s="148"/>
      <c r="B46" s="148"/>
      <c r="C46" s="166"/>
      <c r="D46" s="156"/>
      <c r="E46" s="156"/>
      <c r="F46" s="50">
        <v>43466</v>
      </c>
      <c r="G46" s="50">
        <v>43646</v>
      </c>
      <c r="H46" s="168"/>
      <c r="I46" s="15" t="s">
        <v>23</v>
      </c>
      <c r="J46" s="15" t="s">
        <v>23</v>
      </c>
      <c r="K46" s="13">
        <v>31.315657627118643</v>
      </c>
      <c r="L46" s="13">
        <v>1603.109281678773</v>
      </c>
      <c r="M46" s="196" t="s">
        <v>421</v>
      </c>
    </row>
    <row r="47" spans="1:13" ht="15" customHeight="1" outlineLevel="1" x14ac:dyDescent="0.25">
      <c r="A47" s="148"/>
      <c r="B47" s="148"/>
      <c r="C47" s="166"/>
      <c r="D47" s="156"/>
      <c r="E47" s="156"/>
      <c r="F47" s="50">
        <v>43647</v>
      </c>
      <c r="G47" s="50">
        <v>43830</v>
      </c>
      <c r="H47" s="168"/>
      <c r="I47" s="15" t="s">
        <v>23</v>
      </c>
      <c r="J47" s="15" t="s">
        <v>23</v>
      </c>
      <c r="K47" s="13">
        <v>31.941970779661016</v>
      </c>
      <c r="L47" s="13">
        <v>1635.1714673123483</v>
      </c>
      <c r="M47" s="198"/>
    </row>
    <row r="48" spans="1:13" ht="15" customHeight="1" outlineLevel="1" x14ac:dyDescent="0.25">
      <c r="A48" s="148"/>
      <c r="B48" s="148"/>
      <c r="C48" s="166"/>
      <c r="D48" s="156"/>
      <c r="E48" s="156"/>
      <c r="F48" s="50">
        <v>43466</v>
      </c>
      <c r="G48" s="50">
        <v>43646</v>
      </c>
      <c r="H48" s="168"/>
      <c r="I48" s="15" t="s">
        <v>23</v>
      </c>
      <c r="J48" s="15" t="s">
        <v>23</v>
      </c>
      <c r="K48" s="13">
        <v>31.315657627118643</v>
      </c>
      <c r="L48" s="13">
        <v>1364.8092533211177</v>
      </c>
      <c r="M48" s="196" t="s">
        <v>422</v>
      </c>
    </row>
    <row r="49" spans="1:13" ht="15" customHeight="1" outlineLevel="1" x14ac:dyDescent="0.25">
      <c r="A49" s="148"/>
      <c r="B49" s="148"/>
      <c r="C49" s="166"/>
      <c r="D49" s="156"/>
      <c r="E49" s="156"/>
      <c r="F49" s="50">
        <v>43647</v>
      </c>
      <c r="G49" s="50">
        <v>43830</v>
      </c>
      <c r="H49" s="168"/>
      <c r="I49" s="15" t="s">
        <v>23</v>
      </c>
      <c r="J49" s="15" t="s">
        <v>23</v>
      </c>
      <c r="K49" s="13">
        <v>31.941970779661016</v>
      </c>
      <c r="L49" s="13">
        <v>1392.1054383875401</v>
      </c>
      <c r="M49" s="198"/>
    </row>
    <row r="50" spans="1:13" ht="15" customHeight="1" outlineLevel="1" x14ac:dyDescent="0.25">
      <c r="A50" s="148"/>
      <c r="B50" s="148"/>
      <c r="C50" s="166"/>
      <c r="D50" s="156"/>
      <c r="E50" s="156"/>
      <c r="F50" s="50">
        <v>43466</v>
      </c>
      <c r="G50" s="50">
        <v>43646</v>
      </c>
      <c r="H50" s="168"/>
      <c r="I50" s="15" t="s">
        <v>23</v>
      </c>
      <c r="J50" s="15" t="s">
        <v>23</v>
      </c>
      <c r="K50" s="13">
        <v>31.315657627118643</v>
      </c>
      <c r="L50" s="13">
        <v>1463.7084745762709</v>
      </c>
      <c r="M50" s="196" t="s">
        <v>423</v>
      </c>
    </row>
    <row r="51" spans="1:13" ht="15" customHeight="1" outlineLevel="1" x14ac:dyDescent="0.25">
      <c r="A51" s="148"/>
      <c r="B51" s="148"/>
      <c r="C51" s="166"/>
      <c r="D51" s="156"/>
      <c r="E51" s="156"/>
      <c r="F51" s="50">
        <v>43647</v>
      </c>
      <c r="G51" s="50">
        <v>43830</v>
      </c>
      <c r="H51" s="168"/>
      <c r="I51" s="15" t="s">
        <v>23</v>
      </c>
      <c r="J51" s="15" t="s">
        <v>23</v>
      </c>
      <c r="K51" s="13">
        <v>31.941970779661016</v>
      </c>
      <c r="L51" s="13">
        <v>1492.9826440677964</v>
      </c>
      <c r="M51" s="198"/>
    </row>
    <row r="52" spans="1:13" ht="15" customHeight="1" outlineLevel="1" x14ac:dyDescent="0.25">
      <c r="A52" s="148"/>
      <c r="B52" s="148"/>
      <c r="C52" s="166"/>
      <c r="D52" s="156"/>
      <c r="E52" s="156"/>
      <c r="F52" s="50">
        <v>43466</v>
      </c>
      <c r="G52" s="50">
        <v>43646</v>
      </c>
      <c r="H52" s="168"/>
      <c r="I52" s="15" t="s">
        <v>23</v>
      </c>
      <c r="J52" s="15" t="s">
        <v>23</v>
      </c>
      <c r="K52" s="13">
        <v>31.315657627118643</v>
      </c>
      <c r="L52" s="13">
        <v>1530.2406779661014</v>
      </c>
      <c r="M52" s="196" t="s">
        <v>424</v>
      </c>
    </row>
    <row r="53" spans="1:13" ht="15" customHeight="1" outlineLevel="1" x14ac:dyDescent="0.25">
      <c r="A53" s="148"/>
      <c r="B53" s="148"/>
      <c r="C53" s="166"/>
      <c r="D53" s="156"/>
      <c r="E53" s="156"/>
      <c r="F53" s="50">
        <v>43647</v>
      </c>
      <c r="G53" s="50">
        <v>43830</v>
      </c>
      <c r="H53" s="168"/>
      <c r="I53" s="15" t="s">
        <v>23</v>
      </c>
      <c r="J53" s="15" t="s">
        <v>23</v>
      </c>
      <c r="K53" s="13">
        <v>31.941970779661016</v>
      </c>
      <c r="L53" s="13">
        <v>1560.8454915254235</v>
      </c>
      <c r="M53" s="198"/>
    </row>
    <row r="54" spans="1:13" ht="15" customHeight="1" outlineLevel="1" x14ac:dyDescent="0.25">
      <c r="A54" s="148"/>
      <c r="B54" s="148"/>
      <c r="C54" s="166"/>
      <c r="D54" s="156"/>
      <c r="E54" s="156"/>
      <c r="F54" s="50">
        <v>43466</v>
      </c>
      <c r="G54" s="50">
        <v>43646</v>
      </c>
      <c r="H54" s="168"/>
      <c r="I54" s="15" t="s">
        <v>23</v>
      </c>
      <c r="J54" s="15" t="s">
        <v>23</v>
      </c>
      <c r="K54" s="13">
        <v>31.315657627118643</v>
      </c>
      <c r="L54" s="13">
        <v>1655.6702417338149</v>
      </c>
      <c r="M54" s="196" t="s">
        <v>425</v>
      </c>
    </row>
    <row r="55" spans="1:13" ht="15" customHeight="1" outlineLevel="1" x14ac:dyDescent="0.25">
      <c r="A55" s="148"/>
      <c r="B55" s="148"/>
      <c r="C55" s="166"/>
      <c r="D55" s="156"/>
      <c r="E55" s="156"/>
      <c r="F55" s="50">
        <v>43647</v>
      </c>
      <c r="G55" s="50">
        <v>43830</v>
      </c>
      <c r="H55" s="168"/>
      <c r="I55" s="15" t="s">
        <v>23</v>
      </c>
      <c r="J55" s="15" t="s">
        <v>23</v>
      </c>
      <c r="K55" s="13">
        <v>31.941970779661016</v>
      </c>
      <c r="L55" s="13">
        <v>1688.7836465684913</v>
      </c>
      <c r="M55" s="198"/>
    </row>
    <row r="56" spans="1:13" ht="15" customHeight="1" outlineLevel="1" x14ac:dyDescent="0.25">
      <c r="A56" s="148"/>
      <c r="B56" s="148"/>
      <c r="C56" s="166"/>
      <c r="D56" s="156"/>
      <c r="E56" s="156"/>
      <c r="F56" s="50">
        <v>43466</v>
      </c>
      <c r="G56" s="50">
        <v>43646</v>
      </c>
      <c r="H56" s="168"/>
      <c r="I56" s="15" t="s">
        <v>23</v>
      </c>
      <c r="J56" s="15" t="s">
        <v>23</v>
      </c>
      <c r="K56" s="13">
        <v>31.315657627118643</v>
      </c>
      <c r="L56" s="13">
        <v>1402.7206214689265</v>
      </c>
      <c r="M56" s="196" t="s">
        <v>426</v>
      </c>
    </row>
    <row r="57" spans="1:13" ht="15" customHeight="1" outlineLevel="1" x14ac:dyDescent="0.25">
      <c r="A57" s="148"/>
      <c r="B57" s="148"/>
      <c r="C57" s="166"/>
      <c r="D57" s="156"/>
      <c r="E57" s="156"/>
      <c r="F57" s="50">
        <v>43647</v>
      </c>
      <c r="G57" s="50">
        <v>43830</v>
      </c>
      <c r="H57" s="168"/>
      <c r="I57" s="15" t="s">
        <v>23</v>
      </c>
      <c r="J57" s="15" t="s">
        <v>23</v>
      </c>
      <c r="K57" s="13">
        <v>31.941970779661016</v>
      </c>
      <c r="L57" s="13">
        <v>1430.7750338983051</v>
      </c>
      <c r="M57" s="198"/>
    </row>
    <row r="58" spans="1:13" ht="15" customHeight="1" outlineLevel="1" x14ac:dyDescent="0.25">
      <c r="A58" s="148"/>
      <c r="B58" s="148"/>
      <c r="C58" s="166"/>
      <c r="D58" s="156"/>
      <c r="E58" s="156"/>
      <c r="F58" s="50">
        <v>43466</v>
      </c>
      <c r="G58" s="50">
        <v>43646</v>
      </c>
      <c r="H58" s="168"/>
      <c r="I58" s="15" t="s">
        <v>23</v>
      </c>
      <c r="J58" s="15" t="s">
        <v>23</v>
      </c>
      <c r="K58" s="13">
        <v>31.315657627118643</v>
      </c>
      <c r="L58" s="13">
        <v>1530.2406779661014</v>
      </c>
      <c r="M58" s="196" t="s">
        <v>427</v>
      </c>
    </row>
    <row r="59" spans="1:13" ht="15" customHeight="1" outlineLevel="1" x14ac:dyDescent="0.25">
      <c r="A59" s="147"/>
      <c r="B59" s="147"/>
      <c r="C59" s="167"/>
      <c r="D59" s="156"/>
      <c r="E59" s="156"/>
      <c r="F59" s="50">
        <v>43647</v>
      </c>
      <c r="G59" s="50">
        <v>43830</v>
      </c>
      <c r="H59" s="168"/>
      <c r="I59" s="15" t="s">
        <v>23</v>
      </c>
      <c r="J59" s="15" t="s">
        <v>23</v>
      </c>
      <c r="K59" s="13">
        <v>31.941970779661016</v>
      </c>
      <c r="L59" s="13">
        <v>1560.8454915254235</v>
      </c>
      <c r="M59" s="198"/>
    </row>
    <row r="60" spans="1:13" ht="15" customHeight="1" outlineLevel="1" x14ac:dyDescent="0.25">
      <c r="A60" s="146" t="s">
        <v>170</v>
      </c>
      <c r="B60" s="146" t="s">
        <v>171</v>
      </c>
      <c r="C60" s="165" t="s">
        <v>290</v>
      </c>
      <c r="D60" s="156">
        <v>42723</v>
      </c>
      <c r="E60" s="156" t="s">
        <v>689</v>
      </c>
      <c r="F60" s="12">
        <v>43466</v>
      </c>
      <c r="G60" s="12">
        <v>43646</v>
      </c>
      <c r="H60" s="168" t="s">
        <v>795</v>
      </c>
      <c r="I60" s="66">
        <v>31.32</v>
      </c>
      <c r="J60" s="13">
        <v>3273.55</v>
      </c>
      <c r="K60" s="15" t="s">
        <v>23</v>
      </c>
      <c r="L60" s="15" t="s">
        <v>23</v>
      </c>
      <c r="M60" s="183"/>
    </row>
    <row r="61" spans="1:13" ht="15" customHeight="1" outlineLevel="1" x14ac:dyDescent="0.25">
      <c r="A61" s="148"/>
      <c r="B61" s="148"/>
      <c r="C61" s="166"/>
      <c r="D61" s="156"/>
      <c r="E61" s="156"/>
      <c r="F61" s="12">
        <v>43647</v>
      </c>
      <c r="G61" s="12">
        <v>43830</v>
      </c>
      <c r="H61" s="168"/>
      <c r="I61" s="66">
        <v>32.090000000000003</v>
      </c>
      <c r="J61" s="13">
        <v>3410.16</v>
      </c>
      <c r="K61" s="15" t="s">
        <v>23</v>
      </c>
      <c r="L61" s="15" t="s">
        <v>23</v>
      </c>
      <c r="M61" s="183"/>
    </row>
    <row r="62" spans="1:13" ht="15" customHeight="1" outlineLevel="1" x14ac:dyDescent="0.25">
      <c r="A62" s="148"/>
      <c r="B62" s="148"/>
      <c r="C62" s="166"/>
      <c r="D62" s="156">
        <v>43454</v>
      </c>
      <c r="E62" s="156" t="s">
        <v>796</v>
      </c>
      <c r="F62" s="50">
        <v>43466</v>
      </c>
      <c r="G62" s="50">
        <v>43646</v>
      </c>
      <c r="H62" s="168"/>
      <c r="I62" s="15" t="s">
        <v>23</v>
      </c>
      <c r="J62" s="15" t="s">
        <v>23</v>
      </c>
      <c r="K62" s="13">
        <v>28.128813559321951</v>
      </c>
      <c r="L62" s="13">
        <v>1144.4362564480437</v>
      </c>
      <c r="M62" s="196" t="s">
        <v>420</v>
      </c>
    </row>
    <row r="63" spans="1:13" ht="15" customHeight="1" outlineLevel="1" x14ac:dyDescent="0.25">
      <c r="A63" s="148"/>
      <c r="B63" s="148"/>
      <c r="C63" s="166"/>
      <c r="D63" s="156"/>
      <c r="E63" s="156"/>
      <c r="F63" s="50">
        <v>43647</v>
      </c>
      <c r="G63" s="50">
        <v>43830</v>
      </c>
      <c r="H63" s="168"/>
      <c r="I63" s="15" t="s">
        <v>23</v>
      </c>
      <c r="J63" s="15" t="s">
        <v>23</v>
      </c>
      <c r="K63" s="13">
        <v>28.691389830508392</v>
      </c>
      <c r="L63" s="13">
        <v>1167.3249815770046</v>
      </c>
      <c r="M63" s="198"/>
    </row>
    <row r="64" spans="1:13" ht="15" customHeight="1" outlineLevel="1" x14ac:dyDescent="0.25">
      <c r="A64" s="148"/>
      <c r="B64" s="148"/>
      <c r="C64" s="166"/>
      <c r="D64" s="156"/>
      <c r="E64" s="156"/>
      <c r="F64" s="50">
        <v>43466</v>
      </c>
      <c r="G64" s="50">
        <v>43646</v>
      </c>
      <c r="H64" s="168"/>
      <c r="I64" s="15" t="s">
        <v>23</v>
      </c>
      <c r="J64" s="15" t="s">
        <v>23</v>
      </c>
      <c r="K64" s="13">
        <v>28.128813559321951</v>
      </c>
      <c r="L64" s="13">
        <v>1253.4301856335719</v>
      </c>
      <c r="M64" s="196" t="s">
        <v>421</v>
      </c>
    </row>
    <row r="65" spans="1:13" ht="15" customHeight="1" outlineLevel="1" x14ac:dyDescent="0.25">
      <c r="A65" s="148"/>
      <c r="B65" s="148"/>
      <c r="C65" s="166"/>
      <c r="D65" s="156"/>
      <c r="E65" s="156"/>
      <c r="F65" s="50">
        <v>43647</v>
      </c>
      <c r="G65" s="50">
        <v>43830</v>
      </c>
      <c r="H65" s="168"/>
      <c r="I65" s="15" t="s">
        <v>23</v>
      </c>
      <c r="J65" s="15" t="s">
        <v>23</v>
      </c>
      <c r="K65" s="13">
        <v>28.691389830508392</v>
      </c>
      <c r="L65" s="13">
        <v>1278.498789346243</v>
      </c>
      <c r="M65" s="198"/>
    </row>
    <row r="66" spans="1:13" ht="15" customHeight="1" outlineLevel="1" x14ac:dyDescent="0.25">
      <c r="A66" s="148"/>
      <c r="B66" s="148"/>
      <c r="C66" s="166"/>
      <c r="D66" s="156"/>
      <c r="E66" s="156"/>
      <c r="F66" s="50">
        <v>43466</v>
      </c>
      <c r="G66" s="50">
        <v>43646</v>
      </c>
      <c r="H66" s="168"/>
      <c r="I66" s="15" t="s">
        <v>23</v>
      </c>
      <c r="J66" s="15" t="s">
        <v>23</v>
      </c>
      <c r="K66" s="13">
        <v>28.128813559321951</v>
      </c>
      <c r="L66" s="13">
        <v>1067.1094823637166</v>
      </c>
      <c r="M66" s="196" t="s">
        <v>422</v>
      </c>
    </row>
    <row r="67" spans="1:13" ht="15" customHeight="1" outlineLevel="1" x14ac:dyDescent="0.25">
      <c r="A67" s="148"/>
      <c r="B67" s="148"/>
      <c r="C67" s="166"/>
      <c r="D67" s="156"/>
      <c r="E67" s="156"/>
      <c r="F67" s="50">
        <v>43647</v>
      </c>
      <c r="G67" s="50">
        <v>43830</v>
      </c>
      <c r="H67" s="168"/>
      <c r="I67" s="15" t="s">
        <v>23</v>
      </c>
      <c r="J67" s="15" t="s">
        <v>23</v>
      </c>
      <c r="K67" s="13">
        <v>28.691389830508392</v>
      </c>
      <c r="L67" s="13">
        <v>1088.4516720109909</v>
      </c>
      <c r="M67" s="198"/>
    </row>
    <row r="68" spans="1:13" ht="15" customHeight="1" outlineLevel="1" x14ac:dyDescent="0.25">
      <c r="A68" s="148"/>
      <c r="B68" s="148"/>
      <c r="C68" s="166"/>
      <c r="D68" s="156"/>
      <c r="E68" s="156"/>
      <c r="F68" s="50">
        <v>43466</v>
      </c>
      <c r="G68" s="50">
        <v>43646</v>
      </c>
      <c r="H68" s="168"/>
      <c r="I68" s="15" t="s">
        <v>23</v>
      </c>
      <c r="J68" s="15" t="s">
        <v>23</v>
      </c>
      <c r="K68" s="13">
        <v>28.128813559321951</v>
      </c>
      <c r="L68" s="13">
        <v>1144.4362564480437</v>
      </c>
      <c r="M68" s="196" t="s">
        <v>423</v>
      </c>
    </row>
    <row r="69" spans="1:13" ht="15" customHeight="1" outlineLevel="1" x14ac:dyDescent="0.25">
      <c r="A69" s="148"/>
      <c r="B69" s="148"/>
      <c r="C69" s="166"/>
      <c r="D69" s="156"/>
      <c r="E69" s="156"/>
      <c r="F69" s="50">
        <v>43647</v>
      </c>
      <c r="G69" s="50">
        <v>43830</v>
      </c>
      <c r="H69" s="168"/>
      <c r="I69" s="15" t="s">
        <v>23</v>
      </c>
      <c r="J69" s="15" t="s">
        <v>23</v>
      </c>
      <c r="K69" s="13">
        <v>28.691389830508392</v>
      </c>
      <c r="L69" s="13">
        <v>1167.3249815770046</v>
      </c>
      <c r="M69" s="198"/>
    </row>
    <row r="70" spans="1:13" ht="15" customHeight="1" outlineLevel="1" x14ac:dyDescent="0.25">
      <c r="A70" s="148"/>
      <c r="B70" s="148"/>
      <c r="C70" s="166"/>
      <c r="D70" s="156"/>
      <c r="E70" s="156"/>
      <c r="F70" s="50">
        <v>43466</v>
      </c>
      <c r="G70" s="50">
        <v>43646</v>
      </c>
      <c r="H70" s="168"/>
      <c r="I70" s="15" t="s">
        <v>23</v>
      </c>
      <c r="J70" s="15" t="s">
        <v>23</v>
      </c>
      <c r="K70" s="13">
        <v>28.128813559321951</v>
      </c>
      <c r="L70" s="13">
        <v>1196.4560862865912</v>
      </c>
      <c r="M70" s="196" t="s">
        <v>424</v>
      </c>
    </row>
    <row r="71" spans="1:13" ht="15" customHeight="1" outlineLevel="1" x14ac:dyDescent="0.25">
      <c r="A71" s="148"/>
      <c r="B71" s="148"/>
      <c r="C71" s="166"/>
      <c r="D71" s="156"/>
      <c r="E71" s="156"/>
      <c r="F71" s="50">
        <v>43647</v>
      </c>
      <c r="G71" s="50">
        <v>43830</v>
      </c>
      <c r="H71" s="168"/>
      <c r="I71" s="15" t="s">
        <v>23</v>
      </c>
      <c r="J71" s="15" t="s">
        <v>23</v>
      </c>
      <c r="K71" s="13">
        <v>28.691389830508392</v>
      </c>
      <c r="L71" s="13">
        <v>1220.3852080123229</v>
      </c>
      <c r="M71" s="198"/>
    </row>
    <row r="72" spans="1:13" ht="15" customHeight="1" outlineLevel="1" x14ac:dyDescent="0.25">
      <c r="A72" s="148"/>
      <c r="B72" s="148"/>
      <c r="C72" s="166"/>
      <c r="D72" s="156"/>
      <c r="E72" s="156"/>
      <c r="F72" s="50">
        <v>43466</v>
      </c>
      <c r="G72" s="50">
        <v>43646</v>
      </c>
      <c r="H72" s="168"/>
      <c r="I72" s="15" t="s">
        <v>23</v>
      </c>
      <c r="J72" s="15" t="s">
        <v>23</v>
      </c>
      <c r="K72" s="13">
        <v>28.128813559321951</v>
      </c>
      <c r="L72" s="13">
        <v>1294.526257293689</v>
      </c>
      <c r="M72" s="196" t="s">
        <v>425</v>
      </c>
    </row>
    <row r="73" spans="1:13" ht="15" customHeight="1" outlineLevel="1" x14ac:dyDescent="0.25">
      <c r="A73" s="148"/>
      <c r="B73" s="148"/>
      <c r="C73" s="166"/>
      <c r="D73" s="156"/>
      <c r="E73" s="156"/>
      <c r="F73" s="50">
        <v>43647</v>
      </c>
      <c r="G73" s="50">
        <v>43830</v>
      </c>
      <c r="H73" s="168"/>
      <c r="I73" s="15" t="s">
        <v>23</v>
      </c>
      <c r="J73" s="15" t="s">
        <v>23</v>
      </c>
      <c r="K73" s="13">
        <v>28.691389830508392</v>
      </c>
      <c r="L73" s="13">
        <v>1320.4167824395627</v>
      </c>
      <c r="M73" s="198"/>
    </row>
    <row r="74" spans="1:13" ht="15" customHeight="1" outlineLevel="1" x14ac:dyDescent="0.25">
      <c r="A74" s="148"/>
      <c r="B74" s="148"/>
      <c r="C74" s="166"/>
      <c r="D74" s="156"/>
      <c r="E74" s="156"/>
      <c r="F74" s="50">
        <v>43466</v>
      </c>
      <c r="G74" s="50">
        <v>43646</v>
      </c>
      <c r="H74" s="168"/>
      <c r="I74" s="15" t="s">
        <v>23</v>
      </c>
      <c r="J74" s="15" t="s">
        <v>23</v>
      </c>
      <c r="K74" s="13">
        <v>28.128813559321951</v>
      </c>
      <c r="L74" s="13">
        <v>1096.7514124293755</v>
      </c>
      <c r="M74" s="196" t="s">
        <v>426</v>
      </c>
    </row>
    <row r="75" spans="1:13" ht="15" customHeight="1" outlineLevel="1" x14ac:dyDescent="0.25">
      <c r="A75" s="148"/>
      <c r="B75" s="148"/>
      <c r="C75" s="166"/>
      <c r="D75" s="156"/>
      <c r="E75" s="156"/>
      <c r="F75" s="50">
        <v>43647</v>
      </c>
      <c r="G75" s="50">
        <v>43830</v>
      </c>
      <c r="H75" s="168"/>
      <c r="I75" s="15" t="s">
        <v>23</v>
      </c>
      <c r="J75" s="15" t="s">
        <v>23</v>
      </c>
      <c r="K75" s="13">
        <v>28.691389830508392</v>
      </c>
      <c r="L75" s="13">
        <v>1118.6864406779628</v>
      </c>
      <c r="M75" s="198"/>
    </row>
    <row r="76" spans="1:13" ht="15" customHeight="1" outlineLevel="1" x14ac:dyDescent="0.25">
      <c r="A76" s="148"/>
      <c r="B76" s="148"/>
      <c r="C76" s="166"/>
      <c r="D76" s="156"/>
      <c r="E76" s="156"/>
      <c r="F76" s="50">
        <v>43466</v>
      </c>
      <c r="G76" s="50">
        <v>43646</v>
      </c>
      <c r="H76" s="168"/>
      <c r="I76" s="15" t="s">
        <v>23</v>
      </c>
      <c r="J76" s="15" t="s">
        <v>23</v>
      </c>
      <c r="K76" s="13">
        <v>28.128813559321951</v>
      </c>
      <c r="L76" s="13">
        <v>1196.4560862865912</v>
      </c>
      <c r="M76" s="196" t="s">
        <v>427</v>
      </c>
    </row>
    <row r="77" spans="1:13" ht="15" customHeight="1" outlineLevel="1" x14ac:dyDescent="0.25">
      <c r="A77" s="147"/>
      <c r="B77" s="147"/>
      <c r="C77" s="167"/>
      <c r="D77" s="156"/>
      <c r="E77" s="156"/>
      <c r="F77" s="50">
        <v>43647</v>
      </c>
      <c r="G77" s="50">
        <v>43830</v>
      </c>
      <c r="H77" s="168"/>
      <c r="I77" s="15" t="s">
        <v>23</v>
      </c>
      <c r="J77" s="15" t="s">
        <v>23</v>
      </c>
      <c r="K77" s="13">
        <v>28.691389830508392</v>
      </c>
      <c r="L77" s="13">
        <v>1220.3852080123229</v>
      </c>
      <c r="M77" s="198"/>
    </row>
    <row r="78" spans="1:13" ht="15" customHeight="1" outlineLevel="1" x14ac:dyDescent="0.25">
      <c r="A78" s="146" t="s">
        <v>170</v>
      </c>
      <c r="B78" s="146" t="s">
        <v>172</v>
      </c>
      <c r="C78" s="165" t="s">
        <v>290</v>
      </c>
      <c r="D78" s="156">
        <v>42723</v>
      </c>
      <c r="E78" s="156" t="s">
        <v>689</v>
      </c>
      <c r="F78" s="12">
        <v>43466</v>
      </c>
      <c r="G78" s="12">
        <v>43646</v>
      </c>
      <c r="H78" s="168" t="s">
        <v>795</v>
      </c>
      <c r="I78" s="66">
        <v>31.32</v>
      </c>
      <c r="J78" s="13">
        <v>3273.55</v>
      </c>
      <c r="K78" s="15" t="s">
        <v>23</v>
      </c>
      <c r="L78" s="15" t="s">
        <v>23</v>
      </c>
      <c r="M78" s="183"/>
    </row>
    <row r="79" spans="1:13" ht="15" customHeight="1" outlineLevel="1" x14ac:dyDescent="0.25">
      <c r="A79" s="148"/>
      <c r="B79" s="148"/>
      <c r="C79" s="166"/>
      <c r="D79" s="156"/>
      <c r="E79" s="156"/>
      <c r="F79" s="12">
        <v>43647</v>
      </c>
      <c r="G79" s="12">
        <v>43830</v>
      </c>
      <c r="H79" s="168"/>
      <c r="I79" s="66">
        <v>32.090000000000003</v>
      </c>
      <c r="J79" s="13">
        <v>3410.16</v>
      </c>
      <c r="K79" s="15" t="s">
        <v>23</v>
      </c>
      <c r="L79" s="15" t="s">
        <v>23</v>
      </c>
      <c r="M79" s="183"/>
    </row>
    <row r="80" spans="1:13" ht="15" customHeight="1" outlineLevel="1" x14ac:dyDescent="0.25">
      <c r="A80" s="148"/>
      <c r="B80" s="148"/>
      <c r="C80" s="166"/>
      <c r="D80" s="156">
        <v>43454</v>
      </c>
      <c r="E80" s="156" t="s">
        <v>796</v>
      </c>
      <c r="F80" s="50">
        <v>43466</v>
      </c>
      <c r="G80" s="50">
        <v>43646</v>
      </c>
      <c r="H80" s="168"/>
      <c r="I80" s="15" t="s">
        <v>23</v>
      </c>
      <c r="J80" s="15" t="s">
        <v>23</v>
      </c>
      <c r="K80" s="13">
        <v>35.318644067796505</v>
      </c>
      <c r="L80" s="13">
        <v>1436.9933677229139</v>
      </c>
      <c r="M80" s="196" t="s">
        <v>420</v>
      </c>
    </row>
    <row r="81" spans="1:13" ht="15" customHeight="1" outlineLevel="1" x14ac:dyDescent="0.25">
      <c r="A81" s="148"/>
      <c r="B81" s="148"/>
      <c r="C81" s="166"/>
      <c r="D81" s="156"/>
      <c r="E81" s="156"/>
      <c r="F81" s="50">
        <v>43647</v>
      </c>
      <c r="G81" s="50">
        <v>43830</v>
      </c>
      <c r="H81" s="168"/>
      <c r="I81" s="15" t="s">
        <v>23</v>
      </c>
      <c r="J81" s="15" t="s">
        <v>23</v>
      </c>
      <c r="K81" s="13">
        <v>36.025016949152437</v>
      </c>
      <c r="L81" s="13">
        <v>1465.733235077372</v>
      </c>
      <c r="M81" s="198"/>
    </row>
    <row r="82" spans="1:13" ht="15" customHeight="1" outlineLevel="1" x14ac:dyDescent="0.25">
      <c r="A82" s="148"/>
      <c r="B82" s="148"/>
      <c r="C82" s="166"/>
      <c r="D82" s="156"/>
      <c r="E82" s="156"/>
      <c r="F82" s="50">
        <v>43466</v>
      </c>
      <c r="G82" s="50">
        <v>43646</v>
      </c>
      <c r="H82" s="168"/>
      <c r="I82" s="15" t="s">
        <v>23</v>
      </c>
      <c r="J82" s="15" t="s">
        <v>23</v>
      </c>
      <c r="K82" s="13">
        <v>35.318644067796505</v>
      </c>
      <c r="L82" s="13">
        <v>1573.8498789346202</v>
      </c>
      <c r="M82" s="196" t="s">
        <v>421</v>
      </c>
    </row>
    <row r="83" spans="1:13" ht="15" customHeight="1" outlineLevel="1" x14ac:dyDescent="0.25">
      <c r="A83" s="148"/>
      <c r="B83" s="148"/>
      <c r="C83" s="166"/>
      <c r="D83" s="156"/>
      <c r="E83" s="156"/>
      <c r="F83" s="50">
        <v>43647</v>
      </c>
      <c r="G83" s="50">
        <v>43830</v>
      </c>
      <c r="H83" s="168"/>
      <c r="I83" s="15" t="s">
        <v>23</v>
      </c>
      <c r="J83" s="15" t="s">
        <v>23</v>
      </c>
      <c r="K83" s="13">
        <v>36.025016949152437</v>
      </c>
      <c r="L83" s="13">
        <v>1605.3268765133123</v>
      </c>
      <c r="M83" s="198"/>
    </row>
    <row r="84" spans="1:13" ht="15" customHeight="1" outlineLevel="1" x14ac:dyDescent="0.25">
      <c r="A84" s="148"/>
      <c r="B84" s="148"/>
      <c r="C84" s="166"/>
      <c r="D84" s="156"/>
      <c r="E84" s="156"/>
      <c r="F84" s="50">
        <v>43466</v>
      </c>
      <c r="G84" s="50">
        <v>43646</v>
      </c>
      <c r="H84" s="168"/>
      <c r="I84" s="15" t="s">
        <v>23</v>
      </c>
      <c r="J84" s="15" t="s">
        <v>23</v>
      </c>
      <c r="K84" s="13">
        <v>35.318644067796505</v>
      </c>
      <c r="L84" s="13">
        <v>1339.8992212551498</v>
      </c>
      <c r="M84" s="196" t="s">
        <v>422</v>
      </c>
    </row>
    <row r="85" spans="1:13" ht="15" customHeight="1" outlineLevel="1" x14ac:dyDescent="0.25">
      <c r="A85" s="148"/>
      <c r="B85" s="148"/>
      <c r="C85" s="166"/>
      <c r="D85" s="156"/>
      <c r="E85" s="156"/>
      <c r="F85" s="50">
        <v>43647</v>
      </c>
      <c r="G85" s="50">
        <v>43830</v>
      </c>
      <c r="H85" s="168"/>
      <c r="I85" s="15" t="s">
        <v>23</v>
      </c>
      <c r="J85" s="15" t="s">
        <v>23</v>
      </c>
      <c r="K85" s="13">
        <v>36.025016949152437</v>
      </c>
      <c r="L85" s="13">
        <v>1366.6972056802524</v>
      </c>
      <c r="M85" s="198"/>
    </row>
    <row r="86" spans="1:13" ht="15" customHeight="1" outlineLevel="1" x14ac:dyDescent="0.25">
      <c r="A86" s="148"/>
      <c r="B86" s="148"/>
      <c r="C86" s="166"/>
      <c r="D86" s="156"/>
      <c r="E86" s="156"/>
      <c r="F86" s="50">
        <v>43466</v>
      </c>
      <c r="G86" s="50">
        <v>43646</v>
      </c>
      <c r="H86" s="168"/>
      <c r="I86" s="15" t="s">
        <v>23</v>
      </c>
      <c r="J86" s="15" t="s">
        <v>23</v>
      </c>
      <c r="K86" s="13">
        <v>35.318644067796505</v>
      </c>
      <c r="L86" s="13">
        <v>1436.9933677229139</v>
      </c>
      <c r="M86" s="196" t="s">
        <v>423</v>
      </c>
    </row>
    <row r="87" spans="1:13" ht="15" customHeight="1" outlineLevel="1" x14ac:dyDescent="0.25">
      <c r="A87" s="148"/>
      <c r="B87" s="148"/>
      <c r="C87" s="166"/>
      <c r="D87" s="156"/>
      <c r="E87" s="156"/>
      <c r="F87" s="50">
        <v>43647</v>
      </c>
      <c r="G87" s="50">
        <v>43830</v>
      </c>
      <c r="H87" s="168"/>
      <c r="I87" s="15" t="s">
        <v>23</v>
      </c>
      <c r="J87" s="15" t="s">
        <v>23</v>
      </c>
      <c r="K87" s="13">
        <v>36.025016949152437</v>
      </c>
      <c r="L87" s="13">
        <v>1465.733235077372</v>
      </c>
      <c r="M87" s="198"/>
    </row>
    <row r="88" spans="1:13" ht="15" customHeight="1" outlineLevel="1" x14ac:dyDescent="0.25">
      <c r="A88" s="148"/>
      <c r="B88" s="148"/>
      <c r="C88" s="166"/>
      <c r="D88" s="156"/>
      <c r="E88" s="156"/>
      <c r="F88" s="50">
        <v>43466</v>
      </c>
      <c r="G88" s="50">
        <v>43646</v>
      </c>
      <c r="H88" s="168"/>
      <c r="I88" s="15" t="s">
        <v>23</v>
      </c>
      <c r="J88" s="15" t="s">
        <v>23</v>
      </c>
      <c r="K88" s="13">
        <v>35.318644067796505</v>
      </c>
      <c r="L88" s="13">
        <v>1502.3112480739555</v>
      </c>
      <c r="M88" s="196" t="s">
        <v>424</v>
      </c>
    </row>
    <row r="89" spans="1:13" ht="15" customHeight="1" outlineLevel="1" x14ac:dyDescent="0.25">
      <c r="A89" s="148"/>
      <c r="B89" s="148"/>
      <c r="C89" s="166"/>
      <c r="D89" s="156"/>
      <c r="E89" s="156"/>
      <c r="F89" s="50">
        <v>43647</v>
      </c>
      <c r="G89" s="50">
        <v>43830</v>
      </c>
      <c r="H89" s="168"/>
      <c r="I89" s="15" t="s">
        <v>23</v>
      </c>
      <c r="J89" s="15" t="s">
        <v>23</v>
      </c>
      <c r="K89" s="13">
        <v>36.025016949152437</v>
      </c>
      <c r="L89" s="13">
        <v>1532.3574730354344</v>
      </c>
      <c r="M89" s="198"/>
    </row>
    <row r="90" spans="1:13" ht="15" customHeight="1" outlineLevel="1" x14ac:dyDescent="0.25">
      <c r="A90" s="148"/>
      <c r="B90" s="148"/>
      <c r="C90" s="166"/>
      <c r="D90" s="156"/>
      <c r="E90" s="156"/>
      <c r="F90" s="50">
        <v>43466</v>
      </c>
      <c r="G90" s="50">
        <v>43646</v>
      </c>
      <c r="H90" s="168"/>
      <c r="I90" s="15" t="s">
        <v>23</v>
      </c>
      <c r="J90" s="15" t="s">
        <v>23</v>
      </c>
      <c r="K90" s="13">
        <v>35.318644067796505</v>
      </c>
      <c r="L90" s="13">
        <v>1625.4515143095259</v>
      </c>
      <c r="M90" s="196" t="s">
        <v>425</v>
      </c>
    </row>
    <row r="91" spans="1:13" ht="15" customHeight="1" outlineLevel="1" x14ac:dyDescent="0.25">
      <c r="A91" s="148"/>
      <c r="B91" s="148"/>
      <c r="C91" s="166"/>
      <c r="D91" s="156"/>
      <c r="E91" s="156"/>
      <c r="F91" s="50">
        <v>43647</v>
      </c>
      <c r="G91" s="50">
        <v>43830</v>
      </c>
      <c r="H91" s="168"/>
      <c r="I91" s="15" t="s">
        <v>23</v>
      </c>
      <c r="J91" s="15" t="s">
        <v>23</v>
      </c>
      <c r="K91" s="13">
        <v>36.025016949152437</v>
      </c>
      <c r="L91" s="13">
        <v>1657.9605445957161</v>
      </c>
      <c r="M91" s="198"/>
    </row>
    <row r="92" spans="1:13" ht="15" customHeight="1" outlineLevel="1" x14ac:dyDescent="0.25">
      <c r="A92" s="148"/>
      <c r="B92" s="148"/>
      <c r="C92" s="166"/>
      <c r="D92" s="156"/>
      <c r="E92" s="156"/>
      <c r="F92" s="50">
        <v>43466</v>
      </c>
      <c r="G92" s="50">
        <v>43646</v>
      </c>
      <c r="H92" s="168"/>
      <c r="I92" s="15" t="s">
        <v>23</v>
      </c>
      <c r="J92" s="15" t="s">
        <v>23</v>
      </c>
      <c r="K92" s="13">
        <v>35.318644067796505</v>
      </c>
      <c r="L92" s="13">
        <v>1377.1186440677927</v>
      </c>
      <c r="M92" s="196" t="s">
        <v>426</v>
      </c>
    </row>
    <row r="93" spans="1:13" ht="15" customHeight="1" outlineLevel="1" x14ac:dyDescent="0.25">
      <c r="A93" s="148"/>
      <c r="B93" s="148"/>
      <c r="C93" s="166"/>
      <c r="D93" s="156"/>
      <c r="E93" s="156"/>
      <c r="F93" s="50">
        <v>43647</v>
      </c>
      <c r="G93" s="50">
        <v>43830</v>
      </c>
      <c r="H93" s="168"/>
      <c r="I93" s="15" t="s">
        <v>23</v>
      </c>
      <c r="J93" s="15" t="s">
        <v>23</v>
      </c>
      <c r="K93" s="13">
        <v>36.025016949152437</v>
      </c>
      <c r="L93" s="13">
        <v>1404.6610169491485</v>
      </c>
      <c r="M93" s="198"/>
    </row>
    <row r="94" spans="1:13" ht="15" customHeight="1" outlineLevel="1" x14ac:dyDescent="0.25">
      <c r="A94" s="148"/>
      <c r="B94" s="148"/>
      <c r="C94" s="166"/>
      <c r="D94" s="156"/>
      <c r="E94" s="156"/>
      <c r="F94" s="50">
        <v>43466</v>
      </c>
      <c r="G94" s="50">
        <v>43646</v>
      </c>
      <c r="H94" s="168"/>
      <c r="I94" s="15" t="s">
        <v>23</v>
      </c>
      <c r="J94" s="15" t="s">
        <v>23</v>
      </c>
      <c r="K94" s="13">
        <v>35.318644067796505</v>
      </c>
      <c r="L94" s="13">
        <v>1502.3112480739555</v>
      </c>
      <c r="M94" s="196" t="s">
        <v>427</v>
      </c>
    </row>
    <row r="95" spans="1:13" ht="15" customHeight="1" outlineLevel="1" x14ac:dyDescent="0.25">
      <c r="A95" s="147"/>
      <c r="B95" s="147"/>
      <c r="C95" s="167"/>
      <c r="D95" s="156"/>
      <c r="E95" s="156"/>
      <c r="F95" s="50">
        <v>43647</v>
      </c>
      <c r="G95" s="50">
        <v>43830</v>
      </c>
      <c r="H95" s="168"/>
      <c r="I95" s="15" t="s">
        <v>23</v>
      </c>
      <c r="J95" s="15" t="s">
        <v>23</v>
      </c>
      <c r="K95" s="13">
        <v>36.025016949152437</v>
      </c>
      <c r="L95" s="13">
        <v>1532.3574730354344</v>
      </c>
      <c r="M95" s="198"/>
    </row>
    <row r="96" spans="1:13" ht="15" customHeight="1" outlineLevel="1" x14ac:dyDescent="0.25">
      <c r="A96" s="146" t="s">
        <v>170</v>
      </c>
      <c r="B96" s="146" t="s">
        <v>173</v>
      </c>
      <c r="C96" s="165" t="s">
        <v>469</v>
      </c>
      <c r="D96" s="156">
        <v>43453</v>
      </c>
      <c r="E96" s="156" t="s">
        <v>690</v>
      </c>
      <c r="F96" s="12">
        <v>43466</v>
      </c>
      <c r="G96" s="12">
        <v>43646</v>
      </c>
      <c r="H96" s="168"/>
      <c r="I96" s="66">
        <v>36.72</v>
      </c>
      <c r="J96" s="13">
        <v>2711.23</v>
      </c>
      <c r="K96" s="15" t="s">
        <v>23</v>
      </c>
      <c r="L96" s="15" t="s">
        <v>23</v>
      </c>
      <c r="M96" s="183"/>
    </row>
    <row r="97" spans="1:13" ht="15" customHeight="1" outlineLevel="1" x14ac:dyDescent="0.25">
      <c r="A97" s="148"/>
      <c r="B97" s="148"/>
      <c r="C97" s="166"/>
      <c r="D97" s="156"/>
      <c r="E97" s="156"/>
      <c r="F97" s="12">
        <v>43647</v>
      </c>
      <c r="G97" s="12">
        <v>43830</v>
      </c>
      <c r="H97" s="168"/>
      <c r="I97" s="66">
        <v>38.479999999999997</v>
      </c>
      <c r="J97" s="13">
        <v>2744.89</v>
      </c>
      <c r="K97" s="15" t="s">
        <v>23</v>
      </c>
      <c r="L97" s="15" t="s">
        <v>23</v>
      </c>
      <c r="M97" s="183"/>
    </row>
    <row r="98" spans="1:13" ht="15" customHeight="1" outlineLevel="1" x14ac:dyDescent="0.25">
      <c r="A98" s="148"/>
      <c r="B98" s="148"/>
      <c r="C98" s="166"/>
      <c r="D98" s="156">
        <v>43454</v>
      </c>
      <c r="E98" s="156" t="s">
        <v>738</v>
      </c>
      <c r="F98" s="50">
        <v>43466</v>
      </c>
      <c r="G98" s="50">
        <v>43646</v>
      </c>
      <c r="H98" s="168" t="s">
        <v>671</v>
      </c>
      <c r="I98" s="15" t="s">
        <v>23</v>
      </c>
      <c r="J98" s="15" t="s">
        <v>23</v>
      </c>
      <c r="K98" s="13">
        <v>14.192369491525424</v>
      </c>
      <c r="L98" s="13">
        <v>1257.7174649963154</v>
      </c>
      <c r="M98" s="196" t="s">
        <v>420</v>
      </c>
    </row>
    <row r="99" spans="1:13" ht="15" customHeight="1" outlineLevel="1" x14ac:dyDescent="0.25">
      <c r="A99" s="148"/>
      <c r="B99" s="148"/>
      <c r="C99" s="166"/>
      <c r="D99" s="156"/>
      <c r="E99" s="156"/>
      <c r="F99" s="50">
        <v>43647</v>
      </c>
      <c r="G99" s="50">
        <v>43830</v>
      </c>
      <c r="H99" s="168"/>
      <c r="I99" s="15" t="s">
        <v>23</v>
      </c>
      <c r="J99" s="15" t="s">
        <v>23</v>
      </c>
      <c r="K99" s="13">
        <v>14.476216881355933</v>
      </c>
      <c r="L99" s="13">
        <v>1282.8718142962416</v>
      </c>
      <c r="M99" s="198"/>
    </row>
    <row r="100" spans="1:13" ht="15" customHeight="1" outlineLevel="1" x14ac:dyDescent="0.25">
      <c r="A100" s="148"/>
      <c r="B100" s="148"/>
      <c r="C100" s="166"/>
      <c r="D100" s="156"/>
      <c r="E100" s="156"/>
      <c r="F100" s="50">
        <v>43466</v>
      </c>
      <c r="G100" s="50">
        <v>43646</v>
      </c>
      <c r="H100" s="168"/>
      <c r="I100" s="15" t="s">
        <v>23</v>
      </c>
      <c r="J100" s="15" t="s">
        <v>23</v>
      </c>
      <c r="K100" s="13">
        <v>14.192369491525424</v>
      </c>
      <c r="L100" s="13">
        <v>1377.5000807102501</v>
      </c>
      <c r="M100" s="196" t="s">
        <v>421</v>
      </c>
    </row>
    <row r="101" spans="1:13" ht="15" customHeight="1" outlineLevel="1" x14ac:dyDescent="0.25">
      <c r="A101" s="148"/>
      <c r="B101" s="148"/>
      <c r="C101" s="166"/>
      <c r="D101" s="156"/>
      <c r="E101" s="156"/>
      <c r="F101" s="50">
        <v>43647</v>
      </c>
      <c r="G101" s="50">
        <v>43830</v>
      </c>
      <c r="H101" s="168"/>
      <c r="I101" s="15" t="s">
        <v>23</v>
      </c>
      <c r="J101" s="15" t="s">
        <v>23</v>
      </c>
      <c r="K101" s="13">
        <v>14.476216881355933</v>
      </c>
      <c r="L101" s="13">
        <v>1405.0500823244552</v>
      </c>
      <c r="M101" s="198"/>
    </row>
    <row r="102" spans="1:13" ht="15" customHeight="1" outlineLevel="1" x14ac:dyDescent="0.25">
      <c r="A102" s="148"/>
      <c r="B102" s="148"/>
      <c r="C102" s="166"/>
      <c r="D102" s="156"/>
      <c r="E102" s="156"/>
      <c r="F102" s="50">
        <v>43466</v>
      </c>
      <c r="G102" s="50">
        <v>43646</v>
      </c>
      <c r="H102" s="168"/>
      <c r="I102" s="15" t="s">
        <v>23</v>
      </c>
      <c r="J102" s="15" t="s">
        <v>23</v>
      </c>
      <c r="K102" s="13">
        <v>14.192369491525424</v>
      </c>
      <c r="L102" s="13">
        <v>1172.7365551992671</v>
      </c>
      <c r="M102" s="196" t="s">
        <v>422</v>
      </c>
    </row>
    <row r="103" spans="1:13" ht="15" customHeight="1" outlineLevel="1" x14ac:dyDescent="0.25">
      <c r="A103" s="148"/>
      <c r="B103" s="148"/>
      <c r="C103" s="166"/>
      <c r="D103" s="156"/>
      <c r="E103" s="156"/>
      <c r="F103" s="50">
        <v>43647</v>
      </c>
      <c r="G103" s="50">
        <v>43830</v>
      </c>
      <c r="H103" s="168"/>
      <c r="I103" s="15" t="s">
        <v>23</v>
      </c>
      <c r="J103" s="15" t="s">
        <v>23</v>
      </c>
      <c r="K103" s="13">
        <v>14.476216881355933</v>
      </c>
      <c r="L103" s="13">
        <v>1196.1912863032524</v>
      </c>
      <c r="M103" s="198"/>
    </row>
    <row r="104" spans="1:13" ht="15" customHeight="1" outlineLevel="1" x14ac:dyDescent="0.25">
      <c r="A104" s="148"/>
      <c r="B104" s="148"/>
      <c r="C104" s="166"/>
      <c r="D104" s="156"/>
      <c r="E104" s="156"/>
      <c r="F104" s="50">
        <v>43466</v>
      </c>
      <c r="G104" s="50">
        <v>43646</v>
      </c>
      <c r="H104" s="168"/>
      <c r="I104" s="15" t="s">
        <v>23</v>
      </c>
      <c r="J104" s="15" t="s">
        <v>23</v>
      </c>
      <c r="K104" s="13">
        <v>14.192369491525424</v>
      </c>
      <c r="L104" s="13">
        <v>1257.7174649963154</v>
      </c>
      <c r="M104" s="196" t="s">
        <v>423</v>
      </c>
    </row>
    <row r="105" spans="1:13" ht="15" customHeight="1" outlineLevel="1" x14ac:dyDescent="0.25">
      <c r="A105" s="148"/>
      <c r="B105" s="148"/>
      <c r="C105" s="166"/>
      <c r="D105" s="156"/>
      <c r="E105" s="156"/>
      <c r="F105" s="50">
        <v>43647</v>
      </c>
      <c r="G105" s="50">
        <v>43830</v>
      </c>
      <c r="H105" s="168"/>
      <c r="I105" s="15" t="s">
        <v>23</v>
      </c>
      <c r="J105" s="15" t="s">
        <v>23</v>
      </c>
      <c r="K105" s="13">
        <v>14.476216881355933</v>
      </c>
      <c r="L105" s="13">
        <v>1282.8718142962416</v>
      </c>
      <c r="M105" s="198"/>
    </row>
    <row r="106" spans="1:13" ht="15" customHeight="1" outlineLevel="1" x14ac:dyDescent="0.25">
      <c r="A106" s="148"/>
      <c r="B106" s="148"/>
      <c r="C106" s="166"/>
      <c r="D106" s="156"/>
      <c r="E106" s="156"/>
      <c r="F106" s="50">
        <v>43466</v>
      </c>
      <c r="G106" s="50">
        <v>43646</v>
      </c>
      <c r="H106" s="168"/>
      <c r="I106" s="15" t="s">
        <v>23</v>
      </c>
      <c r="J106" s="15" t="s">
        <v>23</v>
      </c>
      <c r="K106" s="13">
        <v>14.192369491525424</v>
      </c>
      <c r="L106" s="13">
        <v>1314.886440677966</v>
      </c>
      <c r="M106" s="196" t="s">
        <v>424</v>
      </c>
    </row>
    <row r="107" spans="1:13" ht="15" customHeight="1" outlineLevel="1" x14ac:dyDescent="0.25">
      <c r="A107" s="148"/>
      <c r="B107" s="148"/>
      <c r="C107" s="166"/>
      <c r="D107" s="156"/>
      <c r="E107" s="156"/>
      <c r="F107" s="50">
        <v>43647</v>
      </c>
      <c r="G107" s="50">
        <v>43830</v>
      </c>
      <c r="H107" s="168"/>
      <c r="I107" s="15" t="s">
        <v>23</v>
      </c>
      <c r="J107" s="15" t="s">
        <v>23</v>
      </c>
      <c r="K107" s="13">
        <v>14.476216881355933</v>
      </c>
      <c r="L107" s="13">
        <v>1341.1841694915254</v>
      </c>
      <c r="M107" s="198"/>
    </row>
    <row r="108" spans="1:13" ht="15" customHeight="1" outlineLevel="1" x14ac:dyDescent="0.25">
      <c r="A108" s="148"/>
      <c r="B108" s="148"/>
      <c r="C108" s="166"/>
      <c r="D108" s="156"/>
      <c r="E108" s="156"/>
      <c r="F108" s="50">
        <v>43466</v>
      </c>
      <c r="G108" s="50">
        <v>43646</v>
      </c>
      <c r="H108" s="168"/>
      <c r="I108" s="15" t="s">
        <v>23</v>
      </c>
      <c r="J108" s="15" t="s">
        <v>23</v>
      </c>
      <c r="K108" s="13">
        <v>14.192369491525424</v>
      </c>
      <c r="L108" s="13">
        <v>1422.6640177827173</v>
      </c>
      <c r="M108" s="196" t="s">
        <v>425</v>
      </c>
    </row>
    <row r="109" spans="1:13" ht="15" customHeight="1" outlineLevel="1" x14ac:dyDescent="0.25">
      <c r="A109" s="148"/>
      <c r="B109" s="148"/>
      <c r="C109" s="166"/>
      <c r="D109" s="156"/>
      <c r="E109" s="156"/>
      <c r="F109" s="50">
        <v>43647</v>
      </c>
      <c r="G109" s="50">
        <v>43830</v>
      </c>
      <c r="H109" s="168"/>
      <c r="I109" s="15" t="s">
        <v>23</v>
      </c>
      <c r="J109" s="15" t="s">
        <v>23</v>
      </c>
      <c r="K109" s="13">
        <v>14.476216881355933</v>
      </c>
      <c r="L109" s="13">
        <v>1451.1172981383718</v>
      </c>
      <c r="M109" s="198"/>
    </row>
    <row r="110" spans="1:13" ht="15" customHeight="1" outlineLevel="1" x14ac:dyDescent="0.25">
      <c r="A110" s="148"/>
      <c r="B110" s="148"/>
      <c r="C110" s="166"/>
      <c r="D110" s="156"/>
      <c r="E110" s="156"/>
      <c r="F110" s="50">
        <v>43466</v>
      </c>
      <c r="G110" s="50">
        <v>43646</v>
      </c>
      <c r="H110" s="168"/>
      <c r="I110" s="15" t="s">
        <v>23</v>
      </c>
      <c r="J110" s="15" t="s">
        <v>23</v>
      </c>
      <c r="K110" s="13">
        <v>14.192369491525424</v>
      </c>
      <c r="L110" s="13">
        <v>1205.3125706214689</v>
      </c>
      <c r="M110" s="196" t="s">
        <v>426</v>
      </c>
    </row>
    <row r="111" spans="1:13" ht="15" customHeight="1" outlineLevel="1" x14ac:dyDescent="0.25">
      <c r="A111" s="148"/>
      <c r="B111" s="148"/>
      <c r="C111" s="166"/>
      <c r="D111" s="156"/>
      <c r="E111" s="156"/>
      <c r="F111" s="50">
        <v>43647</v>
      </c>
      <c r="G111" s="50">
        <v>43830</v>
      </c>
      <c r="H111" s="168"/>
      <c r="I111" s="15" t="s">
        <v>23</v>
      </c>
      <c r="J111" s="15" t="s">
        <v>23</v>
      </c>
      <c r="K111" s="13">
        <v>14.476216881355933</v>
      </c>
      <c r="L111" s="13">
        <v>1229.4188220338983</v>
      </c>
      <c r="M111" s="198"/>
    </row>
    <row r="112" spans="1:13" ht="15" customHeight="1" outlineLevel="1" x14ac:dyDescent="0.25">
      <c r="A112" s="148"/>
      <c r="B112" s="148"/>
      <c r="C112" s="166"/>
      <c r="D112" s="156"/>
      <c r="E112" s="156"/>
      <c r="F112" s="50">
        <v>43466</v>
      </c>
      <c r="G112" s="50">
        <v>43646</v>
      </c>
      <c r="H112" s="168"/>
      <c r="I112" s="15" t="s">
        <v>23</v>
      </c>
      <c r="J112" s="15" t="s">
        <v>23</v>
      </c>
      <c r="K112" s="13">
        <v>14.192369491525422</v>
      </c>
      <c r="L112" s="13">
        <v>1314.886440677966</v>
      </c>
      <c r="M112" s="196" t="s">
        <v>427</v>
      </c>
    </row>
    <row r="113" spans="1:13" ht="15" customHeight="1" outlineLevel="1" x14ac:dyDescent="0.25">
      <c r="A113" s="147"/>
      <c r="B113" s="147"/>
      <c r="C113" s="167"/>
      <c r="D113" s="156"/>
      <c r="E113" s="156"/>
      <c r="F113" s="50">
        <v>43647</v>
      </c>
      <c r="G113" s="50">
        <v>43830</v>
      </c>
      <c r="H113" s="168"/>
      <c r="I113" s="15" t="s">
        <v>23</v>
      </c>
      <c r="J113" s="15" t="s">
        <v>23</v>
      </c>
      <c r="K113" s="13">
        <v>14.476216881355931</v>
      </c>
      <c r="L113" s="13">
        <v>1341.1841694915254</v>
      </c>
      <c r="M113" s="198"/>
    </row>
    <row r="114" spans="1:13" ht="15" customHeight="1" outlineLevel="1" x14ac:dyDescent="0.25">
      <c r="A114" s="146" t="s">
        <v>170</v>
      </c>
      <c r="B114" s="146" t="s">
        <v>174</v>
      </c>
      <c r="C114" s="165" t="s">
        <v>469</v>
      </c>
      <c r="D114" s="156">
        <v>43453</v>
      </c>
      <c r="E114" s="156" t="s">
        <v>690</v>
      </c>
      <c r="F114" s="12">
        <v>43466</v>
      </c>
      <c r="G114" s="12">
        <v>43646</v>
      </c>
      <c r="H114" s="168"/>
      <c r="I114" s="66">
        <v>36.72</v>
      </c>
      <c r="J114" s="13">
        <v>2711.23</v>
      </c>
      <c r="K114" s="15" t="s">
        <v>23</v>
      </c>
      <c r="L114" s="15" t="s">
        <v>23</v>
      </c>
      <c r="M114" s="183"/>
    </row>
    <row r="115" spans="1:13" ht="15" customHeight="1" outlineLevel="1" x14ac:dyDescent="0.25">
      <c r="A115" s="148"/>
      <c r="B115" s="148"/>
      <c r="C115" s="166"/>
      <c r="D115" s="156"/>
      <c r="E115" s="156"/>
      <c r="F115" s="12">
        <v>43647</v>
      </c>
      <c r="G115" s="12">
        <v>43830</v>
      </c>
      <c r="H115" s="168"/>
      <c r="I115" s="66">
        <v>38.479999999999997</v>
      </c>
      <c r="J115" s="13">
        <v>2744.89</v>
      </c>
      <c r="K115" s="15" t="s">
        <v>23</v>
      </c>
      <c r="L115" s="15" t="s">
        <v>23</v>
      </c>
      <c r="M115" s="183"/>
    </row>
    <row r="116" spans="1:13" ht="15" customHeight="1" outlineLevel="1" x14ac:dyDescent="0.25">
      <c r="A116" s="148"/>
      <c r="B116" s="148"/>
      <c r="C116" s="166"/>
      <c r="D116" s="156">
        <v>43454</v>
      </c>
      <c r="E116" s="156" t="s">
        <v>738</v>
      </c>
      <c r="F116" s="50">
        <v>43466</v>
      </c>
      <c r="G116" s="50">
        <v>43646</v>
      </c>
      <c r="H116" s="168" t="s">
        <v>671</v>
      </c>
      <c r="I116" s="15" t="s">
        <v>23</v>
      </c>
      <c r="J116" s="15" t="s">
        <v>23</v>
      </c>
      <c r="K116" s="13">
        <v>18.615010169491523</v>
      </c>
      <c r="L116" s="13">
        <v>1647.7758290346349</v>
      </c>
      <c r="M116" s="196" t="s">
        <v>420</v>
      </c>
    </row>
    <row r="117" spans="1:13" ht="15" customHeight="1" outlineLevel="1" x14ac:dyDescent="0.25">
      <c r="A117" s="148"/>
      <c r="B117" s="148"/>
      <c r="C117" s="166"/>
      <c r="D117" s="156"/>
      <c r="E117" s="156"/>
      <c r="F117" s="50">
        <v>43647</v>
      </c>
      <c r="G117" s="50">
        <v>43830</v>
      </c>
      <c r="H117" s="168"/>
      <c r="I117" s="15" t="s">
        <v>23</v>
      </c>
      <c r="J117" s="15" t="s">
        <v>23</v>
      </c>
      <c r="K117" s="13">
        <v>18.987310372881353</v>
      </c>
      <c r="L117" s="13">
        <v>1680.7313456153277</v>
      </c>
      <c r="M117" s="198"/>
    </row>
    <row r="118" spans="1:13" ht="15" customHeight="1" outlineLevel="1" x14ac:dyDescent="0.25">
      <c r="A118" s="148"/>
      <c r="B118" s="148"/>
      <c r="C118" s="166"/>
      <c r="D118" s="156"/>
      <c r="E118" s="156"/>
      <c r="F118" s="50">
        <v>43466</v>
      </c>
      <c r="G118" s="50">
        <v>43646</v>
      </c>
      <c r="H118" s="168"/>
      <c r="I118" s="15" t="s">
        <v>23</v>
      </c>
      <c r="J118" s="15" t="s">
        <v>23</v>
      </c>
      <c r="K118" s="13">
        <v>18.615010169491523</v>
      </c>
      <c r="L118" s="13">
        <v>1804.7068603712669</v>
      </c>
      <c r="M118" s="196" t="s">
        <v>421</v>
      </c>
    </row>
    <row r="119" spans="1:13" ht="15" customHeight="1" outlineLevel="1" x14ac:dyDescent="0.25">
      <c r="A119" s="148"/>
      <c r="B119" s="148"/>
      <c r="C119" s="166"/>
      <c r="D119" s="156"/>
      <c r="E119" s="156"/>
      <c r="F119" s="50">
        <v>43647</v>
      </c>
      <c r="G119" s="50">
        <v>43830</v>
      </c>
      <c r="H119" s="168"/>
      <c r="I119" s="15" t="s">
        <v>23</v>
      </c>
      <c r="J119" s="15" t="s">
        <v>23</v>
      </c>
      <c r="K119" s="13">
        <v>18.987310372881353</v>
      </c>
      <c r="L119" s="13">
        <v>1840.8009975786922</v>
      </c>
      <c r="M119" s="198"/>
    </row>
    <row r="120" spans="1:13" ht="15" customHeight="1" outlineLevel="1" x14ac:dyDescent="0.25">
      <c r="A120" s="148"/>
      <c r="B120" s="148"/>
      <c r="C120" s="166"/>
      <c r="D120" s="156"/>
      <c r="E120" s="156"/>
      <c r="F120" s="50">
        <v>43466</v>
      </c>
      <c r="G120" s="50">
        <v>43646</v>
      </c>
      <c r="H120" s="168"/>
      <c r="I120" s="15" t="s">
        <v>23</v>
      </c>
      <c r="J120" s="15" t="s">
        <v>23</v>
      </c>
      <c r="K120" s="13">
        <v>18.615010169491523</v>
      </c>
      <c r="L120" s="13">
        <v>1536.4396243701326</v>
      </c>
      <c r="M120" s="196" t="s">
        <v>422</v>
      </c>
    </row>
    <row r="121" spans="1:13" ht="15" customHeight="1" outlineLevel="1" x14ac:dyDescent="0.25">
      <c r="A121" s="148"/>
      <c r="B121" s="148"/>
      <c r="C121" s="166"/>
      <c r="D121" s="156"/>
      <c r="E121" s="156"/>
      <c r="F121" s="50">
        <v>43647</v>
      </c>
      <c r="G121" s="50">
        <v>43830</v>
      </c>
      <c r="H121" s="168"/>
      <c r="I121" s="15" t="s">
        <v>23</v>
      </c>
      <c r="J121" s="15" t="s">
        <v>23</v>
      </c>
      <c r="K121" s="13">
        <v>18.987310372881353</v>
      </c>
      <c r="L121" s="13">
        <v>1567.1684168575352</v>
      </c>
      <c r="M121" s="198"/>
    </row>
    <row r="122" spans="1:13" ht="15" customHeight="1" outlineLevel="1" x14ac:dyDescent="0.25">
      <c r="A122" s="148"/>
      <c r="B122" s="148"/>
      <c r="C122" s="166"/>
      <c r="D122" s="156"/>
      <c r="E122" s="156"/>
      <c r="F122" s="50">
        <v>43466</v>
      </c>
      <c r="G122" s="50">
        <v>43646</v>
      </c>
      <c r="H122" s="168"/>
      <c r="I122" s="15" t="s">
        <v>23</v>
      </c>
      <c r="J122" s="15" t="s">
        <v>23</v>
      </c>
      <c r="K122" s="13">
        <v>18.615010169491523</v>
      </c>
      <c r="L122" s="13">
        <v>1647.7758290346349</v>
      </c>
      <c r="M122" s="196" t="s">
        <v>423</v>
      </c>
    </row>
    <row r="123" spans="1:13" ht="15" customHeight="1" outlineLevel="1" x14ac:dyDescent="0.25">
      <c r="A123" s="148"/>
      <c r="B123" s="148"/>
      <c r="C123" s="166"/>
      <c r="D123" s="156"/>
      <c r="E123" s="156"/>
      <c r="F123" s="50">
        <v>43647</v>
      </c>
      <c r="G123" s="50">
        <v>43830</v>
      </c>
      <c r="H123" s="168"/>
      <c r="I123" s="15" t="s">
        <v>23</v>
      </c>
      <c r="J123" s="15" t="s">
        <v>23</v>
      </c>
      <c r="K123" s="13">
        <v>18.987310372881353</v>
      </c>
      <c r="L123" s="13">
        <v>1680.7313456153277</v>
      </c>
      <c r="M123" s="198"/>
    </row>
    <row r="124" spans="1:13" ht="15" customHeight="1" outlineLevel="1" x14ac:dyDescent="0.25">
      <c r="A124" s="148"/>
      <c r="B124" s="148"/>
      <c r="C124" s="166"/>
      <c r="D124" s="156"/>
      <c r="E124" s="156"/>
      <c r="F124" s="50">
        <v>43466</v>
      </c>
      <c r="G124" s="50">
        <v>43646</v>
      </c>
      <c r="H124" s="168"/>
      <c r="I124" s="15" t="s">
        <v>23</v>
      </c>
      <c r="J124" s="15" t="s">
        <v>23</v>
      </c>
      <c r="K124" s="13">
        <v>18.615010169491523</v>
      </c>
      <c r="L124" s="13">
        <v>1722.6747303543909</v>
      </c>
      <c r="M124" s="196" t="s">
        <v>424</v>
      </c>
    </row>
    <row r="125" spans="1:13" ht="15" customHeight="1" outlineLevel="1" x14ac:dyDescent="0.25">
      <c r="A125" s="148"/>
      <c r="B125" s="148"/>
      <c r="C125" s="166"/>
      <c r="D125" s="156"/>
      <c r="E125" s="156"/>
      <c r="F125" s="50">
        <v>43647</v>
      </c>
      <c r="G125" s="50">
        <v>43830</v>
      </c>
      <c r="H125" s="168"/>
      <c r="I125" s="15" t="s">
        <v>23</v>
      </c>
      <c r="J125" s="15" t="s">
        <v>23</v>
      </c>
      <c r="K125" s="13">
        <v>18.987310372881353</v>
      </c>
      <c r="L125" s="13">
        <v>1757.1282249614787</v>
      </c>
      <c r="M125" s="198"/>
    </row>
    <row r="126" spans="1:13" ht="15" customHeight="1" outlineLevel="1" x14ac:dyDescent="0.25">
      <c r="A126" s="148"/>
      <c r="B126" s="148"/>
      <c r="C126" s="166"/>
      <c r="D126" s="156"/>
      <c r="E126" s="156"/>
      <c r="F126" s="50">
        <v>43466</v>
      </c>
      <c r="G126" s="50">
        <v>43646</v>
      </c>
      <c r="H126" s="168"/>
      <c r="I126" s="15" t="s">
        <v>23</v>
      </c>
      <c r="J126" s="15" t="s">
        <v>23</v>
      </c>
      <c r="K126" s="13">
        <v>18.615010169491523</v>
      </c>
      <c r="L126" s="13">
        <v>1863.8775771047513</v>
      </c>
      <c r="M126" s="196" t="s">
        <v>425</v>
      </c>
    </row>
    <row r="127" spans="1:13" ht="15" customHeight="1" outlineLevel="1" x14ac:dyDescent="0.25">
      <c r="A127" s="148"/>
      <c r="B127" s="148"/>
      <c r="C127" s="166"/>
      <c r="D127" s="156"/>
      <c r="E127" s="156"/>
      <c r="F127" s="50">
        <v>43647</v>
      </c>
      <c r="G127" s="50">
        <v>43830</v>
      </c>
      <c r="H127" s="168"/>
      <c r="I127" s="15" t="s">
        <v>23</v>
      </c>
      <c r="J127" s="15" t="s">
        <v>23</v>
      </c>
      <c r="K127" s="13">
        <v>18.987310372881353</v>
      </c>
      <c r="L127" s="13">
        <v>1901.1551286468464</v>
      </c>
      <c r="M127" s="198"/>
    </row>
    <row r="128" spans="1:13" ht="15" customHeight="1" outlineLevel="1" x14ac:dyDescent="0.25">
      <c r="A128" s="148"/>
      <c r="B128" s="148"/>
      <c r="C128" s="166"/>
      <c r="D128" s="156"/>
      <c r="E128" s="156"/>
      <c r="F128" s="50">
        <v>43466</v>
      </c>
      <c r="G128" s="50">
        <v>43646</v>
      </c>
      <c r="H128" s="168"/>
      <c r="I128" s="15" t="s">
        <v>23</v>
      </c>
      <c r="J128" s="15" t="s">
        <v>23</v>
      </c>
      <c r="K128" s="13">
        <v>18.615010169491523</v>
      </c>
      <c r="L128" s="13">
        <v>1579.1185028248588</v>
      </c>
      <c r="M128" s="196" t="s">
        <v>426</v>
      </c>
    </row>
    <row r="129" spans="1:13" ht="15" customHeight="1" outlineLevel="1" x14ac:dyDescent="0.25">
      <c r="A129" s="148"/>
      <c r="B129" s="148"/>
      <c r="C129" s="166"/>
      <c r="D129" s="156"/>
      <c r="E129" s="156"/>
      <c r="F129" s="50">
        <v>43647</v>
      </c>
      <c r="G129" s="50">
        <v>43830</v>
      </c>
      <c r="H129" s="168"/>
      <c r="I129" s="15" t="s">
        <v>23</v>
      </c>
      <c r="J129" s="15" t="s">
        <v>23</v>
      </c>
      <c r="K129" s="13">
        <v>18.987310372881353</v>
      </c>
      <c r="L129" s="13">
        <v>1610.700872881356</v>
      </c>
      <c r="M129" s="198"/>
    </row>
    <row r="130" spans="1:13" ht="15" customHeight="1" outlineLevel="1" x14ac:dyDescent="0.25">
      <c r="A130" s="148"/>
      <c r="B130" s="148"/>
      <c r="C130" s="166"/>
      <c r="D130" s="156"/>
      <c r="E130" s="156"/>
      <c r="F130" s="50">
        <v>43466</v>
      </c>
      <c r="G130" s="50">
        <v>43646</v>
      </c>
      <c r="H130" s="168"/>
      <c r="I130" s="15" t="s">
        <v>23</v>
      </c>
      <c r="J130" s="15" t="s">
        <v>23</v>
      </c>
      <c r="K130" s="13">
        <v>18.615010169491523</v>
      </c>
      <c r="L130" s="13">
        <v>1722.6747303543909</v>
      </c>
      <c r="M130" s="196" t="s">
        <v>427</v>
      </c>
    </row>
    <row r="131" spans="1:13" ht="15" customHeight="1" outlineLevel="1" x14ac:dyDescent="0.25">
      <c r="A131" s="147"/>
      <c r="B131" s="147"/>
      <c r="C131" s="167"/>
      <c r="D131" s="156"/>
      <c r="E131" s="156"/>
      <c r="F131" s="50">
        <v>43647</v>
      </c>
      <c r="G131" s="50">
        <v>43830</v>
      </c>
      <c r="H131" s="168"/>
      <c r="I131" s="15" t="s">
        <v>23</v>
      </c>
      <c r="J131" s="15" t="s">
        <v>23</v>
      </c>
      <c r="K131" s="13">
        <v>18.987310372881353</v>
      </c>
      <c r="L131" s="13">
        <v>1757.1282249614787</v>
      </c>
      <c r="M131" s="198"/>
    </row>
    <row r="132" spans="1:13" ht="15" customHeight="1" outlineLevel="1" x14ac:dyDescent="0.25">
      <c r="A132" s="146" t="s">
        <v>170</v>
      </c>
      <c r="B132" s="146" t="s">
        <v>141</v>
      </c>
      <c r="C132" s="165" t="s">
        <v>290</v>
      </c>
      <c r="D132" s="156">
        <v>42723</v>
      </c>
      <c r="E132" s="156" t="s">
        <v>695</v>
      </c>
      <c r="F132" s="12">
        <v>43466</v>
      </c>
      <c r="G132" s="12">
        <v>43646</v>
      </c>
      <c r="H132" s="168" t="s">
        <v>797</v>
      </c>
      <c r="I132" s="66">
        <v>40.51</v>
      </c>
      <c r="J132" s="13">
        <v>2019.3</v>
      </c>
      <c r="K132" s="15" t="s">
        <v>23</v>
      </c>
      <c r="L132" s="15" t="s">
        <v>23</v>
      </c>
      <c r="M132" s="183"/>
    </row>
    <row r="133" spans="1:13" ht="15" customHeight="1" outlineLevel="1" x14ac:dyDescent="0.25">
      <c r="A133" s="148"/>
      <c r="B133" s="148"/>
      <c r="C133" s="166"/>
      <c r="D133" s="156"/>
      <c r="E133" s="156"/>
      <c r="F133" s="12">
        <v>43647</v>
      </c>
      <c r="G133" s="12">
        <v>43830</v>
      </c>
      <c r="H133" s="168"/>
      <c r="I133" s="66">
        <v>41.7</v>
      </c>
      <c r="J133" s="13">
        <v>2069.86</v>
      </c>
      <c r="K133" s="15" t="s">
        <v>23</v>
      </c>
      <c r="L133" s="15" t="s">
        <v>23</v>
      </c>
      <c r="M133" s="183"/>
    </row>
    <row r="134" spans="1:13" ht="15" customHeight="1" outlineLevel="1" x14ac:dyDescent="0.25">
      <c r="A134" s="148"/>
      <c r="B134" s="148"/>
      <c r="C134" s="166"/>
      <c r="D134" s="156">
        <v>43454</v>
      </c>
      <c r="E134" s="156" t="s">
        <v>796</v>
      </c>
      <c r="F134" s="50">
        <v>43466</v>
      </c>
      <c r="G134" s="50">
        <v>43646</v>
      </c>
      <c r="H134" s="168"/>
      <c r="I134" s="15" t="s">
        <v>23</v>
      </c>
      <c r="J134" s="15" t="s">
        <v>23</v>
      </c>
      <c r="K134" s="13">
        <v>22.871186440677899</v>
      </c>
      <c r="L134" s="13">
        <v>930.4347826086929</v>
      </c>
      <c r="M134" s="196" t="s">
        <v>420</v>
      </c>
    </row>
    <row r="135" spans="1:13" ht="15" customHeight="1" outlineLevel="1" x14ac:dyDescent="0.25">
      <c r="A135" s="148"/>
      <c r="B135" s="148"/>
      <c r="C135" s="166"/>
      <c r="D135" s="156"/>
      <c r="E135" s="156"/>
      <c r="F135" s="50">
        <v>43647</v>
      </c>
      <c r="G135" s="50">
        <v>43830</v>
      </c>
      <c r="H135" s="168"/>
      <c r="I135" s="15" t="s">
        <v>23</v>
      </c>
      <c r="J135" s="15" t="s">
        <v>23</v>
      </c>
      <c r="K135" s="13">
        <v>23.328610169491458</v>
      </c>
      <c r="L135" s="13">
        <v>949.04347826086689</v>
      </c>
      <c r="M135" s="198"/>
    </row>
    <row r="136" spans="1:13" ht="15" customHeight="1" outlineLevel="1" x14ac:dyDescent="0.25">
      <c r="A136" s="148"/>
      <c r="B136" s="148"/>
      <c r="C136" s="166"/>
      <c r="D136" s="156"/>
      <c r="E136" s="156"/>
      <c r="F136" s="50">
        <v>43466</v>
      </c>
      <c r="G136" s="50">
        <v>43646</v>
      </c>
      <c r="H136" s="168"/>
      <c r="I136" s="15" t="s">
        <v>23</v>
      </c>
      <c r="J136" s="15" t="s">
        <v>23</v>
      </c>
      <c r="K136" s="13">
        <v>22.871186440677899</v>
      </c>
      <c r="L136" s="13">
        <v>1019.0476190476162</v>
      </c>
      <c r="M136" s="196" t="s">
        <v>421</v>
      </c>
    </row>
    <row r="137" spans="1:13" ht="15" customHeight="1" outlineLevel="1" x14ac:dyDescent="0.25">
      <c r="A137" s="148"/>
      <c r="B137" s="148"/>
      <c r="C137" s="166"/>
      <c r="D137" s="156"/>
      <c r="E137" s="156"/>
      <c r="F137" s="50">
        <v>43647</v>
      </c>
      <c r="G137" s="50">
        <v>43830</v>
      </c>
      <c r="H137" s="168"/>
      <c r="I137" s="15" t="s">
        <v>23</v>
      </c>
      <c r="J137" s="15" t="s">
        <v>23</v>
      </c>
      <c r="K137" s="13">
        <v>23.328610169491458</v>
      </c>
      <c r="L137" s="13">
        <v>1039.4285714285686</v>
      </c>
      <c r="M137" s="198"/>
    </row>
    <row r="138" spans="1:13" ht="15" customHeight="1" outlineLevel="1" x14ac:dyDescent="0.25">
      <c r="A138" s="148"/>
      <c r="B138" s="148"/>
      <c r="C138" s="166"/>
      <c r="D138" s="156"/>
      <c r="E138" s="156"/>
      <c r="F138" s="50">
        <v>43466</v>
      </c>
      <c r="G138" s="50">
        <v>43646</v>
      </c>
      <c r="H138" s="168"/>
      <c r="I138" s="15" t="s">
        <v>23</v>
      </c>
      <c r="J138" s="15" t="s">
        <v>23</v>
      </c>
      <c r="K138" s="13">
        <v>22.871186440677899</v>
      </c>
      <c r="L138" s="13">
        <v>867.56756756756511</v>
      </c>
      <c r="M138" s="196" t="s">
        <v>422</v>
      </c>
    </row>
    <row r="139" spans="1:13" ht="15" customHeight="1" outlineLevel="1" x14ac:dyDescent="0.25">
      <c r="A139" s="148"/>
      <c r="B139" s="148"/>
      <c r="C139" s="166"/>
      <c r="D139" s="156"/>
      <c r="E139" s="156"/>
      <c r="F139" s="50">
        <v>43647</v>
      </c>
      <c r="G139" s="50">
        <v>43830</v>
      </c>
      <c r="H139" s="168"/>
      <c r="I139" s="15" t="s">
        <v>23</v>
      </c>
      <c r="J139" s="15" t="s">
        <v>23</v>
      </c>
      <c r="K139" s="13">
        <v>23.328610169491458</v>
      </c>
      <c r="L139" s="13">
        <v>884.91891891891657</v>
      </c>
      <c r="M139" s="198"/>
    </row>
    <row r="140" spans="1:13" ht="15" customHeight="1" outlineLevel="1" x14ac:dyDescent="0.25">
      <c r="A140" s="148"/>
      <c r="B140" s="148"/>
      <c r="C140" s="166"/>
      <c r="D140" s="156"/>
      <c r="E140" s="156"/>
      <c r="F140" s="50">
        <v>43466</v>
      </c>
      <c r="G140" s="50">
        <v>43646</v>
      </c>
      <c r="H140" s="168"/>
      <c r="I140" s="15" t="s">
        <v>23</v>
      </c>
      <c r="J140" s="15" t="s">
        <v>23</v>
      </c>
      <c r="K140" s="13">
        <v>22.871186440677899</v>
      </c>
      <c r="L140" s="13">
        <v>930.4347826086929</v>
      </c>
      <c r="M140" s="196" t="s">
        <v>423</v>
      </c>
    </row>
    <row r="141" spans="1:13" ht="15" customHeight="1" outlineLevel="1" x14ac:dyDescent="0.25">
      <c r="A141" s="148"/>
      <c r="B141" s="148"/>
      <c r="C141" s="166"/>
      <c r="D141" s="156"/>
      <c r="E141" s="156"/>
      <c r="F141" s="50">
        <v>43647</v>
      </c>
      <c r="G141" s="50">
        <v>43830</v>
      </c>
      <c r="H141" s="168"/>
      <c r="I141" s="15" t="s">
        <v>23</v>
      </c>
      <c r="J141" s="15" t="s">
        <v>23</v>
      </c>
      <c r="K141" s="13">
        <v>23.328610169491458</v>
      </c>
      <c r="L141" s="13">
        <v>949.04347826086689</v>
      </c>
      <c r="M141" s="198"/>
    </row>
    <row r="142" spans="1:13" ht="15" customHeight="1" outlineLevel="1" x14ac:dyDescent="0.25">
      <c r="A142" s="148"/>
      <c r="B142" s="148"/>
      <c r="C142" s="166"/>
      <c r="D142" s="156"/>
      <c r="E142" s="156"/>
      <c r="F142" s="50">
        <v>43466</v>
      </c>
      <c r="G142" s="50">
        <v>43646</v>
      </c>
      <c r="H142" s="168"/>
      <c r="I142" s="15" t="s">
        <v>23</v>
      </c>
      <c r="J142" s="15" t="s">
        <v>23</v>
      </c>
      <c r="K142" s="13">
        <v>22.871186440677899</v>
      </c>
      <c r="L142" s="13">
        <v>972.72727272726991</v>
      </c>
      <c r="M142" s="196" t="s">
        <v>424</v>
      </c>
    </row>
    <row r="143" spans="1:13" ht="15" customHeight="1" outlineLevel="1" x14ac:dyDescent="0.25">
      <c r="A143" s="148"/>
      <c r="B143" s="148"/>
      <c r="C143" s="166"/>
      <c r="D143" s="156"/>
      <c r="E143" s="156"/>
      <c r="F143" s="50">
        <v>43647</v>
      </c>
      <c r="G143" s="50">
        <v>43830</v>
      </c>
      <c r="H143" s="168"/>
      <c r="I143" s="15" t="s">
        <v>23</v>
      </c>
      <c r="J143" s="15" t="s">
        <v>23</v>
      </c>
      <c r="K143" s="13">
        <v>23.328610169491458</v>
      </c>
      <c r="L143" s="13">
        <v>992.18181818181552</v>
      </c>
      <c r="M143" s="198"/>
    </row>
    <row r="144" spans="1:13" ht="15" customHeight="1" outlineLevel="1" x14ac:dyDescent="0.25">
      <c r="A144" s="148"/>
      <c r="B144" s="148"/>
      <c r="C144" s="166"/>
      <c r="D144" s="156"/>
      <c r="E144" s="156"/>
      <c r="F144" s="50">
        <v>43466</v>
      </c>
      <c r="G144" s="50">
        <v>43646</v>
      </c>
      <c r="H144" s="168"/>
      <c r="I144" s="15" t="s">
        <v>23</v>
      </c>
      <c r="J144" s="15" t="s">
        <v>23</v>
      </c>
      <c r="K144" s="13">
        <v>22.871186440677899</v>
      </c>
      <c r="L144" s="13">
        <v>1052.4590163934397</v>
      </c>
      <c r="M144" s="196" t="s">
        <v>425</v>
      </c>
    </row>
    <row r="145" spans="1:20" ht="15" customHeight="1" outlineLevel="1" x14ac:dyDescent="0.25">
      <c r="A145" s="148"/>
      <c r="B145" s="148"/>
      <c r="C145" s="166"/>
      <c r="D145" s="156"/>
      <c r="E145" s="156"/>
      <c r="F145" s="50">
        <v>43647</v>
      </c>
      <c r="G145" s="50">
        <v>43830</v>
      </c>
      <c r="H145" s="168"/>
      <c r="I145" s="15" t="s">
        <v>23</v>
      </c>
      <c r="J145" s="15" t="s">
        <v>23</v>
      </c>
      <c r="K145" s="13">
        <v>23.328610169491458</v>
      </c>
      <c r="L145" s="13">
        <v>1073.5081967213087</v>
      </c>
      <c r="M145" s="198"/>
    </row>
    <row r="146" spans="1:20" ht="15" customHeight="1" outlineLevel="1" x14ac:dyDescent="0.25">
      <c r="A146" s="148"/>
      <c r="B146" s="148"/>
      <c r="C146" s="166"/>
      <c r="D146" s="156"/>
      <c r="E146" s="156"/>
      <c r="F146" s="50">
        <v>43466</v>
      </c>
      <c r="G146" s="50">
        <v>43646</v>
      </c>
      <c r="H146" s="168"/>
      <c r="I146" s="15" t="s">
        <v>23</v>
      </c>
      <c r="J146" s="15" t="s">
        <v>23</v>
      </c>
      <c r="K146" s="13">
        <v>22.871186440677899</v>
      </c>
      <c r="L146" s="13">
        <v>891.66666666666424</v>
      </c>
      <c r="M146" s="196" t="s">
        <v>426</v>
      </c>
    </row>
    <row r="147" spans="1:20" ht="15" customHeight="1" outlineLevel="1" x14ac:dyDescent="0.25">
      <c r="A147" s="148"/>
      <c r="B147" s="148"/>
      <c r="C147" s="166"/>
      <c r="D147" s="156"/>
      <c r="E147" s="156"/>
      <c r="F147" s="50">
        <v>43647</v>
      </c>
      <c r="G147" s="50">
        <v>43830</v>
      </c>
      <c r="H147" s="168"/>
      <c r="I147" s="15" t="s">
        <v>23</v>
      </c>
      <c r="J147" s="15" t="s">
        <v>23</v>
      </c>
      <c r="K147" s="13">
        <v>23.328610169491458</v>
      </c>
      <c r="L147" s="13">
        <v>909.49999999999761</v>
      </c>
      <c r="M147" s="198"/>
    </row>
    <row r="148" spans="1:20" ht="15" customHeight="1" outlineLevel="1" x14ac:dyDescent="0.25">
      <c r="A148" s="148"/>
      <c r="B148" s="148"/>
      <c r="C148" s="166"/>
      <c r="D148" s="156"/>
      <c r="E148" s="156"/>
      <c r="F148" s="50">
        <v>43466</v>
      </c>
      <c r="G148" s="50">
        <v>43646</v>
      </c>
      <c r="H148" s="168"/>
      <c r="I148" s="15" t="s">
        <v>23</v>
      </c>
      <c r="J148" s="15" t="s">
        <v>23</v>
      </c>
      <c r="K148" s="13">
        <v>22.871186440677899</v>
      </c>
      <c r="L148" s="13">
        <v>972.72727272726991</v>
      </c>
      <c r="M148" s="196" t="s">
        <v>427</v>
      </c>
    </row>
    <row r="149" spans="1:20" ht="15" customHeight="1" outlineLevel="1" x14ac:dyDescent="0.25">
      <c r="A149" s="147"/>
      <c r="B149" s="147"/>
      <c r="C149" s="167"/>
      <c r="D149" s="156"/>
      <c r="E149" s="156"/>
      <c r="F149" s="50">
        <v>43647</v>
      </c>
      <c r="G149" s="50">
        <v>43830</v>
      </c>
      <c r="H149" s="168"/>
      <c r="I149" s="15" t="s">
        <v>23</v>
      </c>
      <c r="J149" s="15" t="s">
        <v>23</v>
      </c>
      <c r="K149" s="13">
        <v>23.328610169491458</v>
      </c>
      <c r="L149" s="13">
        <v>992.18181818181552</v>
      </c>
      <c r="M149" s="198"/>
    </row>
    <row r="150" spans="1:20" s="10" customFormat="1" ht="28.5" customHeight="1" x14ac:dyDescent="0.25">
      <c r="A150" s="59">
        <v>2</v>
      </c>
      <c r="B150" s="7" t="s">
        <v>146</v>
      </c>
      <c r="C150" s="60"/>
      <c r="D150" s="61"/>
      <c r="E150" s="61"/>
      <c r="F150" s="61"/>
      <c r="G150" s="61"/>
      <c r="H150" s="61"/>
      <c r="I150" s="61"/>
      <c r="J150" s="61"/>
      <c r="K150" s="62"/>
      <c r="L150" s="62"/>
      <c r="M150" s="63"/>
      <c r="N150" s="11"/>
      <c r="O150" s="11"/>
      <c r="Q150" s="64"/>
      <c r="R150" s="64"/>
      <c r="S150" s="65"/>
      <c r="T150" s="11"/>
    </row>
    <row r="151" spans="1:20" ht="15" customHeight="1" outlineLevel="1" x14ac:dyDescent="0.25">
      <c r="A151" s="146" t="s">
        <v>48</v>
      </c>
      <c r="B151" s="146" t="s">
        <v>190</v>
      </c>
      <c r="C151" s="146" t="s">
        <v>562</v>
      </c>
      <c r="D151" s="137">
        <v>43454</v>
      </c>
      <c r="E151" s="137" t="s">
        <v>633</v>
      </c>
      <c r="F151" s="12">
        <v>43466</v>
      </c>
      <c r="G151" s="12">
        <v>43646</v>
      </c>
      <c r="H151" s="168"/>
      <c r="I151" s="66">
        <v>36.090000000000003</v>
      </c>
      <c r="J151" s="13">
        <v>1197.04</v>
      </c>
      <c r="K151" s="15" t="s">
        <v>23</v>
      </c>
      <c r="L151" s="15" t="s">
        <v>23</v>
      </c>
      <c r="M151" s="183"/>
    </row>
    <row r="152" spans="1:20" ht="15" customHeight="1" outlineLevel="1" x14ac:dyDescent="0.25">
      <c r="A152" s="148"/>
      <c r="B152" s="148"/>
      <c r="C152" s="148"/>
      <c r="D152" s="141"/>
      <c r="E152" s="141"/>
      <c r="F152" s="12">
        <v>43647</v>
      </c>
      <c r="G152" s="12">
        <v>43830</v>
      </c>
      <c r="H152" s="168"/>
      <c r="I152" s="66">
        <v>36.96</v>
      </c>
      <c r="J152" s="13">
        <v>1243.5</v>
      </c>
      <c r="K152" s="15" t="s">
        <v>23</v>
      </c>
      <c r="L152" s="15" t="s">
        <v>23</v>
      </c>
      <c r="M152" s="183"/>
    </row>
    <row r="153" spans="1:20" ht="15" customHeight="1" outlineLevel="1" x14ac:dyDescent="0.25">
      <c r="A153" s="148"/>
      <c r="B153" s="148"/>
      <c r="C153" s="148"/>
      <c r="D153" s="156">
        <v>43454</v>
      </c>
      <c r="E153" s="156" t="s">
        <v>606</v>
      </c>
      <c r="F153" s="50">
        <v>43466</v>
      </c>
      <c r="G153" s="50">
        <v>43646</v>
      </c>
      <c r="H153" s="168"/>
      <c r="I153" s="15" t="s">
        <v>23</v>
      </c>
      <c r="J153" s="15" t="s">
        <v>23</v>
      </c>
      <c r="K153" s="13">
        <v>33.19</v>
      </c>
      <c r="L153" s="13">
        <v>1123.3599999999999</v>
      </c>
      <c r="M153" s="196" t="s">
        <v>420</v>
      </c>
    </row>
    <row r="154" spans="1:20" ht="15" customHeight="1" outlineLevel="1" x14ac:dyDescent="0.25">
      <c r="A154" s="148"/>
      <c r="B154" s="148"/>
      <c r="C154" s="148"/>
      <c r="D154" s="156"/>
      <c r="E154" s="156"/>
      <c r="F154" s="50">
        <v>43647</v>
      </c>
      <c r="G154" s="50">
        <v>43830</v>
      </c>
      <c r="H154" s="168"/>
      <c r="I154" s="15" t="s">
        <v>23</v>
      </c>
      <c r="J154" s="15" t="s">
        <v>23</v>
      </c>
      <c r="K154" s="13">
        <v>38.17</v>
      </c>
      <c r="L154" s="13">
        <v>1291.8699999999999</v>
      </c>
      <c r="M154" s="198"/>
    </row>
    <row r="155" spans="1:20" ht="15" customHeight="1" outlineLevel="1" x14ac:dyDescent="0.25">
      <c r="A155" s="148"/>
      <c r="B155" s="148"/>
      <c r="C155" s="148"/>
      <c r="D155" s="156"/>
      <c r="E155" s="156"/>
      <c r="F155" s="50">
        <v>43466</v>
      </c>
      <c r="G155" s="50">
        <v>43646</v>
      </c>
      <c r="H155" s="168"/>
      <c r="I155" s="15" t="s">
        <v>23</v>
      </c>
      <c r="J155" s="15" t="s">
        <v>23</v>
      </c>
      <c r="K155" s="13">
        <v>33.19</v>
      </c>
      <c r="L155" s="13">
        <v>1230.3499999999999</v>
      </c>
      <c r="M155" s="196" t="s">
        <v>421</v>
      </c>
    </row>
    <row r="156" spans="1:20" ht="15" customHeight="1" outlineLevel="1" x14ac:dyDescent="0.25">
      <c r="A156" s="148"/>
      <c r="B156" s="148"/>
      <c r="C156" s="148"/>
      <c r="D156" s="156"/>
      <c r="E156" s="156"/>
      <c r="F156" s="50">
        <v>43647</v>
      </c>
      <c r="G156" s="50">
        <v>43830</v>
      </c>
      <c r="H156" s="168"/>
      <c r="I156" s="15" t="s">
        <v>23</v>
      </c>
      <c r="J156" s="15" t="s">
        <v>23</v>
      </c>
      <c r="K156" s="13">
        <v>38.17</v>
      </c>
      <c r="L156" s="13">
        <v>1414.9</v>
      </c>
      <c r="M156" s="198"/>
    </row>
    <row r="157" spans="1:20" ht="15" customHeight="1" outlineLevel="1" x14ac:dyDescent="0.25">
      <c r="A157" s="148"/>
      <c r="B157" s="148"/>
      <c r="C157" s="148"/>
      <c r="D157" s="156"/>
      <c r="E157" s="156"/>
      <c r="F157" s="50">
        <v>43466</v>
      </c>
      <c r="G157" s="50">
        <v>43646</v>
      </c>
      <c r="H157" s="168"/>
      <c r="I157" s="15" t="s">
        <v>23</v>
      </c>
      <c r="J157" s="15" t="s">
        <v>23</v>
      </c>
      <c r="K157" s="13">
        <v>33.19</v>
      </c>
      <c r="L157" s="13">
        <v>1047.46</v>
      </c>
      <c r="M157" s="196" t="s">
        <v>422</v>
      </c>
    </row>
    <row r="158" spans="1:20" ht="15" customHeight="1" outlineLevel="1" x14ac:dyDescent="0.25">
      <c r="A158" s="148"/>
      <c r="B158" s="148"/>
      <c r="C158" s="148"/>
      <c r="D158" s="156"/>
      <c r="E158" s="156"/>
      <c r="F158" s="50">
        <v>43647</v>
      </c>
      <c r="G158" s="50">
        <v>43830</v>
      </c>
      <c r="H158" s="168"/>
      <c r="I158" s="15" t="s">
        <v>23</v>
      </c>
      <c r="J158" s="15" t="s">
        <v>23</v>
      </c>
      <c r="K158" s="13">
        <v>38.17</v>
      </c>
      <c r="L158" s="13">
        <v>1204.58</v>
      </c>
      <c r="M158" s="198"/>
    </row>
    <row r="159" spans="1:20" ht="15" customHeight="1" outlineLevel="1" x14ac:dyDescent="0.25">
      <c r="A159" s="148"/>
      <c r="B159" s="148"/>
      <c r="C159" s="148"/>
      <c r="D159" s="156"/>
      <c r="E159" s="156"/>
      <c r="F159" s="50">
        <v>43466</v>
      </c>
      <c r="G159" s="50">
        <v>43646</v>
      </c>
      <c r="H159" s="168"/>
      <c r="I159" s="15" t="s">
        <v>23</v>
      </c>
      <c r="J159" s="15" t="s">
        <v>23</v>
      </c>
      <c r="K159" s="13">
        <v>33.19</v>
      </c>
      <c r="L159" s="13">
        <v>1123.3599999999999</v>
      </c>
      <c r="M159" s="196" t="s">
        <v>423</v>
      </c>
    </row>
    <row r="160" spans="1:20" ht="15" customHeight="1" outlineLevel="1" x14ac:dyDescent="0.25">
      <c r="A160" s="148"/>
      <c r="B160" s="148"/>
      <c r="C160" s="148"/>
      <c r="D160" s="156"/>
      <c r="E160" s="156"/>
      <c r="F160" s="50">
        <v>43647</v>
      </c>
      <c r="G160" s="50">
        <v>43830</v>
      </c>
      <c r="H160" s="168"/>
      <c r="I160" s="15" t="s">
        <v>23</v>
      </c>
      <c r="J160" s="15" t="s">
        <v>23</v>
      </c>
      <c r="K160" s="13">
        <v>38.17</v>
      </c>
      <c r="L160" s="13">
        <v>1291.8699999999999</v>
      </c>
      <c r="M160" s="198"/>
    </row>
    <row r="161" spans="1:13" ht="15" customHeight="1" outlineLevel="1" x14ac:dyDescent="0.25">
      <c r="A161" s="148"/>
      <c r="B161" s="148"/>
      <c r="C161" s="148"/>
      <c r="D161" s="156"/>
      <c r="E161" s="156"/>
      <c r="F161" s="50">
        <v>43466</v>
      </c>
      <c r="G161" s="50">
        <v>43646</v>
      </c>
      <c r="H161" s="168"/>
      <c r="I161" s="15" t="s">
        <v>23</v>
      </c>
      <c r="J161" s="15" t="s">
        <v>23</v>
      </c>
      <c r="K161" s="13">
        <v>33.19</v>
      </c>
      <c r="L161" s="13">
        <v>1174.42</v>
      </c>
      <c r="M161" s="196" t="s">
        <v>424</v>
      </c>
    </row>
    <row r="162" spans="1:13" ht="15" customHeight="1" outlineLevel="1" x14ac:dyDescent="0.25">
      <c r="A162" s="148"/>
      <c r="B162" s="148"/>
      <c r="C162" s="148"/>
      <c r="D162" s="156"/>
      <c r="E162" s="156"/>
      <c r="F162" s="50">
        <v>43647</v>
      </c>
      <c r="G162" s="50">
        <v>43830</v>
      </c>
      <c r="H162" s="168"/>
      <c r="I162" s="15" t="s">
        <v>23</v>
      </c>
      <c r="J162" s="15" t="s">
        <v>23</v>
      </c>
      <c r="K162" s="13">
        <v>38.17</v>
      </c>
      <c r="L162" s="13">
        <v>1350.59</v>
      </c>
      <c r="M162" s="198"/>
    </row>
    <row r="163" spans="1:13" ht="15" customHeight="1" outlineLevel="1" x14ac:dyDescent="0.25">
      <c r="A163" s="148"/>
      <c r="B163" s="148"/>
      <c r="C163" s="148"/>
      <c r="D163" s="156"/>
      <c r="E163" s="156"/>
      <c r="F163" s="50">
        <v>43466</v>
      </c>
      <c r="G163" s="50">
        <v>43646</v>
      </c>
      <c r="H163" s="168"/>
      <c r="I163" s="15" t="s">
        <v>23</v>
      </c>
      <c r="J163" s="15" t="s">
        <v>23</v>
      </c>
      <c r="K163" s="13">
        <v>33.19</v>
      </c>
      <c r="L163" s="13">
        <v>1270.69</v>
      </c>
      <c r="M163" s="196" t="s">
        <v>425</v>
      </c>
    </row>
    <row r="164" spans="1:13" ht="15" customHeight="1" outlineLevel="1" x14ac:dyDescent="0.25">
      <c r="A164" s="148"/>
      <c r="B164" s="148"/>
      <c r="C164" s="148"/>
      <c r="D164" s="156"/>
      <c r="E164" s="156"/>
      <c r="F164" s="50">
        <v>43647</v>
      </c>
      <c r="G164" s="50">
        <v>43830</v>
      </c>
      <c r="H164" s="168"/>
      <c r="I164" s="15" t="s">
        <v>23</v>
      </c>
      <c r="J164" s="15" t="s">
        <v>23</v>
      </c>
      <c r="K164" s="13">
        <v>38.17</v>
      </c>
      <c r="L164" s="13">
        <v>1461.29</v>
      </c>
      <c r="M164" s="198"/>
    </row>
    <row r="165" spans="1:13" ht="15" customHeight="1" outlineLevel="1" x14ac:dyDescent="0.25">
      <c r="A165" s="148"/>
      <c r="B165" s="148"/>
      <c r="C165" s="148"/>
      <c r="D165" s="156"/>
      <c r="E165" s="156"/>
      <c r="F165" s="50">
        <v>43466</v>
      </c>
      <c r="G165" s="50">
        <v>43646</v>
      </c>
      <c r="H165" s="168"/>
      <c r="I165" s="15" t="s">
        <v>23</v>
      </c>
      <c r="J165" s="15" t="s">
        <v>23</v>
      </c>
      <c r="K165" s="13">
        <v>33.19</v>
      </c>
      <c r="L165" s="13">
        <v>1076.55</v>
      </c>
      <c r="M165" s="196" t="s">
        <v>426</v>
      </c>
    </row>
    <row r="166" spans="1:13" ht="15" customHeight="1" outlineLevel="1" x14ac:dyDescent="0.25">
      <c r="A166" s="148"/>
      <c r="B166" s="148"/>
      <c r="C166" s="148"/>
      <c r="D166" s="156"/>
      <c r="E166" s="156"/>
      <c r="F166" s="50">
        <v>43647</v>
      </c>
      <c r="G166" s="50">
        <v>43830</v>
      </c>
      <c r="H166" s="168"/>
      <c r="I166" s="15" t="s">
        <v>23</v>
      </c>
      <c r="J166" s="15" t="s">
        <v>23</v>
      </c>
      <c r="K166" s="13">
        <v>38.17</v>
      </c>
      <c r="L166" s="13">
        <v>1238.04</v>
      </c>
      <c r="M166" s="198"/>
    </row>
    <row r="167" spans="1:13" ht="15" customHeight="1" outlineLevel="1" x14ac:dyDescent="0.25">
      <c r="A167" s="148"/>
      <c r="B167" s="148"/>
      <c r="C167" s="148"/>
      <c r="D167" s="156"/>
      <c r="E167" s="156"/>
      <c r="F167" s="50">
        <v>43466</v>
      </c>
      <c r="G167" s="50">
        <v>43646</v>
      </c>
      <c r="H167" s="168"/>
      <c r="I167" s="15" t="s">
        <v>23</v>
      </c>
      <c r="J167" s="15" t="s">
        <v>23</v>
      </c>
      <c r="K167" s="13">
        <v>33.19</v>
      </c>
      <c r="L167" s="13">
        <v>1174.42</v>
      </c>
      <c r="M167" s="196" t="s">
        <v>427</v>
      </c>
    </row>
    <row r="168" spans="1:13" ht="15" customHeight="1" outlineLevel="1" x14ac:dyDescent="0.25">
      <c r="A168" s="147"/>
      <c r="B168" s="147"/>
      <c r="C168" s="147"/>
      <c r="D168" s="156"/>
      <c r="E168" s="156"/>
      <c r="F168" s="50">
        <v>43647</v>
      </c>
      <c r="G168" s="50">
        <v>43830</v>
      </c>
      <c r="H168" s="168"/>
      <c r="I168" s="15" t="s">
        <v>23</v>
      </c>
      <c r="J168" s="15" t="s">
        <v>23</v>
      </c>
      <c r="K168" s="13">
        <v>38.17</v>
      </c>
      <c r="L168" s="13">
        <v>1350.59</v>
      </c>
      <c r="M168" s="198"/>
    </row>
    <row r="169" spans="1:13" ht="15" customHeight="1" outlineLevel="1" x14ac:dyDescent="0.25">
      <c r="A169" s="146" t="s">
        <v>48</v>
      </c>
      <c r="B169" s="146" t="s">
        <v>191</v>
      </c>
      <c r="C169" s="146" t="s">
        <v>562</v>
      </c>
      <c r="D169" s="137">
        <v>43454</v>
      </c>
      <c r="E169" s="137" t="s">
        <v>633</v>
      </c>
      <c r="F169" s="12">
        <v>43466</v>
      </c>
      <c r="G169" s="12">
        <v>43646</v>
      </c>
      <c r="H169" s="168"/>
      <c r="I169" s="66">
        <v>36.090000000000003</v>
      </c>
      <c r="J169" s="13">
        <v>1197.04</v>
      </c>
      <c r="K169" s="15" t="s">
        <v>23</v>
      </c>
      <c r="L169" s="15" t="s">
        <v>23</v>
      </c>
      <c r="M169" s="183"/>
    </row>
    <row r="170" spans="1:13" ht="15" customHeight="1" outlineLevel="1" x14ac:dyDescent="0.25">
      <c r="A170" s="148"/>
      <c r="B170" s="148"/>
      <c r="C170" s="148"/>
      <c r="D170" s="141"/>
      <c r="E170" s="141"/>
      <c r="F170" s="12">
        <v>43647</v>
      </c>
      <c r="G170" s="12">
        <v>43830</v>
      </c>
      <c r="H170" s="168"/>
      <c r="I170" s="66">
        <v>36.96</v>
      </c>
      <c r="J170" s="13">
        <v>1243.5</v>
      </c>
      <c r="K170" s="15" t="s">
        <v>23</v>
      </c>
      <c r="L170" s="15" t="s">
        <v>23</v>
      </c>
      <c r="M170" s="183"/>
    </row>
    <row r="171" spans="1:13" ht="15" customHeight="1" outlineLevel="1" x14ac:dyDescent="0.25">
      <c r="A171" s="148"/>
      <c r="B171" s="148"/>
      <c r="C171" s="148"/>
      <c r="D171" s="156">
        <v>43454</v>
      </c>
      <c r="E171" s="156" t="s">
        <v>606</v>
      </c>
      <c r="F171" s="50">
        <v>43466</v>
      </c>
      <c r="G171" s="50">
        <v>43646</v>
      </c>
      <c r="H171" s="168"/>
      <c r="I171" s="15" t="s">
        <v>23</v>
      </c>
      <c r="J171" s="15" t="s">
        <v>23</v>
      </c>
      <c r="K171" s="13">
        <v>29.88</v>
      </c>
      <c r="L171" s="13">
        <v>1011.05</v>
      </c>
      <c r="M171" s="196" t="s">
        <v>420</v>
      </c>
    </row>
    <row r="172" spans="1:13" ht="15" customHeight="1" outlineLevel="1" x14ac:dyDescent="0.25">
      <c r="A172" s="148"/>
      <c r="B172" s="148"/>
      <c r="C172" s="148"/>
      <c r="D172" s="156"/>
      <c r="E172" s="156"/>
      <c r="F172" s="50">
        <v>43647</v>
      </c>
      <c r="G172" s="50">
        <v>43830</v>
      </c>
      <c r="H172" s="168"/>
      <c r="I172" s="15" t="s">
        <v>23</v>
      </c>
      <c r="J172" s="15" t="s">
        <v>23</v>
      </c>
      <c r="K172" s="13">
        <v>30.48</v>
      </c>
      <c r="L172" s="13">
        <v>1031.27</v>
      </c>
      <c r="M172" s="198"/>
    </row>
    <row r="173" spans="1:13" ht="15" customHeight="1" outlineLevel="1" x14ac:dyDescent="0.25">
      <c r="A173" s="148"/>
      <c r="B173" s="148"/>
      <c r="C173" s="148"/>
      <c r="D173" s="156"/>
      <c r="E173" s="156"/>
      <c r="F173" s="50">
        <v>43466</v>
      </c>
      <c r="G173" s="50">
        <v>43646</v>
      </c>
      <c r="H173" s="168"/>
      <c r="I173" s="15" t="s">
        <v>23</v>
      </c>
      <c r="J173" s="15" t="s">
        <v>23</v>
      </c>
      <c r="K173" s="13">
        <v>29.88</v>
      </c>
      <c r="L173" s="13">
        <v>1107.3499999999999</v>
      </c>
      <c r="M173" s="196" t="s">
        <v>421</v>
      </c>
    </row>
    <row r="174" spans="1:13" ht="15" customHeight="1" outlineLevel="1" x14ac:dyDescent="0.25">
      <c r="A174" s="148"/>
      <c r="B174" s="148"/>
      <c r="C174" s="148"/>
      <c r="D174" s="156"/>
      <c r="E174" s="156"/>
      <c r="F174" s="50">
        <v>43647</v>
      </c>
      <c r="G174" s="50">
        <v>43830</v>
      </c>
      <c r="H174" s="168"/>
      <c r="I174" s="15" t="s">
        <v>23</v>
      </c>
      <c r="J174" s="15" t="s">
        <v>23</v>
      </c>
      <c r="K174" s="13">
        <v>30.48</v>
      </c>
      <c r="L174" s="13">
        <v>1129.49</v>
      </c>
      <c r="M174" s="198"/>
    </row>
    <row r="175" spans="1:13" ht="15" customHeight="1" outlineLevel="1" x14ac:dyDescent="0.25">
      <c r="A175" s="148"/>
      <c r="B175" s="148"/>
      <c r="C175" s="148"/>
      <c r="D175" s="156"/>
      <c r="E175" s="156"/>
      <c r="F175" s="50">
        <v>43466</v>
      </c>
      <c r="G175" s="50">
        <v>43646</v>
      </c>
      <c r="H175" s="168"/>
      <c r="I175" s="15" t="s">
        <v>23</v>
      </c>
      <c r="J175" s="15" t="s">
        <v>23</v>
      </c>
      <c r="K175" s="13">
        <v>29.88</v>
      </c>
      <c r="L175" s="13">
        <v>942.74</v>
      </c>
      <c r="M175" s="196" t="s">
        <v>422</v>
      </c>
    </row>
    <row r="176" spans="1:13" ht="15" customHeight="1" outlineLevel="1" x14ac:dyDescent="0.25">
      <c r="A176" s="148"/>
      <c r="B176" s="148"/>
      <c r="C176" s="148"/>
      <c r="D176" s="156"/>
      <c r="E176" s="156"/>
      <c r="F176" s="50">
        <v>43647</v>
      </c>
      <c r="G176" s="50">
        <v>43830</v>
      </c>
      <c r="H176" s="168"/>
      <c r="I176" s="15" t="s">
        <v>23</v>
      </c>
      <c r="J176" s="15" t="s">
        <v>23</v>
      </c>
      <c r="K176" s="13">
        <v>30.48</v>
      </c>
      <c r="L176" s="13">
        <v>961.6</v>
      </c>
      <c r="M176" s="198"/>
    </row>
    <row r="177" spans="1:13" ht="15" customHeight="1" outlineLevel="1" x14ac:dyDescent="0.25">
      <c r="A177" s="148"/>
      <c r="B177" s="148"/>
      <c r="C177" s="148"/>
      <c r="D177" s="156"/>
      <c r="E177" s="156"/>
      <c r="F177" s="50">
        <v>43466</v>
      </c>
      <c r="G177" s="50">
        <v>43646</v>
      </c>
      <c r="H177" s="168"/>
      <c r="I177" s="15" t="s">
        <v>23</v>
      </c>
      <c r="J177" s="15" t="s">
        <v>23</v>
      </c>
      <c r="K177" s="13">
        <v>29.88</v>
      </c>
      <c r="L177" s="13">
        <v>1011.05</v>
      </c>
      <c r="M177" s="196" t="s">
        <v>423</v>
      </c>
    </row>
    <row r="178" spans="1:13" ht="15" customHeight="1" outlineLevel="1" x14ac:dyDescent="0.25">
      <c r="A178" s="148"/>
      <c r="B178" s="148"/>
      <c r="C178" s="148"/>
      <c r="D178" s="156"/>
      <c r="E178" s="156"/>
      <c r="F178" s="50">
        <v>43647</v>
      </c>
      <c r="G178" s="50">
        <v>43830</v>
      </c>
      <c r="H178" s="168"/>
      <c r="I178" s="15" t="s">
        <v>23</v>
      </c>
      <c r="J178" s="15" t="s">
        <v>23</v>
      </c>
      <c r="K178" s="13">
        <v>30.48</v>
      </c>
      <c r="L178" s="13">
        <v>1031.27</v>
      </c>
      <c r="M178" s="198"/>
    </row>
    <row r="179" spans="1:13" ht="15" customHeight="1" outlineLevel="1" x14ac:dyDescent="0.25">
      <c r="A179" s="148"/>
      <c r="B179" s="148"/>
      <c r="C179" s="148"/>
      <c r="D179" s="156"/>
      <c r="E179" s="156"/>
      <c r="F179" s="50">
        <v>43466</v>
      </c>
      <c r="G179" s="50">
        <v>43646</v>
      </c>
      <c r="H179" s="168"/>
      <c r="I179" s="15" t="s">
        <v>23</v>
      </c>
      <c r="J179" s="15" t="s">
        <v>23</v>
      </c>
      <c r="K179" s="13">
        <v>29.88</v>
      </c>
      <c r="L179" s="13">
        <v>1057.01</v>
      </c>
      <c r="M179" s="196" t="s">
        <v>424</v>
      </c>
    </row>
    <row r="180" spans="1:13" ht="15" customHeight="1" outlineLevel="1" x14ac:dyDescent="0.25">
      <c r="A180" s="148"/>
      <c r="B180" s="148"/>
      <c r="C180" s="148"/>
      <c r="D180" s="156"/>
      <c r="E180" s="156"/>
      <c r="F180" s="50">
        <v>43647</v>
      </c>
      <c r="G180" s="50">
        <v>43830</v>
      </c>
      <c r="H180" s="168"/>
      <c r="I180" s="15" t="s">
        <v>23</v>
      </c>
      <c r="J180" s="15" t="s">
        <v>23</v>
      </c>
      <c r="K180" s="13">
        <v>30.48</v>
      </c>
      <c r="L180" s="13">
        <v>1078.1500000000001</v>
      </c>
      <c r="M180" s="198"/>
    </row>
    <row r="181" spans="1:13" ht="15" customHeight="1" outlineLevel="1" x14ac:dyDescent="0.25">
      <c r="A181" s="148"/>
      <c r="B181" s="148"/>
      <c r="C181" s="148"/>
      <c r="D181" s="156"/>
      <c r="E181" s="156"/>
      <c r="F181" s="50">
        <v>43466</v>
      </c>
      <c r="G181" s="50">
        <v>43646</v>
      </c>
      <c r="H181" s="168"/>
      <c r="I181" s="15" t="s">
        <v>23</v>
      </c>
      <c r="J181" s="15" t="s">
        <v>23</v>
      </c>
      <c r="K181" s="13">
        <v>29.88</v>
      </c>
      <c r="L181" s="13">
        <v>1143.6500000000001</v>
      </c>
      <c r="M181" s="196" t="s">
        <v>425</v>
      </c>
    </row>
    <row r="182" spans="1:13" ht="15" customHeight="1" outlineLevel="1" x14ac:dyDescent="0.25">
      <c r="A182" s="148"/>
      <c r="B182" s="148"/>
      <c r="C182" s="148"/>
      <c r="D182" s="156"/>
      <c r="E182" s="156"/>
      <c r="F182" s="50">
        <v>43647</v>
      </c>
      <c r="G182" s="50">
        <v>43830</v>
      </c>
      <c r="H182" s="168"/>
      <c r="I182" s="15" t="s">
        <v>23</v>
      </c>
      <c r="J182" s="15" t="s">
        <v>23</v>
      </c>
      <c r="K182" s="13">
        <v>30.48</v>
      </c>
      <c r="L182" s="13">
        <v>1166.52</v>
      </c>
      <c r="M182" s="198"/>
    </row>
    <row r="183" spans="1:13" ht="15" customHeight="1" outlineLevel="1" x14ac:dyDescent="0.25">
      <c r="A183" s="148"/>
      <c r="B183" s="148"/>
      <c r="C183" s="148"/>
      <c r="D183" s="156"/>
      <c r="E183" s="156"/>
      <c r="F183" s="50">
        <v>43466</v>
      </c>
      <c r="G183" s="50">
        <v>43646</v>
      </c>
      <c r="H183" s="168"/>
      <c r="I183" s="15" t="s">
        <v>23</v>
      </c>
      <c r="J183" s="15" t="s">
        <v>23</v>
      </c>
      <c r="K183" s="13">
        <v>29.88</v>
      </c>
      <c r="L183" s="13">
        <v>968.93</v>
      </c>
      <c r="M183" s="196" t="s">
        <v>426</v>
      </c>
    </row>
    <row r="184" spans="1:13" ht="15" customHeight="1" outlineLevel="1" x14ac:dyDescent="0.25">
      <c r="A184" s="148"/>
      <c r="B184" s="148"/>
      <c r="C184" s="148"/>
      <c r="D184" s="156"/>
      <c r="E184" s="156"/>
      <c r="F184" s="50">
        <v>43647</v>
      </c>
      <c r="G184" s="50">
        <v>43830</v>
      </c>
      <c r="H184" s="168"/>
      <c r="I184" s="15" t="s">
        <v>23</v>
      </c>
      <c r="J184" s="15" t="s">
        <v>23</v>
      </c>
      <c r="K184" s="13">
        <v>30.48</v>
      </c>
      <c r="L184" s="13">
        <v>988.31</v>
      </c>
      <c r="M184" s="198"/>
    </row>
    <row r="185" spans="1:13" ht="15" customHeight="1" outlineLevel="1" x14ac:dyDescent="0.25">
      <c r="A185" s="148"/>
      <c r="B185" s="148"/>
      <c r="C185" s="148"/>
      <c r="D185" s="156"/>
      <c r="E185" s="156"/>
      <c r="F185" s="50">
        <v>43466</v>
      </c>
      <c r="G185" s="50">
        <v>43646</v>
      </c>
      <c r="H185" s="168"/>
      <c r="I185" s="15" t="s">
        <v>23</v>
      </c>
      <c r="J185" s="15" t="s">
        <v>23</v>
      </c>
      <c r="K185" s="13">
        <v>29.88</v>
      </c>
      <c r="L185" s="13">
        <v>1057.01</v>
      </c>
      <c r="M185" s="196" t="s">
        <v>427</v>
      </c>
    </row>
    <row r="186" spans="1:13" ht="15" customHeight="1" outlineLevel="1" x14ac:dyDescent="0.25">
      <c r="A186" s="147"/>
      <c r="B186" s="147"/>
      <c r="C186" s="147"/>
      <c r="D186" s="156"/>
      <c r="E186" s="156"/>
      <c r="F186" s="50">
        <v>43647</v>
      </c>
      <c r="G186" s="50">
        <v>43830</v>
      </c>
      <c r="H186" s="168"/>
      <c r="I186" s="15" t="s">
        <v>23</v>
      </c>
      <c r="J186" s="15" t="s">
        <v>23</v>
      </c>
      <c r="K186" s="13">
        <v>30.48</v>
      </c>
      <c r="L186" s="13">
        <v>1078.1500000000001</v>
      </c>
      <c r="M186" s="198"/>
    </row>
    <row r="187" spans="1:13" ht="15" customHeight="1" outlineLevel="1" x14ac:dyDescent="0.25">
      <c r="A187" s="146" t="s">
        <v>48</v>
      </c>
      <c r="B187" s="146" t="s">
        <v>236</v>
      </c>
      <c r="C187" s="146" t="s">
        <v>448</v>
      </c>
      <c r="D187" s="156">
        <v>43083</v>
      </c>
      <c r="E187" s="156" t="s">
        <v>608</v>
      </c>
      <c r="F187" s="12">
        <v>43466</v>
      </c>
      <c r="G187" s="12">
        <v>43646</v>
      </c>
      <c r="H187" s="168" t="s">
        <v>807</v>
      </c>
      <c r="I187" s="66">
        <v>28.36</v>
      </c>
      <c r="J187" s="13">
        <v>2872.24</v>
      </c>
      <c r="K187" s="15" t="s">
        <v>23</v>
      </c>
      <c r="L187" s="15" t="s">
        <v>23</v>
      </c>
      <c r="M187" s="183"/>
    </row>
    <row r="188" spans="1:13" ht="15" customHeight="1" outlineLevel="1" x14ac:dyDescent="0.25">
      <c r="A188" s="148"/>
      <c r="B188" s="148"/>
      <c r="C188" s="148"/>
      <c r="D188" s="156"/>
      <c r="E188" s="156"/>
      <c r="F188" s="12">
        <v>43647</v>
      </c>
      <c r="G188" s="12">
        <v>43830</v>
      </c>
      <c r="H188" s="168"/>
      <c r="I188" s="66">
        <v>31.31</v>
      </c>
      <c r="J188" s="13">
        <v>3270.55</v>
      </c>
      <c r="K188" s="15" t="s">
        <v>23</v>
      </c>
      <c r="L188" s="15" t="s">
        <v>23</v>
      </c>
      <c r="M188" s="183"/>
    </row>
    <row r="189" spans="1:13" ht="15" customHeight="1" outlineLevel="1" x14ac:dyDescent="0.25">
      <c r="A189" s="148"/>
      <c r="B189" s="148"/>
      <c r="C189" s="148"/>
      <c r="D189" s="156">
        <v>43454</v>
      </c>
      <c r="E189" s="156" t="s">
        <v>808</v>
      </c>
      <c r="F189" s="50">
        <v>43466</v>
      </c>
      <c r="G189" s="50">
        <v>43646</v>
      </c>
      <c r="H189" s="168"/>
      <c r="I189" s="15" t="s">
        <v>23</v>
      </c>
      <c r="J189" s="15" t="s">
        <v>23</v>
      </c>
      <c r="K189" s="13">
        <v>19.48</v>
      </c>
      <c r="L189" s="13">
        <v>1715.6177843281691</v>
      </c>
      <c r="M189" s="196" t="s">
        <v>420</v>
      </c>
    </row>
    <row r="190" spans="1:13" ht="15" customHeight="1" outlineLevel="1" x14ac:dyDescent="0.25">
      <c r="A190" s="148"/>
      <c r="B190" s="148"/>
      <c r="C190" s="148"/>
      <c r="D190" s="156"/>
      <c r="E190" s="156"/>
      <c r="F190" s="50">
        <v>43647</v>
      </c>
      <c r="G190" s="50">
        <v>43830</v>
      </c>
      <c r="H190" s="168"/>
      <c r="I190" s="15" t="s">
        <v>23</v>
      </c>
      <c r="J190" s="15" t="s">
        <v>23</v>
      </c>
      <c r="K190" s="13">
        <v>19.869600000000002</v>
      </c>
      <c r="L190" s="13">
        <v>1749.9301400147322</v>
      </c>
      <c r="M190" s="198"/>
    </row>
    <row r="191" spans="1:13" ht="15" customHeight="1" outlineLevel="1" x14ac:dyDescent="0.25">
      <c r="A191" s="148"/>
      <c r="B191" s="148"/>
      <c r="C191" s="148"/>
      <c r="D191" s="156"/>
      <c r="E191" s="156"/>
      <c r="F191" s="50">
        <v>43466</v>
      </c>
      <c r="G191" s="50">
        <v>43646</v>
      </c>
      <c r="H191" s="168"/>
      <c r="I191" s="15" t="s">
        <v>23</v>
      </c>
      <c r="J191" s="15" t="s">
        <v>23</v>
      </c>
      <c r="K191" s="13">
        <v>19.48</v>
      </c>
      <c r="L191" s="13">
        <v>1879.0099542641854</v>
      </c>
      <c r="M191" s="196" t="s">
        <v>421</v>
      </c>
    </row>
    <row r="192" spans="1:13" ht="15" customHeight="1" outlineLevel="1" x14ac:dyDescent="0.25">
      <c r="A192" s="148"/>
      <c r="B192" s="148"/>
      <c r="C192" s="148"/>
      <c r="D192" s="156"/>
      <c r="E192" s="156"/>
      <c r="F192" s="50">
        <v>43647</v>
      </c>
      <c r="G192" s="50">
        <v>43830</v>
      </c>
      <c r="H192" s="168"/>
      <c r="I192" s="15" t="s">
        <v>23</v>
      </c>
      <c r="J192" s="15" t="s">
        <v>23</v>
      </c>
      <c r="K192" s="13">
        <v>19.869600000000002</v>
      </c>
      <c r="L192" s="13">
        <v>1916.5901533494689</v>
      </c>
      <c r="M192" s="198"/>
    </row>
    <row r="193" spans="1:13" ht="15" customHeight="1" outlineLevel="1" x14ac:dyDescent="0.25">
      <c r="A193" s="148"/>
      <c r="B193" s="148"/>
      <c r="C193" s="148"/>
      <c r="D193" s="156"/>
      <c r="E193" s="156"/>
      <c r="F193" s="50">
        <v>43466</v>
      </c>
      <c r="G193" s="50">
        <v>43646</v>
      </c>
      <c r="H193" s="168"/>
      <c r="I193" s="15" t="s">
        <v>23</v>
      </c>
      <c r="J193" s="15" t="s">
        <v>23</v>
      </c>
      <c r="K193" s="13">
        <v>19.48</v>
      </c>
      <c r="L193" s="13">
        <v>1599.6976637654552</v>
      </c>
      <c r="M193" s="196" t="s">
        <v>422</v>
      </c>
    </row>
    <row r="194" spans="1:13" ht="15" customHeight="1" outlineLevel="1" x14ac:dyDescent="0.25">
      <c r="A194" s="148"/>
      <c r="B194" s="148"/>
      <c r="C194" s="148"/>
      <c r="D194" s="156"/>
      <c r="E194" s="156"/>
      <c r="F194" s="50">
        <v>43647</v>
      </c>
      <c r="G194" s="50">
        <v>43830</v>
      </c>
      <c r="H194" s="168"/>
      <c r="I194" s="15" t="s">
        <v>23</v>
      </c>
      <c r="J194" s="15" t="s">
        <v>23</v>
      </c>
      <c r="K194" s="13">
        <v>19.869600000000002</v>
      </c>
      <c r="L194" s="13">
        <v>1631.6916170407642</v>
      </c>
      <c r="M194" s="198"/>
    </row>
    <row r="195" spans="1:13" ht="15" customHeight="1" outlineLevel="1" x14ac:dyDescent="0.25">
      <c r="A195" s="148"/>
      <c r="B195" s="148"/>
      <c r="C195" s="148"/>
      <c r="D195" s="156"/>
      <c r="E195" s="156"/>
      <c r="F195" s="50">
        <v>43466</v>
      </c>
      <c r="G195" s="50">
        <v>43646</v>
      </c>
      <c r="H195" s="168"/>
      <c r="I195" s="15" t="s">
        <v>23</v>
      </c>
      <c r="J195" s="15" t="s">
        <v>23</v>
      </c>
      <c r="K195" s="13">
        <v>19.48</v>
      </c>
      <c r="L195" s="13">
        <v>1715.6177843281691</v>
      </c>
      <c r="M195" s="196" t="s">
        <v>423</v>
      </c>
    </row>
    <row r="196" spans="1:13" ht="15" customHeight="1" outlineLevel="1" x14ac:dyDescent="0.25">
      <c r="A196" s="148"/>
      <c r="B196" s="148"/>
      <c r="C196" s="148"/>
      <c r="D196" s="156"/>
      <c r="E196" s="156"/>
      <c r="F196" s="50">
        <v>43647</v>
      </c>
      <c r="G196" s="50">
        <v>43830</v>
      </c>
      <c r="H196" s="168"/>
      <c r="I196" s="15" t="s">
        <v>23</v>
      </c>
      <c r="J196" s="15" t="s">
        <v>23</v>
      </c>
      <c r="K196" s="13">
        <v>19.869600000000002</v>
      </c>
      <c r="L196" s="13">
        <v>1749.9301400147322</v>
      </c>
      <c r="M196" s="198"/>
    </row>
    <row r="197" spans="1:13" ht="15" customHeight="1" outlineLevel="1" x14ac:dyDescent="0.25">
      <c r="A197" s="148"/>
      <c r="B197" s="148"/>
      <c r="C197" s="148"/>
      <c r="D197" s="156"/>
      <c r="E197" s="156"/>
      <c r="F197" s="50">
        <v>43466</v>
      </c>
      <c r="G197" s="50">
        <v>43646</v>
      </c>
      <c r="H197" s="168"/>
      <c r="I197" s="15" t="s">
        <v>23</v>
      </c>
      <c r="J197" s="15" t="s">
        <v>23</v>
      </c>
      <c r="K197" s="13">
        <v>19.48</v>
      </c>
      <c r="L197" s="13">
        <v>1793.6004108885404</v>
      </c>
      <c r="M197" s="196" t="s">
        <v>424</v>
      </c>
    </row>
    <row r="198" spans="1:13" ht="15" customHeight="1" outlineLevel="1" x14ac:dyDescent="0.25">
      <c r="A198" s="148"/>
      <c r="B198" s="148"/>
      <c r="C198" s="148"/>
      <c r="D198" s="156"/>
      <c r="E198" s="156"/>
      <c r="F198" s="50">
        <v>43647</v>
      </c>
      <c r="G198" s="50">
        <v>43830</v>
      </c>
      <c r="H198" s="168"/>
      <c r="I198" s="15" t="s">
        <v>23</v>
      </c>
      <c r="J198" s="15" t="s">
        <v>23</v>
      </c>
      <c r="K198" s="13">
        <v>19.869600000000002</v>
      </c>
      <c r="L198" s="13">
        <v>1829.472419106311</v>
      </c>
      <c r="M198" s="198"/>
    </row>
    <row r="199" spans="1:13" ht="15" customHeight="1" outlineLevel="1" x14ac:dyDescent="0.25">
      <c r="A199" s="148"/>
      <c r="B199" s="148"/>
      <c r="C199" s="148"/>
      <c r="D199" s="156"/>
      <c r="E199" s="156"/>
      <c r="F199" s="50">
        <v>43466</v>
      </c>
      <c r="G199" s="50">
        <v>43646</v>
      </c>
      <c r="H199" s="168"/>
      <c r="I199" s="15" t="s">
        <v>23</v>
      </c>
      <c r="J199" s="15" t="s">
        <v>23</v>
      </c>
      <c r="K199" s="13">
        <v>19.48</v>
      </c>
      <c r="L199" s="13">
        <v>1940.6168380105521</v>
      </c>
      <c r="M199" s="196" t="s">
        <v>425</v>
      </c>
    </row>
    <row r="200" spans="1:13" ht="15" customHeight="1" outlineLevel="1" x14ac:dyDescent="0.25">
      <c r="A200" s="148"/>
      <c r="B200" s="148"/>
      <c r="C200" s="148"/>
      <c r="D200" s="156"/>
      <c r="E200" s="156"/>
      <c r="F200" s="50">
        <v>43647</v>
      </c>
      <c r="G200" s="50">
        <v>43830</v>
      </c>
      <c r="H200" s="168"/>
      <c r="I200" s="15" t="s">
        <v>23</v>
      </c>
      <c r="J200" s="15" t="s">
        <v>23</v>
      </c>
      <c r="K200" s="13">
        <v>19.869600000000002</v>
      </c>
      <c r="L200" s="13">
        <v>1979.429174770763</v>
      </c>
      <c r="M200" s="198"/>
    </row>
    <row r="201" spans="1:13" ht="15" customHeight="1" outlineLevel="1" x14ac:dyDescent="0.25">
      <c r="A201" s="148"/>
      <c r="B201" s="148"/>
      <c r="C201" s="148"/>
      <c r="D201" s="156"/>
      <c r="E201" s="156"/>
      <c r="F201" s="50">
        <v>43466</v>
      </c>
      <c r="G201" s="50">
        <v>43646</v>
      </c>
      <c r="H201" s="168"/>
      <c r="I201" s="15" t="s">
        <v>23</v>
      </c>
      <c r="J201" s="15" t="s">
        <v>23</v>
      </c>
      <c r="K201" s="13">
        <v>19.48</v>
      </c>
      <c r="L201" s="13">
        <v>1644.1337099811622</v>
      </c>
      <c r="M201" s="196" t="s">
        <v>426</v>
      </c>
    </row>
    <row r="202" spans="1:13" ht="15" customHeight="1" outlineLevel="1" x14ac:dyDescent="0.25">
      <c r="A202" s="148"/>
      <c r="B202" s="148"/>
      <c r="C202" s="148"/>
      <c r="D202" s="156"/>
      <c r="E202" s="156"/>
      <c r="F202" s="50">
        <v>43647</v>
      </c>
      <c r="G202" s="50">
        <v>43830</v>
      </c>
      <c r="H202" s="168"/>
      <c r="I202" s="15" t="s">
        <v>23</v>
      </c>
      <c r="J202" s="15" t="s">
        <v>23</v>
      </c>
      <c r="K202" s="13">
        <v>19.869600000000002</v>
      </c>
      <c r="L202" s="13">
        <v>1677.0163841807853</v>
      </c>
      <c r="M202" s="198"/>
    </row>
    <row r="203" spans="1:13" ht="15" customHeight="1" outlineLevel="1" x14ac:dyDescent="0.25">
      <c r="A203" s="148"/>
      <c r="B203" s="148"/>
      <c r="C203" s="148"/>
      <c r="D203" s="156"/>
      <c r="E203" s="156"/>
      <c r="F203" s="50">
        <v>43466</v>
      </c>
      <c r="G203" s="50">
        <v>43646</v>
      </c>
      <c r="H203" s="168"/>
      <c r="I203" s="15" t="s">
        <v>23</v>
      </c>
      <c r="J203" s="15" t="s">
        <v>23</v>
      </c>
      <c r="K203" s="13">
        <v>19.48</v>
      </c>
      <c r="L203" s="13">
        <v>1793.6004108885404</v>
      </c>
      <c r="M203" s="196" t="s">
        <v>427</v>
      </c>
    </row>
    <row r="204" spans="1:13" ht="15" customHeight="1" outlineLevel="1" x14ac:dyDescent="0.25">
      <c r="A204" s="147"/>
      <c r="B204" s="147"/>
      <c r="C204" s="147"/>
      <c r="D204" s="156"/>
      <c r="E204" s="156"/>
      <c r="F204" s="50">
        <v>43647</v>
      </c>
      <c r="G204" s="50">
        <v>43830</v>
      </c>
      <c r="H204" s="168"/>
      <c r="I204" s="15" t="s">
        <v>23</v>
      </c>
      <c r="J204" s="15" t="s">
        <v>23</v>
      </c>
      <c r="K204" s="13">
        <v>19.869600000000002</v>
      </c>
      <c r="L204" s="13">
        <v>1829.472419106311</v>
      </c>
      <c r="M204" s="198"/>
    </row>
    <row r="205" spans="1:13" ht="15" customHeight="1" outlineLevel="1" x14ac:dyDescent="0.25">
      <c r="A205" s="146" t="s">
        <v>48</v>
      </c>
      <c r="B205" s="146" t="s">
        <v>215</v>
      </c>
      <c r="C205" s="146" t="s">
        <v>448</v>
      </c>
      <c r="D205" s="156">
        <v>43083</v>
      </c>
      <c r="E205" s="156" t="s">
        <v>608</v>
      </c>
      <c r="F205" s="12">
        <v>43466</v>
      </c>
      <c r="G205" s="12">
        <v>43646</v>
      </c>
      <c r="H205" s="168" t="s">
        <v>807</v>
      </c>
      <c r="I205" s="66">
        <v>28.36</v>
      </c>
      <c r="J205" s="13">
        <v>2872.24</v>
      </c>
      <c r="K205" s="15" t="s">
        <v>23</v>
      </c>
      <c r="L205" s="15" t="s">
        <v>23</v>
      </c>
      <c r="M205" s="183"/>
    </row>
    <row r="206" spans="1:13" ht="15" customHeight="1" outlineLevel="1" x14ac:dyDescent="0.25">
      <c r="A206" s="148"/>
      <c r="B206" s="148"/>
      <c r="C206" s="148"/>
      <c r="D206" s="156"/>
      <c r="E206" s="156"/>
      <c r="F206" s="12">
        <v>43647</v>
      </c>
      <c r="G206" s="12">
        <v>43830</v>
      </c>
      <c r="H206" s="168"/>
      <c r="I206" s="66">
        <v>31.31</v>
      </c>
      <c r="J206" s="13">
        <v>3270.55</v>
      </c>
      <c r="K206" s="15" t="s">
        <v>23</v>
      </c>
      <c r="L206" s="15" t="s">
        <v>23</v>
      </c>
      <c r="M206" s="183"/>
    </row>
    <row r="207" spans="1:13" ht="15" customHeight="1" outlineLevel="1" x14ac:dyDescent="0.25">
      <c r="A207" s="148"/>
      <c r="B207" s="148"/>
      <c r="C207" s="148"/>
      <c r="D207" s="156">
        <v>43454</v>
      </c>
      <c r="E207" s="156" t="s">
        <v>808</v>
      </c>
      <c r="F207" s="50">
        <v>43466</v>
      </c>
      <c r="G207" s="50">
        <v>43646</v>
      </c>
      <c r="H207" s="168"/>
      <c r="I207" s="15" t="s">
        <v>23</v>
      </c>
      <c r="J207" s="15" t="s">
        <v>23</v>
      </c>
      <c r="K207" s="13">
        <v>17.87</v>
      </c>
      <c r="L207" s="13">
        <v>1574.028494227457</v>
      </c>
      <c r="M207" s="196" t="s">
        <v>420</v>
      </c>
    </row>
    <row r="208" spans="1:13" ht="15" customHeight="1" outlineLevel="1" x14ac:dyDescent="0.25">
      <c r="A208" s="148"/>
      <c r="B208" s="148"/>
      <c r="C208" s="148"/>
      <c r="D208" s="156"/>
      <c r="E208" s="156"/>
      <c r="F208" s="50">
        <v>43647</v>
      </c>
      <c r="G208" s="50">
        <v>43830</v>
      </c>
      <c r="H208" s="168"/>
      <c r="I208" s="15" t="s">
        <v>23</v>
      </c>
      <c r="J208" s="15" t="s">
        <v>23</v>
      </c>
      <c r="K208" s="13">
        <v>18.227400000000003</v>
      </c>
      <c r="L208" s="13">
        <v>1605.5090641120064</v>
      </c>
      <c r="M208" s="198"/>
    </row>
    <row r="209" spans="1:13" ht="15" customHeight="1" outlineLevel="1" x14ac:dyDescent="0.25">
      <c r="A209" s="148"/>
      <c r="B209" s="148"/>
      <c r="C209" s="148"/>
      <c r="D209" s="156"/>
      <c r="E209" s="156"/>
      <c r="F209" s="50">
        <v>43466</v>
      </c>
      <c r="G209" s="50">
        <v>43646</v>
      </c>
      <c r="H209" s="168"/>
      <c r="I209" s="15" t="s">
        <v>23</v>
      </c>
      <c r="J209" s="15" t="s">
        <v>23</v>
      </c>
      <c r="K209" s="13">
        <v>17.87</v>
      </c>
      <c r="L209" s="13">
        <v>1723.9359698681674</v>
      </c>
      <c r="M209" s="196" t="s">
        <v>421</v>
      </c>
    </row>
    <row r="210" spans="1:13" ht="15" customHeight="1" outlineLevel="1" x14ac:dyDescent="0.25">
      <c r="A210" s="148"/>
      <c r="B210" s="148"/>
      <c r="C210" s="148"/>
      <c r="D210" s="156"/>
      <c r="E210" s="156"/>
      <c r="F210" s="50">
        <v>43647</v>
      </c>
      <c r="G210" s="50">
        <v>43830</v>
      </c>
      <c r="H210" s="168"/>
      <c r="I210" s="15" t="s">
        <v>23</v>
      </c>
      <c r="J210" s="15" t="s">
        <v>23</v>
      </c>
      <c r="K210" s="13">
        <v>18.227400000000003</v>
      </c>
      <c r="L210" s="13">
        <v>1758.414689265531</v>
      </c>
      <c r="M210" s="198"/>
    </row>
    <row r="211" spans="1:13" ht="15" customHeight="1" outlineLevel="1" x14ac:dyDescent="0.25">
      <c r="A211" s="148"/>
      <c r="B211" s="148"/>
      <c r="C211" s="148"/>
      <c r="D211" s="156"/>
      <c r="E211" s="156"/>
      <c r="F211" s="50">
        <v>43466</v>
      </c>
      <c r="G211" s="50">
        <v>43646</v>
      </c>
      <c r="H211" s="168"/>
      <c r="I211" s="15" t="s">
        <v>23</v>
      </c>
      <c r="J211" s="15" t="s">
        <v>23</v>
      </c>
      <c r="K211" s="13">
        <v>17.87</v>
      </c>
      <c r="L211" s="13">
        <v>1467.6752175904669</v>
      </c>
      <c r="M211" s="196" t="s">
        <v>422</v>
      </c>
    </row>
    <row r="212" spans="1:13" ht="15" customHeight="1" outlineLevel="1" x14ac:dyDescent="0.25">
      <c r="A212" s="148"/>
      <c r="B212" s="148"/>
      <c r="C212" s="148"/>
      <c r="D212" s="156"/>
      <c r="E212" s="156"/>
      <c r="F212" s="50">
        <v>43647</v>
      </c>
      <c r="G212" s="50">
        <v>43830</v>
      </c>
      <c r="H212" s="168"/>
      <c r="I212" s="15" t="s">
        <v>23</v>
      </c>
      <c r="J212" s="15" t="s">
        <v>23</v>
      </c>
      <c r="K212" s="13">
        <v>18.227400000000003</v>
      </c>
      <c r="L212" s="13">
        <v>1497.0287219422764</v>
      </c>
      <c r="M212" s="198"/>
    </row>
    <row r="213" spans="1:13" ht="15" customHeight="1" outlineLevel="1" x14ac:dyDescent="0.25">
      <c r="A213" s="148"/>
      <c r="B213" s="148"/>
      <c r="C213" s="148"/>
      <c r="D213" s="156"/>
      <c r="E213" s="156"/>
      <c r="F213" s="50">
        <v>43466</v>
      </c>
      <c r="G213" s="50">
        <v>43646</v>
      </c>
      <c r="H213" s="168"/>
      <c r="I213" s="15" t="s">
        <v>23</v>
      </c>
      <c r="J213" s="15" t="s">
        <v>23</v>
      </c>
      <c r="K213" s="13">
        <v>17.87</v>
      </c>
      <c r="L213" s="13">
        <v>1574.028494227457</v>
      </c>
      <c r="M213" s="196" t="s">
        <v>423</v>
      </c>
    </row>
    <row r="214" spans="1:13" ht="15" customHeight="1" outlineLevel="1" x14ac:dyDescent="0.25">
      <c r="A214" s="148"/>
      <c r="B214" s="148"/>
      <c r="C214" s="148"/>
      <c r="D214" s="156"/>
      <c r="E214" s="156"/>
      <c r="F214" s="50">
        <v>43647</v>
      </c>
      <c r="G214" s="50">
        <v>43830</v>
      </c>
      <c r="H214" s="168"/>
      <c r="I214" s="15" t="s">
        <v>23</v>
      </c>
      <c r="J214" s="15" t="s">
        <v>23</v>
      </c>
      <c r="K214" s="13">
        <v>18.227400000000003</v>
      </c>
      <c r="L214" s="13">
        <v>1605.5090641120064</v>
      </c>
      <c r="M214" s="198"/>
    </row>
    <row r="215" spans="1:13" ht="15" customHeight="1" outlineLevel="1" x14ac:dyDescent="0.25">
      <c r="A215" s="148"/>
      <c r="B215" s="148"/>
      <c r="C215" s="148"/>
      <c r="D215" s="156"/>
      <c r="E215" s="156"/>
      <c r="F215" s="50">
        <v>43466</v>
      </c>
      <c r="G215" s="50">
        <v>43646</v>
      </c>
      <c r="H215" s="168"/>
      <c r="I215" s="15" t="s">
        <v>23</v>
      </c>
      <c r="J215" s="15" t="s">
        <v>23</v>
      </c>
      <c r="K215" s="13">
        <v>17.87</v>
      </c>
      <c r="L215" s="13">
        <v>1645.5752439650687</v>
      </c>
      <c r="M215" s="196" t="s">
        <v>424</v>
      </c>
    </row>
    <row r="216" spans="1:13" ht="15" customHeight="1" outlineLevel="1" x14ac:dyDescent="0.25">
      <c r="A216" s="148"/>
      <c r="B216" s="148"/>
      <c r="C216" s="148"/>
      <c r="D216" s="156"/>
      <c r="E216" s="156"/>
      <c r="F216" s="50">
        <v>43647</v>
      </c>
      <c r="G216" s="50">
        <v>43830</v>
      </c>
      <c r="H216" s="168"/>
      <c r="I216" s="15" t="s">
        <v>23</v>
      </c>
      <c r="J216" s="15" t="s">
        <v>23</v>
      </c>
      <c r="K216" s="13">
        <v>18.227400000000003</v>
      </c>
      <c r="L216" s="13">
        <v>1678.4867488443704</v>
      </c>
      <c r="M216" s="198"/>
    </row>
    <row r="217" spans="1:13" ht="15" customHeight="1" outlineLevel="1" x14ac:dyDescent="0.25">
      <c r="A217" s="148"/>
      <c r="B217" s="148"/>
      <c r="C217" s="148"/>
      <c r="D217" s="156"/>
      <c r="E217" s="156"/>
      <c r="F217" s="50">
        <v>43466</v>
      </c>
      <c r="G217" s="50">
        <v>43646</v>
      </c>
      <c r="H217" s="168"/>
      <c r="I217" s="15" t="s">
        <v>23</v>
      </c>
      <c r="J217" s="15" t="s">
        <v>23</v>
      </c>
      <c r="K217" s="13">
        <v>17.87</v>
      </c>
      <c r="L217" s="13">
        <v>1780.4584606835172</v>
      </c>
      <c r="M217" s="196" t="s">
        <v>425</v>
      </c>
    </row>
    <row r="218" spans="1:13" ht="15" customHeight="1" outlineLevel="1" x14ac:dyDescent="0.25">
      <c r="A218" s="148"/>
      <c r="B218" s="148"/>
      <c r="C218" s="148"/>
      <c r="D218" s="156"/>
      <c r="E218" s="156"/>
      <c r="F218" s="50">
        <v>43647</v>
      </c>
      <c r="G218" s="50">
        <v>43830</v>
      </c>
      <c r="H218" s="168"/>
      <c r="I218" s="15" t="s">
        <v>23</v>
      </c>
      <c r="J218" s="15" t="s">
        <v>23</v>
      </c>
      <c r="K218" s="13">
        <v>18.227400000000003</v>
      </c>
      <c r="L218" s="13">
        <v>1816.0676298971878</v>
      </c>
      <c r="M218" s="198"/>
    </row>
    <row r="219" spans="1:13" ht="15" customHeight="1" outlineLevel="1" x14ac:dyDescent="0.25">
      <c r="A219" s="148"/>
      <c r="B219" s="148"/>
      <c r="C219" s="148"/>
      <c r="D219" s="156"/>
      <c r="E219" s="156"/>
      <c r="F219" s="50">
        <v>43466</v>
      </c>
      <c r="G219" s="50">
        <v>43646</v>
      </c>
      <c r="H219" s="168"/>
      <c r="I219" s="15" t="s">
        <v>23</v>
      </c>
      <c r="J219" s="15" t="s">
        <v>23</v>
      </c>
      <c r="K219" s="13">
        <v>17.87</v>
      </c>
      <c r="L219" s="13">
        <v>1508.4439736346465</v>
      </c>
      <c r="M219" s="196" t="s">
        <v>426</v>
      </c>
    </row>
    <row r="220" spans="1:13" ht="15" customHeight="1" outlineLevel="1" x14ac:dyDescent="0.25">
      <c r="A220" s="148"/>
      <c r="B220" s="148"/>
      <c r="C220" s="148"/>
      <c r="D220" s="156"/>
      <c r="E220" s="156"/>
      <c r="F220" s="50">
        <v>43647</v>
      </c>
      <c r="G220" s="50">
        <v>43830</v>
      </c>
      <c r="H220" s="168"/>
      <c r="I220" s="15" t="s">
        <v>23</v>
      </c>
      <c r="J220" s="15" t="s">
        <v>23</v>
      </c>
      <c r="K220" s="13">
        <v>18.227400000000003</v>
      </c>
      <c r="L220" s="13">
        <v>1538.6128531073398</v>
      </c>
      <c r="M220" s="198"/>
    </row>
    <row r="221" spans="1:13" ht="15" customHeight="1" outlineLevel="1" x14ac:dyDescent="0.25">
      <c r="A221" s="148"/>
      <c r="B221" s="148"/>
      <c r="C221" s="148"/>
      <c r="D221" s="156"/>
      <c r="E221" s="156"/>
      <c r="F221" s="50">
        <v>43466</v>
      </c>
      <c r="G221" s="50">
        <v>43646</v>
      </c>
      <c r="H221" s="168"/>
      <c r="I221" s="15" t="s">
        <v>23</v>
      </c>
      <c r="J221" s="15" t="s">
        <v>23</v>
      </c>
      <c r="K221" s="13">
        <v>17.87</v>
      </c>
      <c r="L221" s="13">
        <v>1645.5752439650687</v>
      </c>
      <c r="M221" s="196" t="s">
        <v>427</v>
      </c>
    </row>
    <row r="222" spans="1:13" ht="15" customHeight="1" outlineLevel="1" x14ac:dyDescent="0.25">
      <c r="A222" s="147"/>
      <c r="B222" s="147"/>
      <c r="C222" s="147"/>
      <c r="D222" s="156"/>
      <c r="E222" s="156"/>
      <c r="F222" s="50">
        <v>43647</v>
      </c>
      <c r="G222" s="50">
        <v>43830</v>
      </c>
      <c r="H222" s="168"/>
      <c r="I222" s="15" t="s">
        <v>23</v>
      </c>
      <c r="J222" s="15" t="s">
        <v>23</v>
      </c>
      <c r="K222" s="13">
        <v>18.227400000000003</v>
      </c>
      <c r="L222" s="13">
        <v>1678.4867488443704</v>
      </c>
      <c r="M222" s="198"/>
    </row>
    <row r="223" spans="1:13" ht="15" customHeight="1" outlineLevel="1" x14ac:dyDescent="0.25">
      <c r="A223" s="146" t="s">
        <v>48</v>
      </c>
      <c r="B223" s="146" t="s">
        <v>216</v>
      </c>
      <c r="C223" s="146" t="s">
        <v>448</v>
      </c>
      <c r="D223" s="156">
        <v>43083</v>
      </c>
      <c r="E223" s="156" t="s">
        <v>608</v>
      </c>
      <c r="F223" s="12">
        <v>43466</v>
      </c>
      <c r="G223" s="12">
        <v>43646</v>
      </c>
      <c r="H223" s="168" t="s">
        <v>807</v>
      </c>
      <c r="I223" s="66">
        <v>28.36</v>
      </c>
      <c r="J223" s="13">
        <v>2872.24</v>
      </c>
      <c r="K223" s="15" t="s">
        <v>23</v>
      </c>
      <c r="L223" s="15" t="s">
        <v>23</v>
      </c>
      <c r="M223" s="183"/>
    </row>
    <row r="224" spans="1:13" ht="15" customHeight="1" outlineLevel="1" x14ac:dyDescent="0.25">
      <c r="A224" s="148"/>
      <c r="B224" s="148"/>
      <c r="C224" s="148"/>
      <c r="D224" s="156"/>
      <c r="E224" s="156"/>
      <c r="F224" s="12">
        <v>43647</v>
      </c>
      <c r="G224" s="12">
        <v>43830</v>
      </c>
      <c r="H224" s="168"/>
      <c r="I224" s="66">
        <v>31.31</v>
      </c>
      <c r="J224" s="13">
        <v>3270.55</v>
      </c>
      <c r="K224" s="15" t="s">
        <v>23</v>
      </c>
      <c r="L224" s="15" t="s">
        <v>23</v>
      </c>
      <c r="M224" s="183"/>
    </row>
    <row r="225" spans="1:13" ht="15" customHeight="1" outlineLevel="1" x14ac:dyDescent="0.25">
      <c r="A225" s="148"/>
      <c r="B225" s="148"/>
      <c r="C225" s="148"/>
      <c r="D225" s="156">
        <v>43454</v>
      </c>
      <c r="E225" s="156" t="s">
        <v>808</v>
      </c>
      <c r="F225" s="50">
        <v>43466</v>
      </c>
      <c r="G225" s="50">
        <v>43646</v>
      </c>
      <c r="H225" s="168"/>
      <c r="I225" s="15" t="s">
        <v>23</v>
      </c>
      <c r="J225" s="15" t="s">
        <v>23</v>
      </c>
      <c r="K225" s="13">
        <v>25.32</v>
      </c>
      <c r="L225" s="13">
        <v>2229.5799557848122</v>
      </c>
      <c r="M225" s="196" t="s">
        <v>420</v>
      </c>
    </row>
    <row r="226" spans="1:13" ht="15" customHeight="1" outlineLevel="1" x14ac:dyDescent="0.25">
      <c r="A226" s="148"/>
      <c r="B226" s="148"/>
      <c r="C226" s="148"/>
      <c r="D226" s="156"/>
      <c r="E226" s="156"/>
      <c r="F226" s="50">
        <v>43647</v>
      </c>
      <c r="G226" s="50">
        <v>43830</v>
      </c>
      <c r="H226" s="168"/>
      <c r="I226" s="15" t="s">
        <v>23</v>
      </c>
      <c r="J226" s="15" t="s">
        <v>23</v>
      </c>
      <c r="K226" s="13">
        <v>25.32</v>
      </c>
      <c r="L226" s="13">
        <v>2229.5799557848122</v>
      </c>
      <c r="M226" s="198"/>
    </row>
    <row r="227" spans="1:13" ht="15" customHeight="1" outlineLevel="1" x14ac:dyDescent="0.25">
      <c r="A227" s="148"/>
      <c r="B227" s="148"/>
      <c r="C227" s="148"/>
      <c r="D227" s="156"/>
      <c r="E227" s="156"/>
      <c r="F227" s="50">
        <v>43466</v>
      </c>
      <c r="G227" s="50">
        <v>43646</v>
      </c>
      <c r="H227" s="168"/>
      <c r="I227" s="15" t="s">
        <v>23</v>
      </c>
      <c r="J227" s="15" t="s">
        <v>23</v>
      </c>
      <c r="K227" s="13">
        <v>25.32</v>
      </c>
      <c r="L227" s="13">
        <v>2441.9209039547945</v>
      </c>
      <c r="M227" s="196" t="s">
        <v>421</v>
      </c>
    </row>
    <row r="228" spans="1:13" ht="15" customHeight="1" outlineLevel="1" x14ac:dyDescent="0.25">
      <c r="A228" s="148"/>
      <c r="B228" s="148"/>
      <c r="C228" s="148"/>
      <c r="D228" s="156"/>
      <c r="E228" s="156"/>
      <c r="F228" s="50">
        <v>43647</v>
      </c>
      <c r="G228" s="50">
        <v>43830</v>
      </c>
      <c r="H228" s="168"/>
      <c r="I228" s="15" t="s">
        <v>23</v>
      </c>
      <c r="J228" s="15" t="s">
        <v>23</v>
      </c>
      <c r="K228" s="13">
        <v>25.32</v>
      </c>
      <c r="L228" s="13">
        <v>2441.9209039547945</v>
      </c>
      <c r="M228" s="198"/>
    </row>
    <row r="229" spans="1:13" ht="15" customHeight="1" outlineLevel="1" x14ac:dyDescent="0.25">
      <c r="A229" s="148"/>
      <c r="B229" s="148"/>
      <c r="C229" s="148"/>
      <c r="D229" s="156"/>
      <c r="E229" s="156"/>
      <c r="F229" s="50">
        <v>43466</v>
      </c>
      <c r="G229" s="50">
        <v>43646</v>
      </c>
      <c r="H229" s="168"/>
      <c r="I229" s="15" t="s">
        <v>23</v>
      </c>
      <c r="J229" s="15" t="s">
        <v>23</v>
      </c>
      <c r="K229" s="13">
        <v>25.32</v>
      </c>
      <c r="L229" s="13">
        <v>2078.932661475028</v>
      </c>
      <c r="M229" s="196" t="s">
        <v>422</v>
      </c>
    </row>
    <row r="230" spans="1:13" ht="15" customHeight="1" outlineLevel="1" x14ac:dyDescent="0.25">
      <c r="A230" s="148"/>
      <c r="B230" s="148"/>
      <c r="C230" s="148"/>
      <c r="D230" s="156"/>
      <c r="E230" s="156"/>
      <c r="F230" s="50">
        <v>43647</v>
      </c>
      <c r="G230" s="50">
        <v>43830</v>
      </c>
      <c r="H230" s="168"/>
      <c r="I230" s="15" t="s">
        <v>23</v>
      </c>
      <c r="J230" s="15" t="s">
        <v>23</v>
      </c>
      <c r="K230" s="13">
        <v>25.32</v>
      </c>
      <c r="L230" s="13">
        <v>2078.932661475028</v>
      </c>
      <c r="M230" s="198"/>
    </row>
    <row r="231" spans="1:13" ht="15" customHeight="1" outlineLevel="1" x14ac:dyDescent="0.25">
      <c r="A231" s="148"/>
      <c r="B231" s="148"/>
      <c r="C231" s="148"/>
      <c r="D231" s="156"/>
      <c r="E231" s="156"/>
      <c r="F231" s="50">
        <v>43466</v>
      </c>
      <c r="G231" s="50">
        <v>43646</v>
      </c>
      <c r="H231" s="168"/>
      <c r="I231" s="15" t="s">
        <v>23</v>
      </c>
      <c r="J231" s="15" t="s">
        <v>23</v>
      </c>
      <c r="K231" s="13">
        <v>25.32</v>
      </c>
      <c r="L231" s="13">
        <v>2229.5799557848122</v>
      </c>
      <c r="M231" s="196" t="s">
        <v>423</v>
      </c>
    </row>
    <row r="232" spans="1:13" ht="15" customHeight="1" outlineLevel="1" x14ac:dyDescent="0.25">
      <c r="A232" s="148"/>
      <c r="B232" s="148"/>
      <c r="C232" s="148"/>
      <c r="D232" s="156"/>
      <c r="E232" s="156"/>
      <c r="F232" s="50">
        <v>43647</v>
      </c>
      <c r="G232" s="50">
        <v>43830</v>
      </c>
      <c r="H232" s="168"/>
      <c r="I232" s="15" t="s">
        <v>23</v>
      </c>
      <c r="J232" s="15" t="s">
        <v>23</v>
      </c>
      <c r="K232" s="13">
        <v>25.32</v>
      </c>
      <c r="L232" s="13">
        <v>2229.5799557848122</v>
      </c>
      <c r="M232" s="198"/>
    </row>
    <row r="233" spans="1:13" ht="15" customHeight="1" outlineLevel="1" x14ac:dyDescent="0.25">
      <c r="A233" s="148"/>
      <c r="B233" s="148"/>
      <c r="C233" s="148"/>
      <c r="D233" s="156"/>
      <c r="E233" s="156"/>
      <c r="F233" s="50">
        <v>43466</v>
      </c>
      <c r="G233" s="50">
        <v>43646</v>
      </c>
      <c r="H233" s="168"/>
      <c r="I233" s="15" t="s">
        <v>23</v>
      </c>
      <c r="J233" s="15" t="s">
        <v>23</v>
      </c>
      <c r="K233" s="13">
        <v>25.32</v>
      </c>
      <c r="L233" s="13">
        <v>2330.9244992295762</v>
      </c>
      <c r="M233" s="196" t="s">
        <v>424</v>
      </c>
    </row>
    <row r="234" spans="1:13" ht="15" customHeight="1" outlineLevel="1" x14ac:dyDescent="0.25">
      <c r="A234" s="148"/>
      <c r="B234" s="148"/>
      <c r="C234" s="148"/>
      <c r="D234" s="156"/>
      <c r="E234" s="156"/>
      <c r="F234" s="50">
        <v>43647</v>
      </c>
      <c r="G234" s="50">
        <v>43830</v>
      </c>
      <c r="H234" s="168"/>
      <c r="I234" s="15" t="s">
        <v>23</v>
      </c>
      <c r="J234" s="15" t="s">
        <v>23</v>
      </c>
      <c r="K234" s="13">
        <v>25.32</v>
      </c>
      <c r="L234" s="13">
        <v>2330.9244992295762</v>
      </c>
      <c r="M234" s="198"/>
    </row>
    <row r="235" spans="1:13" ht="15" customHeight="1" outlineLevel="1" x14ac:dyDescent="0.25">
      <c r="A235" s="148"/>
      <c r="B235" s="148"/>
      <c r="C235" s="148"/>
      <c r="D235" s="156"/>
      <c r="E235" s="156"/>
      <c r="F235" s="50">
        <v>43466</v>
      </c>
      <c r="G235" s="50">
        <v>43646</v>
      </c>
      <c r="H235" s="168"/>
      <c r="I235" s="15" t="s">
        <v>23</v>
      </c>
      <c r="J235" s="15" t="s">
        <v>23</v>
      </c>
      <c r="K235" s="13">
        <v>25.32</v>
      </c>
      <c r="L235" s="13">
        <v>2521.9838844123287</v>
      </c>
      <c r="M235" s="196" t="s">
        <v>425</v>
      </c>
    </row>
    <row r="236" spans="1:13" ht="15" customHeight="1" outlineLevel="1" x14ac:dyDescent="0.25">
      <c r="A236" s="148"/>
      <c r="B236" s="148"/>
      <c r="C236" s="148"/>
      <c r="D236" s="156"/>
      <c r="E236" s="156"/>
      <c r="F236" s="50">
        <v>43647</v>
      </c>
      <c r="G236" s="50">
        <v>43830</v>
      </c>
      <c r="H236" s="168"/>
      <c r="I236" s="15" t="s">
        <v>23</v>
      </c>
      <c r="J236" s="15" t="s">
        <v>23</v>
      </c>
      <c r="K236" s="13">
        <v>25.32</v>
      </c>
      <c r="L236" s="13">
        <v>2521.9838844123287</v>
      </c>
      <c r="M236" s="198"/>
    </row>
    <row r="237" spans="1:13" ht="15" customHeight="1" outlineLevel="1" x14ac:dyDescent="0.25">
      <c r="A237" s="148"/>
      <c r="B237" s="148"/>
      <c r="C237" s="148"/>
      <c r="D237" s="156"/>
      <c r="E237" s="156"/>
      <c r="F237" s="50">
        <v>43466</v>
      </c>
      <c r="G237" s="50">
        <v>43646</v>
      </c>
      <c r="H237" s="168"/>
      <c r="I237" s="15" t="s">
        <v>23</v>
      </c>
      <c r="J237" s="15" t="s">
        <v>23</v>
      </c>
      <c r="K237" s="13">
        <v>25.32</v>
      </c>
      <c r="L237" s="13">
        <v>2136.6807909604454</v>
      </c>
      <c r="M237" s="196" t="s">
        <v>426</v>
      </c>
    </row>
    <row r="238" spans="1:13" ht="15" customHeight="1" outlineLevel="1" x14ac:dyDescent="0.25">
      <c r="A238" s="148"/>
      <c r="B238" s="148"/>
      <c r="C238" s="148"/>
      <c r="D238" s="156"/>
      <c r="E238" s="156"/>
      <c r="F238" s="50">
        <v>43647</v>
      </c>
      <c r="G238" s="50">
        <v>43830</v>
      </c>
      <c r="H238" s="168"/>
      <c r="I238" s="15" t="s">
        <v>23</v>
      </c>
      <c r="J238" s="15" t="s">
        <v>23</v>
      </c>
      <c r="K238" s="13">
        <v>25.32</v>
      </c>
      <c r="L238" s="13">
        <v>2136.6807909604454</v>
      </c>
      <c r="M238" s="198"/>
    </row>
    <row r="239" spans="1:13" ht="15" customHeight="1" outlineLevel="1" x14ac:dyDescent="0.25">
      <c r="A239" s="148"/>
      <c r="B239" s="148"/>
      <c r="C239" s="148"/>
      <c r="D239" s="156"/>
      <c r="E239" s="156"/>
      <c r="F239" s="50">
        <v>43466</v>
      </c>
      <c r="G239" s="50">
        <v>43646</v>
      </c>
      <c r="H239" s="168"/>
      <c r="I239" s="15" t="s">
        <v>23</v>
      </c>
      <c r="J239" s="15" t="s">
        <v>23</v>
      </c>
      <c r="K239" s="13">
        <v>25.32</v>
      </c>
      <c r="L239" s="13">
        <v>2330.9244992295762</v>
      </c>
      <c r="M239" s="196" t="s">
        <v>427</v>
      </c>
    </row>
    <row r="240" spans="1:13" ht="15" customHeight="1" outlineLevel="1" x14ac:dyDescent="0.25">
      <c r="A240" s="147"/>
      <c r="B240" s="147"/>
      <c r="C240" s="147"/>
      <c r="D240" s="156"/>
      <c r="E240" s="156"/>
      <c r="F240" s="50">
        <v>43647</v>
      </c>
      <c r="G240" s="50">
        <v>43830</v>
      </c>
      <c r="H240" s="168"/>
      <c r="I240" s="15" t="s">
        <v>23</v>
      </c>
      <c r="J240" s="15" t="s">
        <v>23</v>
      </c>
      <c r="K240" s="13">
        <v>25.32</v>
      </c>
      <c r="L240" s="13">
        <v>2330.9244992295762</v>
      </c>
      <c r="M240" s="198"/>
    </row>
    <row r="241" spans="1:13" ht="15" customHeight="1" outlineLevel="1" x14ac:dyDescent="0.25">
      <c r="A241" s="146" t="s">
        <v>48</v>
      </c>
      <c r="B241" s="146" t="s">
        <v>220</v>
      </c>
      <c r="C241" s="146" t="s">
        <v>300</v>
      </c>
      <c r="D241" s="156">
        <v>42723</v>
      </c>
      <c r="E241" s="156" t="s">
        <v>690</v>
      </c>
      <c r="F241" s="12">
        <v>43466</v>
      </c>
      <c r="G241" s="12">
        <v>43646</v>
      </c>
      <c r="H241" s="168" t="s">
        <v>694</v>
      </c>
      <c r="I241" s="66">
        <v>46.46</v>
      </c>
      <c r="J241" s="13">
        <v>1655.38</v>
      </c>
      <c r="K241" s="15" t="s">
        <v>23</v>
      </c>
      <c r="L241" s="15" t="s">
        <v>23</v>
      </c>
      <c r="M241" s="183"/>
    </row>
    <row r="242" spans="1:13" ht="15" customHeight="1" outlineLevel="1" x14ac:dyDescent="0.25">
      <c r="A242" s="148"/>
      <c r="B242" s="148"/>
      <c r="C242" s="148"/>
      <c r="D242" s="156"/>
      <c r="E242" s="156"/>
      <c r="F242" s="12">
        <v>43647</v>
      </c>
      <c r="G242" s="12">
        <v>43830</v>
      </c>
      <c r="H242" s="168"/>
      <c r="I242" s="66">
        <v>42.64</v>
      </c>
      <c r="J242" s="13">
        <v>1673.94</v>
      </c>
      <c r="K242" s="15" t="s">
        <v>23</v>
      </c>
      <c r="L242" s="15" t="s">
        <v>23</v>
      </c>
      <c r="M242" s="183"/>
    </row>
    <row r="243" spans="1:13" ht="15" customHeight="1" outlineLevel="1" x14ac:dyDescent="0.25">
      <c r="A243" s="148"/>
      <c r="B243" s="148"/>
      <c r="C243" s="148"/>
      <c r="D243" s="156">
        <v>43454</v>
      </c>
      <c r="E243" s="156" t="s">
        <v>606</v>
      </c>
      <c r="F243" s="50">
        <v>43466</v>
      </c>
      <c r="G243" s="50">
        <v>43646</v>
      </c>
      <c r="H243" s="168"/>
      <c r="I243" s="15" t="s">
        <v>23</v>
      </c>
      <c r="J243" s="15" t="s">
        <v>23</v>
      </c>
      <c r="K243" s="13">
        <v>32.15</v>
      </c>
      <c r="L243" s="13">
        <v>997.94</v>
      </c>
      <c r="M243" s="196" t="s">
        <v>420</v>
      </c>
    </row>
    <row r="244" spans="1:13" ht="15" customHeight="1" outlineLevel="1" x14ac:dyDescent="0.25">
      <c r="A244" s="148"/>
      <c r="B244" s="148"/>
      <c r="C244" s="148"/>
      <c r="D244" s="156"/>
      <c r="E244" s="156"/>
      <c r="F244" s="50">
        <v>43647</v>
      </c>
      <c r="G244" s="50">
        <v>43830</v>
      </c>
      <c r="H244" s="168"/>
      <c r="I244" s="15" t="s">
        <v>23</v>
      </c>
      <c r="J244" s="15" t="s">
        <v>23</v>
      </c>
      <c r="K244" s="13">
        <v>32.79</v>
      </c>
      <c r="L244" s="13">
        <v>1017.9</v>
      </c>
      <c r="M244" s="198"/>
    </row>
    <row r="245" spans="1:13" ht="15" customHeight="1" outlineLevel="1" x14ac:dyDescent="0.25">
      <c r="A245" s="148"/>
      <c r="B245" s="148"/>
      <c r="C245" s="148"/>
      <c r="D245" s="156"/>
      <c r="E245" s="156"/>
      <c r="F245" s="50">
        <v>43466</v>
      </c>
      <c r="G245" s="50">
        <v>43646</v>
      </c>
      <c r="H245" s="168"/>
      <c r="I245" s="15" t="s">
        <v>23</v>
      </c>
      <c r="J245" s="15" t="s">
        <v>23</v>
      </c>
      <c r="K245" s="13">
        <v>32.15</v>
      </c>
      <c r="L245" s="13">
        <v>1092.98</v>
      </c>
      <c r="M245" s="196" t="s">
        <v>421</v>
      </c>
    </row>
    <row r="246" spans="1:13" ht="15" customHeight="1" outlineLevel="1" x14ac:dyDescent="0.25">
      <c r="A246" s="148"/>
      <c r="B246" s="148"/>
      <c r="C246" s="148"/>
      <c r="D246" s="156"/>
      <c r="E246" s="156"/>
      <c r="F246" s="50">
        <v>43647</v>
      </c>
      <c r="G246" s="50">
        <v>43830</v>
      </c>
      <c r="H246" s="168"/>
      <c r="I246" s="15" t="s">
        <v>23</v>
      </c>
      <c r="J246" s="15" t="s">
        <v>23</v>
      </c>
      <c r="K246" s="13">
        <v>32.79</v>
      </c>
      <c r="L246" s="13">
        <v>1114.8399999999999</v>
      </c>
      <c r="M246" s="198"/>
    </row>
    <row r="247" spans="1:13" ht="15" customHeight="1" outlineLevel="1" x14ac:dyDescent="0.25">
      <c r="A247" s="148"/>
      <c r="B247" s="148"/>
      <c r="C247" s="148"/>
      <c r="D247" s="156"/>
      <c r="E247" s="156"/>
      <c r="F247" s="50">
        <v>43466</v>
      </c>
      <c r="G247" s="50">
        <v>43646</v>
      </c>
      <c r="H247" s="168"/>
      <c r="I247" s="15" t="s">
        <v>23</v>
      </c>
      <c r="J247" s="15" t="s">
        <v>23</v>
      </c>
      <c r="K247" s="13">
        <v>32.15</v>
      </c>
      <c r="L247" s="13">
        <v>930.51</v>
      </c>
      <c r="M247" s="196" t="s">
        <v>422</v>
      </c>
    </row>
    <row r="248" spans="1:13" ht="15" customHeight="1" outlineLevel="1" x14ac:dyDescent="0.25">
      <c r="A248" s="148"/>
      <c r="B248" s="148"/>
      <c r="C248" s="148"/>
      <c r="D248" s="156"/>
      <c r="E248" s="156"/>
      <c r="F248" s="50">
        <v>43647</v>
      </c>
      <c r="G248" s="50">
        <v>43830</v>
      </c>
      <c r="H248" s="168"/>
      <c r="I248" s="15" t="s">
        <v>23</v>
      </c>
      <c r="J248" s="15" t="s">
        <v>23</v>
      </c>
      <c r="K248" s="13">
        <v>32.79</v>
      </c>
      <c r="L248" s="13">
        <v>949.12</v>
      </c>
      <c r="M248" s="198"/>
    </row>
    <row r="249" spans="1:13" ht="15" customHeight="1" outlineLevel="1" x14ac:dyDescent="0.25">
      <c r="A249" s="148"/>
      <c r="B249" s="148"/>
      <c r="C249" s="148"/>
      <c r="D249" s="156"/>
      <c r="E249" s="156"/>
      <c r="F249" s="50">
        <v>43466</v>
      </c>
      <c r="G249" s="50">
        <v>43646</v>
      </c>
      <c r="H249" s="168"/>
      <c r="I249" s="15" t="s">
        <v>23</v>
      </c>
      <c r="J249" s="15" t="s">
        <v>23</v>
      </c>
      <c r="K249" s="13">
        <v>32.15</v>
      </c>
      <c r="L249" s="13">
        <v>997.94</v>
      </c>
      <c r="M249" s="196" t="s">
        <v>423</v>
      </c>
    </row>
    <row r="250" spans="1:13" ht="15" customHeight="1" outlineLevel="1" x14ac:dyDescent="0.25">
      <c r="A250" s="148"/>
      <c r="B250" s="148"/>
      <c r="C250" s="148"/>
      <c r="D250" s="156"/>
      <c r="E250" s="156"/>
      <c r="F250" s="50">
        <v>43647</v>
      </c>
      <c r="G250" s="50">
        <v>43830</v>
      </c>
      <c r="H250" s="168"/>
      <c r="I250" s="15" t="s">
        <v>23</v>
      </c>
      <c r="J250" s="15" t="s">
        <v>23</v>
      </c>
      <c r="K250" s="13">
        <v>32.79</v>
      </c>
      <c r="L250" s="13">
        <v>1017.9</v>
      </c>
      <c r="M250" s="198"/>
    </row>
    <row r="251" spans="1:13" ht="15" customHeight="1" outlineLevel="1" x14ac:dyDescent="0.25">
      <c r="A251" s="148"/>
      <c r="B251" s="148"/>
      <c r="C251" s="148"/>
      <c r="D251" s="156"/>
      <c r="E251" s="156"/>
      <c r="F251" s="50">
        <v>43466</v>
      </c>
      <c r="G251" s="50">
        <v>43646</v>
      </c>
      <c r="H251" s="168"/>
      <c r="I251" s="15" t="s">
        <v>23</v>
      </c>
      <c r="J251" s="15" t="s">
        <v>23</v>
      </c>
      <c r="K251" s="13">
        <v>32.15</v>
      </c>
      <c r="L251" s="13">
        <v>1043.3</v>
      </c>
      <c r="M251" s="196" t="s">
        <v>424</v>
      </c>
    </row>
    <row r="252" spans="1:13" ht="15" customHeight="1" outlineLevel="1" x14ac:dyDescent="0.25">
      <c r="A252" s="148"/>
      <c r="B252" s="148"/>
      <c r="C252" s="148"/>
      <c r="D252" s="156"/>
      <c r="E252" s="156"/>
      <c r="F252" s="50">
        <v>43647</v>
      </c>
      <c r="G252" s="50">
        <v>43830</v>
      </c>
      <c r="H252" s="168"/>
      <c r="I252" s="15" t="s">
        <v>23</v>
      </c>
      <c r="J252" s="15" t="s">
        <v>23</v>
      </c>
      <c r="K252" s="13">
        <v>32.79</v>
      </c>
      <c r="L252" s="13">
        <v>1064.1600000000001</v>
      </c>
      <c r="M252" s="198"/>
    </row>
    <row r="253" spans="1:13" ht="15" customHeight="1" outlineLevel="1" x14ac:dyDescent="0.25">
      <c r="A253" s="148"/>
      <c r="B253" s="148"/>
      <c r="C253" s="148"/>
      <c r="D253" s="156"/>
      <c r="E253" s="156"/>
      <c r="F253" s="50">
        <v>43466</v>
      </c>
      <c r="G253" s="50">
        <v>43646</v>
      </c>
      <c r="H253" s="168"/>
      <c r="I253" s="15" t="s">
        <v>23</v>
      </c>
      <c r="J253" s="15" t="s">
        <v>23</v>
      </c>
      <c r="K253" s="13">
        <v>32.15</v>
      </c>
      <c r="L253" s="13">
        <v>1128.81</v>
      </c>
      <c r="M253" s="196" t="s">
        <v>425</v>
      </c>
    </row>
    <row r="254" spans="1:13" ht="15" customHeight="1" outlineLevel="1" x14ac:dyDescent="0.25">
      <c r="A254" s="148"/>
      <c r="B254" s="148"/>
      <c r="C254" s="148"/>
      <c r="D254" s="156"/>
      <c r="E254" s="156"/>
      <c r="F254" s="50">
        <v>43647</v>
      </c>
      <c r="G254" s="50">
        <v>43830</v>
      </c>
      <c r="H254" s="168"/>
      <c r="I254" s="15" t="s">
        <v>23</v>
      </c>
      <c r="J254" s="15" t="s">
        <v>23</v>
      </c>
      <c r="K254" s="13">
        <v>32.79</v>
      </c>
      <c r="L254" s="13">
        <v>1151.3900000000001</v>
      </c>
      <c r="M254" s="198"/>
    </row>
    <row r="255" spans="1:13" ht="15" customHeight="1" outlineLevel="1" x14ac:dyDescent="0.25">
      <c r="A255" s="148"/>
      <c r="B255" s="148"/>
      <c r="C255" s="148"/>
      <c r="D255" s="156"/>
      <c r="E255" s="156"/>
      <c r="F255" s="50">
        <v>43466</v>
      </c>
      <c r="G255" s="50">
        <v>43646</v>
      </c>
      <c r="H255" s="168"/>
      <c r="I255" s="15" t="s">
        <v>23</v>
      </c>
      <c r="J255" s="15" t="s">
        <v>23</v>
      </c>
      <c r="K255" s="13">
        <v>32.15</v>
      </c>
      <c r="L255" s="13">
        <v>956.36</v>
      </c>
      <c r="M255" s="196" t="s">
        <v>426</v>
      </c>
    </row>
    <row r="256" spans="1:13" ht="15" customHeight="1" outlineLevel="1" x14ac:dyDescent="0.25">
      <c r="A256" s="148"/>
      <c r="B256" s="148"/>
      <c r="C256" s="148"/>
      <c r="D256" s="156"/>
      <c r="E256" s="156"/>
      <c r="F256" s="50">
        <v>43647</v>
      </c>
      <c r="G256" s="50">
        <v>43830</v>
      </c>
      <c r="H256" s="168"/>
      <c r="I256" s="15" t="s">
        <v>23</v>
      </c>
      <c r="J256" s="15" t="s">
        <v>23</v>
      </c>
      <c r="K256" s="13">
        <v>32.79</v>
      </c>
      <c r="L256" s="13">
        <v>975.48</v>
      </c>
      <c r="M256" s="198"/>
    </row>
    <row r="257" spans="1:13" ht="15" customHeight="1" outlineLevel="1" x14ac:dyDescent="0.25">
      <c r="A257" s="148"/>
      <c r="B257" s="148"/>
      <c r="C257" s="148"/>
      <c r="D257" s="156"/>
      <c r="E257" s="156"/>
      <c r="F257" s="50">
        <v>43466</v>
      </c>
      <c r="G257" s="50">
        <v>43646</v>
      </c>
      <c r="H257" s="168"/>
      <c r="I257" s="15" t="s">
        <v>23</v>
      </c>
      <c r="J257" s="15" t="s">
        <v>23</v>
      </c>
      <c r="K257" s="13">
        <v>32.15</v>
      </c>
      <c r="L257" s="13">
        <v>1043.3</v>
      </c>
      <c r="M257" s="196" t="s">
        <v>427</v>
      </c>
    </row>
    <row r="258" spans="1:13" ht="15" customHeight="1" outlineLevel="1" x14ac:dyDescent="0.25">
      <c r="A258" s="147"/>
      <c r="B258" s="147"/>
      <c r="C258" s="147"/>
      <c r="D258" s="156"/>
      <c r="E258" s="156"/>
      <c r="F258" s="50">
        <v>43647</v>
      </c>
      <c r="G258" s="50">
        <v>43830</v>
      </c>
      <c r="H258" s="168"/>
      <c r="I258" s="15" t="s">
        <v>23</v>
      </c>
      <c r="J258" s="15" t="s">
        <v>23</v>
      </c>
      <c r="K258" s="13">
        <v>32.79</v>
      </c>
      <c r="L258" s="13">
        <v>1064.1600000000001</v>
      </c>
      <c r="M258" s="198"/>
    </row>
    <row r="259" spans="1:13" ht="15" customHeight="1" outlineLevel="1" x14ac:dyDescent="0.25">
      <c r="A259" s="146" t="s">
        <v>48</v>
      </c>
      <c r="B259" s="146" t="s">
        <v>191</v>
      </c>
      <c r="C259" s="146" t="s">
        <v>337</v>
      </c>
      <c r="D259" s="88">
        <v>42723</v>
      </c>
      <c r="E259" s="88" t="s">
        <v>691</v>
      </c>
      <c r="F259" s="12">
        <v>43466</v>
      </c>
      <c r="G259" s="12">
        <v>43496</v>
      </c>
      <c r="H259" s="90" t="str">
        <f>[1]Тепло!H184</f>
        <v>07.12.2018 №328</v>
      </c>
      <c r="I259" s="66">
        <v>46.03</v>
      </c>
      <c r="J259" s="13">
        <v>2054.11</v>
      </c>
      <c r="K259" s="91" t="s">
        <v>23</v>
      </c>
      <c r="L259" s="91" t="s">
        <v>23</v>
      </c>
      <c r="M259" s="196"/>
    </row>
    <row r="260" spans="1:13" ht="15" customHeight="1" outlineLevel="1" x14ac:dyDescent="0.25">
      <c r="A260" s="148"/>
      <c r="B260" s="148"/>
      <c r="C260" s="148"/>
      <c r="D260" s="156">
        <f>[1]Тепло!D184</f>
        <v>42723</v>
      </c>
      <c r="E260" s="156" t="str">
        <f>[1]Тепло!E184</f>
        <v>479-п</v>
      </c>
      <c r="F260" s="12">
        <v>43466</v>
      </c>
      <c r="G260" s="12">
        <v>43646</v>
      </c>
      <c r="H260" s="168" t="str">
        <f>[1]Тепло!H185</f>
        <v>01.02.2019 №28-п</v>
      </c>
      <c r="I260" s="66">
        <v>55.24</v>
      </c>
      <c r="J260" s="13">
        <v>2333.73</v>
      </c>
      <c r="K260" s="91" t="s">
        <v>23</v>
      </c>
      <c r="L260" s="91" t="s">
        <v>23</v>
      </c>
      <c r="M260" s="197"/>
    </row>
    <row r="261" spans="1:13" ht="15" customHeight="1" outlineLevel="1" x14ac:dyDescent="0.25">
      <c r="A261" s="148"/>
      <c r="B261" s="148"/>
      <c r="C261" s="148"/>
      <c r="D261" s="156"/>
      <c r="E261" s="156"/>
      <c r="F261" s="12">
        <v>43647</v>
      </c>
      <c r="G261" s="12">
        <v>43830</v>
      </c>
      <c r="H261" s="168"/>
      <c r="I261" s="66">
        <v>57.28</v>
      </c>
      <c r="J261" s="13">
        <v>2356.56</v>
      </c>
      <c r="K261" s="91" t="s">
        <v>23</v>
      </c>
      <c r="L261" s="91" t="s">
        <v>23</v>
      </c>
      <c r="M261" s="198"/>
    </row>
    <row r="262" spans="1:13" ht="15" customHeight="1" outlineLevel="1" x14ac:dyDescent="0.25">
      <c r="A262" s="148"/>
      <c r="B262" s="148"/>
      <c r="C262" s="148"/>
      <c r="D262" s="156">
        <f>[1]Тепло!D187</f>
        <v>43454</v>
      </c>
      <c r="E262" s="156" t="str">
        <f>[1]Тепло!E187</f>
        <v>680-п</v>
      </c>
      <c r="F262" s="50">
        <v>43466</v>
      </c>
      <c r="G262" s="50">
        <v>43646</v>
      </c>
      <c r="H262" s="168"/>
      <c r="I262" s="91" t="s">
        <v>23</v>
      </c>
      <c r="J262" s="91" t="s">
        <v>23</v>
      </c>
      <c r="K262" s="13">
        <v>35.71</v>
      </c>
      <c r="L262" s="13">
        <v>1746.94</v>
      </c>
      <c r="M262" s="196" t="s">
        <v>420</v>
      </c>
    </row>
    <row r="263" spans="1:13" ht="15" customHeight="1" outlineLevel="1" x14ac:dyDescent="0.25">
      <c r="A263" s="148"/>
      <c r="B263" s="148"/>
      <c r="C263" s="148"/>
      <c r="D263" s="156"/>
      <c r="E263" s="156"/>
      <c r="F263" s="50">
        <v>43647</v>
      </c>
      <c r="G263" s="50">
        <v>43830</v>
      </c>
      <c r="H263" s="168"/>
      <c r="I263" s="91" t="s">
        <v>23</v>
      </c>
      <c r="J263" s="91" t="s">
        <v>23</v>
      </c>
      <c r="K263" s="13">
        <v>36.42</v>
      </c>
      <c r="L263" s="13">
        <v>1781.88</v>
      </c>
      <c r="M263" s="198"/>
    </row>
    <row r="264" spans="1:13" ht="15" customHeight="1" outlineLevel="1" x14ac:dyDescent="0.25">
      <c r="A264" s="148"/>
      <c r="B264" s="148"/>
      <c r="C264" s="148"/>
      <c r="D264" s="156"/>
      <c r="E264" s="156"/>
      <c r="F264" s="50">
        <v>43466</v>
      </c>
      <c r="G264" s="50">
        <v>43646</v>
      </c>
      <c r="H264" s="168"/>
      <c r="I264" s="91" t="s">
        <v>23</v>
      </c>
      <c r="J264" s="91" t="s">
        <v>23</v>
      </c>
      <c r="K264" s="13">
        <v>35.71</v>
      </c>
      <c r="L264" s="13">
        <v>1913.32</v>
      </c>
      <c r="M264" s="196" t="s">
        <v>421</v>
      </c>
    </row>
    <row r="265" spans="1:13" ht="15" customHeight="1" outlineLevel="1" x14ac:dyDescent="0.25">
      <c r="A265" s="148"/>
      <c r="B265" s="148"/>
      <c r="C265" s="148"/>
      <c r="D265" s="156"/>
      <c r="E265" s="156"/>
      <c r="F265" s="50">
        <v>43647</v>
      </c>
      <c r="G265" s="50">
        <v>43830</v>
      </c>
      <c r="H265" s="168"/>
      <c r="I265" s="91" t="s">
        <v>23</v>
      </c>
      <c r="J265" s="91" t="s">
        <v>23</v>
      </c>
      <c r="K265" s="13">
        <v>36.42</v>
      </c>
      <c r="L265" s="13">
        <v>1951.58</v>
      </c>
      <c r="M265" s="198"/>
    </row>
    <row r="266" spans="1:13" ht="15" customHeight="1" outlineLevel="1" x14ac:dyDescent="0.25">
      <c r="A266" s="148"/>
      <c r="B266" s="148"/>
      <c r="C266" s="148"/>
      <c r="D266" s="156"/>
      <c r="E266" s="156"/>
      <c r="F266" s="50">
        <v>43466</v>
      </c>
      <c r="G266" s="50">
        <v>43646</v>
      </c>
      <c r="H266" s="168"/>
      <c r="I266" s="91" t="s">
        <v>23</v>
      </c>
      <c r="J266" s="91" t="s">
        <v>23</v>
      </c>
      <c r="K266" s="13">
        <v>35.71</v>
      </c>
      <c r="L266" s="13">
        <v>1628.91</v>
      </c>
      <c r="M266" s="196" t="s">
        <v>422</v>
      </c>
    </row>
    <row r="267" spans="1:13" ht="15" customHeight="1" outlineLevel="1" x14ac:dyDescent="0.25">
      <c r="A267" s="148"/>
      <c r="B267" s="148"/>
      <c r="C267" s="148"/>
      <c r="D267" s="156"/>
      <c r="E267" s="156"/>
      <c r="F267" s="50">
        <v>43647</v>
      </c>
      <c r="G267" s="50">
        <v>43830</v>
      </c>
      <c r="H267" s="168"/>
      <c r="I267" s="91" t="s">
        <v>23</v>
      </c>
      <c r="J267" s="91" t="s">
        <v>23</v>
      </c>
      <c r="K267" s="13">
        <v>36.42</v>
      </c>
      <c r="L267" s="13">
        <v>1661.48</v>
      </c>
      <c r="M267" s="198"/>
    </row>
    <row r="268" spans="1:13" ht="15" customHeight="1" outlineLevel="1" x14ac:dyDescent="0.25">
      <c r="A268" s="148"/>
      <c r="B268" s="148"/>
      <c r="C268" s="148"/>
      <c r="D268" s="156"/>
      <c r="E268" s="156"/>
      <c r="F268" s="50">
        <v>43466</v>
      </c>
      <c r="G268" s="50">
        <v>43646</v>
      </c>
      <c r="H268" s="168"/>
      <c r="I268" s="91" t="s">
        <v>23</v>
      </c>
      <c r="J268" s="91" t="s">
        <v>23</v>
      </c>
      <c r="K268" s="13">
        <v>35.71</v>
      </c>
      <c r="L268" s="13">
        <v>1746.94</v>
      </c>
      <c r="M268" s="196" t="s">
        <v>423</v>
      </c>
    </row>
    <row r="269" spans="1:13" ht="15" customHeight="1" outlineLevel="1" x14ac:dyDescent="0.25">
      <c r="A269" s="148"/>
      <c r="B269" s="148"/>
      <c r="C269" s="148"/>
      <c r="D269" s="156"/>
      <c r="E269" s="156"/>
      <c r="F269" s="50">
        <v>43647</v>
      </c>
      <c r="G269" s="50">
        <v>43830</v>
      </c>
      <c r="H269" s="168"/>
      <c r="I269" s="91" t="s">
        <v>23</v>
      </c>
      <c r="J269" s="91" t="s">
        <v>23</v>
      </c>
      <c r="K269" s="13">
        <v>36.42</v>
      </c>
      <c r="L269" s="13">
        <v>1781.88</v>
      </c>
      <c r="M269" s="198"/>
    </row>
    <row r="270" spans="1:13" ht="15" customHeight="1" outlineLevel="1" x14ac:dyDescent="0.25">
      <c r="A270" s="148"/>
      <c r="B270" s="148"/>
      <c r="C270" s="148"/>
      <c r="D270" s="156"/>
      <c r="E270" s="156"/>
      <c r="F270" s="50">
        <v>43466</v>
      </c>
      <c r="G270" s="50">
        <v>43646</v>
      </c>
      <c r="H270" s="168"/>
      <c r="I270" s="91" t="s">
        <v>23</v>
      </c>
      <c r="J270" s="91" t="s">
        <v>23</v>
      </c>
      <c r="K270" s="13">
        <v>35.71</v>
      </c>
      <c r="L270" s="13">
        <v>1826.35</v>
      </c>
      <c r="M270" s="196" t="s">
        <v>424</v>
      </c>
    </row>
    <row r="271" spans="1:13" ht="15" customHeight="1" outlineLevel="1" x14ac:dyDescent="0.25">
      <c r="A271" s="148"/>
      <c r="B271" s="148"/>
      <c r="C271" s="148"/>
      <c r="D271" s="156"/>
      <c r="E271" s="156"/>
      <c r="F271" s="50">
        <v>43647</v>
      </c>
      <c r="G271" s="50">
        <v>43830</v>
      </c>
      <c r="H271" s="168"/>
      <c r="I271" s="91" t="s">
        <v>23</v>
      </c>
      <c r="J271" s="91" t="s">
        <v>23</v>
      </c>
      <c r="K271" s="13">
        <v>36.42</v>
      </c>
      <c r="L271" s="13">
        <v>1862.88</v>
      </c>
      <c r="M271" s="198"/>
    </row>
    <row r="272" spans="1:13" ht="15" customHeight="1" outlineLevel="1" x14ac:dyDescent="0.25">
      <c r="A272" s="148"/>
      <c r="B272" s="148"/>
      <c r="C272" s="148"/>
      <c r="D272" s="156"/>
      <c r="E272" s="156"/>
      <c r="F272" s="50">
        <v>43466</v>
      </c>
      <c r="G272" s="50">
        <v>43646</v>
      </c>
      <c r="H272" s="168"/>
      <c r="I272" s="91" t="s">
        <v>23</v>
      </c>
      <c r="J272" s="91" t="s">
        <v>23</v>
      </c>
      <c r="K272" s="13">
        <v>35.71</v>
      </c>
      <c r="L272" s="13">
        <v>1976.05</v>
      </c>
      <c r="M272" s="196" t="s">
        <v>425</v>
      </c>
    </row>
    <row r="273" spans="1:13" ht="15" customHeight="1" outlineLevel="1" x14ac:dyDescent="0.25">
      <c r="A273" s="148"/>
      <c r="B273" s="148"/>
      <c r="C273" s="148"/>
      <c r="D273" s="156"/>
      <c r="E273" s="156"/>
      <c r="F273" s="50">
        <v>43647</v>
      </c>
      <c r="G273" s="50">
        <v>43830</v>
      </c>
      <c r="H273" s="168"/>
      <c r="I273" s="91" t="s">
        <v>23</v>
      </c>
      <c r="J273" s="91" t="s">
        <v>23</v>
      </c>
      <c r="K273" s="13">
        <v>36.42</v>
      </c>
      <c r="L273" s="13">
        <v>2015.57</v>
      </c>
      <c r="M273" s="198"/>
    </row>
    <row r="274" spans="1:13" ht="15" customHeight="1" outlineLevel="1" x14ac:dyDescent="0.25">
      <c r="A274" s="148"/>
      <c r="B274" s="148"/>
      <c r="C274" s="148"/>
      <c r="D274" s="156"/>
      <c r="E274" s="156"/>
      <c r="F274" s="50">
        <v>43466</v>
      </c>
      <c r="G274" s="50">
        <v>43646</v>
      </c>
      <c r="H274" s="168"/>
      <c r="I274" s="91" t="s">
        <v>23</v>
      </c>
      <c r="J274" s="91" t="s">
        <v>23</v>
      </c>
      <c r="K274" s="13">
        <v>35.71</v>
      </c>
      <c r="L274" s="13">
        <v>1674.15</v>
      </c>
      <c r="M274" s="196" t="s">
        <v>426</v>
      </c>
    </row>
    <row r="275" spans="1:13" ht="15" customHeight="1" outlineLevel="1" x14ac:dyDescent="0.25">
      <c r="A275" s="148"/>
      <c r="B275" s="148"/>
      <c r="C275" s="148"/>
      <c r="D275" s="156"/>
      <c r="E275" s="156"/>
      <c r="F275" s="50">
        <v>43647</v>
      </c>
      <c r="G275" s="50">
        <v>43830</v>
      </c>
      <c r="H275" s="168"/>
      <c r="I275" s="91" t="s">
        <v>23</v>
      </c>
      <c r="J275" s="91" t="s">
        <v>23</v>
      </c>
      <c r="K275" s="13">
        <v>36.42</v>
      </c>
      <c r="L275" s="13">
        <v>1707.64</v>
      </c>
      <c r="M275" s="198"/>
    </row>
    <row r="276" spans="1:13" ht="15" customHeight="1" outlineLevel="1" x14ac:dyDescent="0.25">
      <c r="A276" s="148"/>
      <c r="B276" s="148"/>
      <c r="C276" s="148"/>
      <c r="D276" s="156"/>
      <c r="E276" s="156"/>
      <c r="F276" s="50">
        <v>43466</v>
      </c>
      <c r="G276" s="50">
        <v>43646</v>
      </c>
      <c r="H276" s="168"/>
      <c r="I276" s="91" t="s">
        <v>23</v>
      </c>
      <c r="J276" s="91" t="s">
        <v>23</v>
      </c>
      <c r="K276" s="13">
        <v>35.71</v>
      </c>
      <c r="L276" s="13">
        <v>1826.35</v>
      </c>
      <c r="M276" s="196" t="s">
        <v>427</v>
      </c>
    </row>
    <row r="277" spans="1:13" ht="15" customHeight="1" outlineLevel="1" x14ac:dyDescent="0.25">
      <c r="A277" s="147"/>
      <c r="B277" s="147"/>
      <c r="C277" s="147"/>
      <c r="D277" s="156"/>
      <c r="E277" s="156"/>
      <c r="F277" s="50">
        <v>43647</v>
      </c>
      <c r="G277" s="50">
        <v>43830</v>
      </c>
      <c r="H277" s="168"/>
      <c r="I277" s="91" t="s">
        <v>23</v>
      </c>
      <c r="J277" s="91" t="s">
        <v>23</v>
      </c>
      <c r="K277" s="13">
        <v>36.42</v>
      </c>
      <c r="L277" s="13">
        <v>1862.88</v>
      </c>
      <c r="M277" s="198"/>
    </row>
    <row r="278" spans="1:13" ht="15" customHeight="1" outlineLevel="1" x14ac:dyDescent="0.25">
      <c r="A278" s="146" t="s">
        <v>48</v>
      </c>
      <c r="B278" s="146" t="s">
        <v>367</v>
      </c>
      <c r="C278" s="146" t="s">
        <v>204</v>
      </c>
      <c r="D278" s="156">
        <f>Тепло!D128</f>
        <v>43448</v>
      </c>
      <c r="E278" s="156" t="str">
        <f>Тепло!E128</f>
        <v>400-п</v>
      </c>
      <c r="F278" s="12">
        <v>43466</v>
      </c>
      <c r="G278" s="12">
        <v>43646</v>
      </c>
      <c r="H278" s="168"/>
      <c r="I278" s="66">
        <v>50.46</v>
      </c>
      <c r="J278" s="13">
        <v>1965.37</v>
      </c>
      <c r="K278" s="15" t="s">
        <v>23</v>
      </c>
      <c r="L278" s="15" t="s">
        <v>23</v>
      </c>
      <c r="M278" s="183"/>
    </row>
    <row r="279" spans="1:13" ht="15" customHeight="1" outlineLevel="1" x14ac:dyDescent="0.25">
      <c r="A279" s="148"/>
      <c r="B279" s="148"/>
      <c r="C279" s="148"/>
      <c r="D279" s="156"/>
      <c r="E279" s="156"/>
      <c r="F279" s="12">
        <v>43647</v>
      </c>
      <c r="G279" s="12">
        <v>43830</v>
      </c>
      <c r="H279" s="168"/>
      <c r="I279" s="66">
        <v>156.32</v>
      </c>
      <c r="J279" s="13">
        <v>2004.68</v>
      </c>
      <c r="K279" s="15" t="s">
        <v>23</v>
      </c>
      <c r="L279" s="15" t="s">
        <v>23</v>
      </c>
      <c r="M279" s="183"/>
    </row>
    <row r="280" spans="1:13" ht="15" customHeight="1" outlineLevel="1" x14ac:dyDescent="0.25">
      <c r="A280" s="148"/>
      <c r="B280" s="148"/>
      <c r="C280" s="148"/>
      <c r="D280" s="156">
        <f>Тепло!D130</f>
        <v>43454</v>
      </c>
      <c r="E280" s="156" t="str">
        <f>Тепло!E130</f>
        <v>680-п</v>
      </c>
      <c r="F280" s="50">
        <v>43466</v>
      </c>
      <c r="G280" s="50">
        <v>43646</v>
      </c>
      <c r="H280" s="168"/>
      <c r="I280" s="15" t="s">
        <v>23</v>
      </c>
      <c r="J280" s="15" t="s">
        <v>23</v>
      </c>
      <c r="K280" s="13">
        <v>33.57</v>
      </c>
      <c r="L280" s="13">
        <v>1523.38</v>
      </c>
      <c r="M280" s="196" t="s">
        <v>420</v>
      </c>
    </row>
    <row r="281" spans="1:13" ht="15" customHeight="1" outlineLevel="1" x14ac:dyDescent="0.25">
      <c r="A281" s="148"/>
      <c r="B281" s="148"/>
      <c r="C281" s="148"/>
      <c r="D281" s="156"/>
      <c r="E281" s="156"/>
      <c r="F281" s="50">
        <v>43647</v>
      </c>
      <c r="G281" s="50">
        <v>43830</v>
      </c>
      <c r="H281" s="168"/>
      <c r="I281" s="15" t="s">
        <v>23</v>
      </c>
      <c r="J281" s="15" t="s">
        <v>23</v>
      </c>
      <c r="K281" s="13">
        <v>34.24</v>
      </c>
      <c r="L281" s="13">
        <v>1553.85</v>
      </c>
      <c r="M281" s="198"/>
    </row>
    <row r="282" spans="1:13" ht="15" customHeight="1" outlineLevel="1" x14ac:dyDescent="0.25">
      <c r="A282" s="148"/>
      <c r="B282" s="148"/>
      <c r="C282" s="148"/>
      <c r="D282" s="156"/>
      <c r="E282" s="156"/>
      <c r="F282" s="50">
        <v>43466</v>
      </c>
      <c r="G282" s="50">
        <v>43646</v>
      </c>
      <c r="H282" s="168"/>
      <c r="I282" s="15" t="s">
        <v>23</v>
      </c>
      <c r="J282" s="15" t="s">
        <v>23</v>
      </c>
      <c r="K282" s="13">
        <v>33.57</v>
      </c>
      <c r="L282" s="13">
        <v>1668.47</v>
      </c>
      <c r="M282" s="196" t="s">
        <v>421</v>
      </c>
    </row>
    <row r="283" spans="1:13" ht="15" customHeight="1" outlineLevel="1" x14ac:dyDescent="0.25">
      <c r="A283" s="148"/>
      <c r="B283" s="148"/>
      <c r="C283" s="148"/>
      <c r="D283" s="156"/>
      <c r="E283" s="156"/>
      <c r="F283" s="50">
        <v>43647</v>
      </c>
      <c r="G283" s="50">
        <v>43830</v>
      </c>
      <c r="H283" s="168"/>
      <c r="I283" s="15" t="s">
        <v>23</v>
      </c>
      <c r="J283" s="15" t="s">
        <v>23</v>
      </c>
      <c r="K283" s="13">
        <v>34.24</v>
      </c>
      <c r="L283" s="13">
        <v>1701.84</v>
      </c>
      <c r="M283" s="198"/>
    </row>
    <row r="284" spans="1:13" ht="15" customHeight="1" outlineLevel="1" x14ac:dyDescent="0.25">
      <c r="A284" s="148"/>
      <c r="B284" s="148"/>
      <c r="C284" s="148"/>
      <c r="D284" s="156"/>
      <c r="E284" s="156"/>
      <c r="F284" s="50">
        <v>43466</v>
      </c>
      <c r="G284" s="50">
        <v>43646</v>
      </c>
      <c r="H284" s="168"/>
      <c r="I284" s="15" t="s">
        <v>23</v>
      </c>
      <c r="J284" s="15" t="s">
        <v>23</v>
      </c>
      <c r="K284" s="13">
        <v>33.57</v>
      </c>
      <c r="L284" s="13">
        <v>1420.45</v>
      </c>
      <c r="M284" s="196" t="s">
        <v>422</v>
      </c>
    </row>
    <row r="285" spans="1:13" ht="15" customHeight="1" outlineLevel="1" x14ac:dyDescent="0.25">
      <c r="A285" s="148"/>
      <c r="B285" s="148"/>
      <c r="C285" s="148"/>
      <c r="D285" s="156"/>
      <c r="E285" s="156"/>
      <c r="F285" s="50">
        <v>43647</v>
      </c>
      <c r="G285" s="50">
        <v>43830</v>
      </c>
      <c r="H285" s="168"/>
      <c r="I285" s="15" t="s">
        <v>23</v>
      </c>
      <c r="J285" s="15" t="s">
        <v>23</v>
      </c>
      <c r="K285" s="13">
        <v>34.24</v>
      </c>
      <c r="L285" s="13">
        <v>1448.86</v>
      </c>
      <c r="M285" s="198"/>
    </row>
    <row r="286" spans="1:13" ht="15" customHeight="1" outlineLevel="1" x14ac:dyDescent="0.25">
      <c r="A286" s="148"/>
      <c r="B286" s="148"/>
      <c r="C286" s="148"/>
      <c r="D286" s="156"/>
      <c r="E286" s="156"/>
      <c r="F286" s="50">
        <v>43466</v>
      </c>
      <c r="G286" s="50">
        <v>43646</v>
      </c>
      <c r="H286" s="168"/>
      <c r="I286" s="15" t="s">
        <v>23</v>
      </c>
      <c r="J286" s="15" t="s">
        <v>23</v>
      </c>
      <c r="K286" s="13">
        <v>33.57</v>
      </c>
      <c r="L286" s="13">
        <v>1523.38</v>
      </c>
      <c r="M286" s="196" t="s">
        <v>423</v>
      </c>
    </row>
    <row r="287" spans="1:13" ht="15" customHeight="1" outlineLevel="1" x14ac:dyDescent="0.25">
      <c r="A287" s="148"/>
      <c r="B287" s="148"/>
      <c r="C287" s="148"/>
      <c r="D287" s="156"/>
      <c r="E287" s="156"/>
      <c r="F287" s="50">
        <v>43647</v>
      </c>
      <c r="G287" s="50">
        <v>43830</v>
      </c>
      <c r="H287" s="168"/>
      <c r="I287" s="15" t="s">
        <v>23</v>
      </c>
      <c r="J287" s="15" t="s">
        <v>23</v>
      </c>
      <c r="K287" s="13">
        <v>34.24</v>
      </c>
      <c r="L287" s="13">
        <v>1553.85</v>
      </c>
      <c r="M287" s="198"/>
    </row>
    <row r="288" spans="1:13" ht="15" customHeight="1" outlineLevel="1" x14ac:dyDescent="0.25">
      <c r="A288" s="148"/>
      <c r="B288" s="148"/>
      <c r="C288" s="148"/>
      <c r="D288" s="156"/>
      <c r="E288" s="156"/>
      <c r="F288" s="50">
        <v>43466</v>
      </c>
      <c r="G288" s="50">
        <v>43646</v>
      </c>
      <c r="H288" s="168"/>
      <c r="I288" s="15" t="s">
        <v>23</v>
      </c>
      <c r="J288" s="15" t="s">
        <v>23</v>
      </c>
      <c r="K288" s="13">
        <v>33.57</v>
      </c>
      <c r="L288" s="13">
        <v>1592.62</v>
      </c>
      <c r="M288" s="196" t="s">
        <v>424</v>
      </c>
    </row>
    <row r="289" spans="1:20" ht="15" customHeight="1" outlineLevel="1" x14ac:dyDescent="0.25">
      <c r="A289" s="148"/>
      <c r="B289" s="148"/>
      <c r="C289" s="148"/>
      <c r="D289" s="156"/>
      <c r="E289" s="156"/>
      <c r="F289" s="50">
        <v>43647</v>
      </c>
      <c r="G289" s="50">
        <v>43830</v>
      </c>
      <c r="H289" s="168"/>
      <c r="I289" s="15" t="s">
        <v>23</v>
      </c>
      <c r="J289" s="15" t="s">
        <v>23</v>
      </c>
      <c r="K289" s="13">
        <v>34.24</v>
      </c>
      <c r="L289" s="13">
        <v>1624.47</v>
      </c>
      <c r="M289" s="198"/>
    </row>
    <row r="290" spans="1:20" ht="15" customHeight="1" outlineLevel="1" x14ac:dyDescent="0.25">
      <c r="A290" s="148"/>
      <c r="B290" s="148"/>
      <c r="C290" s="148"/>
      <c r="D290" s="156"/>
      <c r="E290" s="156"/>
      <c r="F290" s="50">
        <v>43466</v>
      </c>
      <c r="G290" s="50">
        <v>43646</v>
      </c>
      <c r="H290" s="168"/>
      <c r="I290" s="15" t="s">
        <v>23</v>
      </c>
      <c r="J290" s="15" t="s">
        <v>23</v>
      </c>
      <c r="K290" s="13">
        <v>33.57</v>
      </c>
      <c r="L290" s="13">
        <v>1723.17</v>
      </c>
      <c r="M290" s="196" t="s">
        <v>425</v>
      </c>
    </row>
    <row r="291" spans="1:20" ht="15" customHeight="1" outlineLevel="1" x14ac:dyDescent="0.25">
      <c r="A291" s="148"/>
      <c r="B291" s="148"/>
      <c r="C291" s="148"/>
      <c r="D291" s="156"/>
      <c r="E291" s="156"/>
      <c r="F291" s="50">
        <v>43647</v>
      </c>
      <c r="G291" s="50">
        <v>43830</v>
      </c>
      <c r="H291" s="168"/>
      <c r="I291" s="15" t="s">
        <v>23</v>
      </c>
      <c r="J291" s="15" t="s">
        <v>23</v>
      </c>
      <c r="K291" s="13">
        <v>34.24</v>
      </c>
      <c r="L291" s="13">
        <v>1757.63</v>
      </c>
      <c r="M291" s="198"/>
    </row>
    <row r="292" spans="1:20" ht="15" customHeight="1" outlineLevel="1" x14ac:dyDescent="0.25">
      <c r="A292" s="148"/>
      <c r="B292" s="148"/>
      <c r="C292" s="148"/>
      <c r="D292" s="156"/>
      <c r="E292" s="156"/>
      <c r="F292" s="50">
        <v>43466</v>
      </c>
      <c r="G292" s="50">
        <v>43646</v>
      </c>
      <c r="H292" s="168"/>
      <c r="I292" s="15" t="s">
        <v>23</v>
      </c>
      <c r="J292" s="15" t="s">
        <v>23</v>
      </c>
      <c r="K292" s="13">
        <v>33.57</v>
      </c>
      <c r="L292" s="13">
        <v>1459.91</v>
      </c>
      <c r="M292" s="196" t="s">
        <v>426</v>
      </c>
      <c r="N292" s="55">
        <f>K292/1.2</f>
        <v>27.975000000000001</v>
      </c>
      <c r="O292" s="55">
        <f>L292/1.2</f>
        <v>1216.5916666666667</v>
      </c>
      <c r="P292" s="121">
        <f>I278-N292</f>
        <v>22.484999999999999</v>
      </c>
      <c r="Q292" s="57">
        <f>J278-O292</f>
        <v>748.77833333333319</v>
      </c>
      <c r="R292" s="57">
        <f>P292*2884.106</f>
        <v>64849.12341</v>
      </c>
      <c r="S292" s="58">
        <f>Q292*207.656</f>
        <v>155488.31358666666</v>
      </c>
      <c r="T292" s="55">
        <f>R292+S292</f>
        <v>220337.43699666666</v>
      </c>
    </row>
    <row r="293" spans="1:20" ht="15" customHeight="1" outlineLevel="1" x14ac:dyDescent="0.25">
      <c r="A293" s="148"/>
      <c r="B293" s="148"/>
      <c r="C293" s="148"/>
      <c r="D293" s="156"/>
      <c r="E293" s="156"/>
      <c r="F293" s="50">
        <v>43647</v>
      </c>
      <c r="G293" s="50">
        <v>43830</v>
      </c>
      <c r="H293" s="168"/>
      <c r="I293" s="15" t="s">
        <v>23</v>
      </c>
      <c r="J293" s="15" t="s">
        <v>23</v>
      </c>
      <c r="K293" s="13">
        <v>34.24</v>
      </c>
      <c r="L293" s="13">
        <v>1489.11</v>
      </c>
      <c r="M293" s="198"/>
      <c r="N293" s="55">
        <f t="shared" ref="N293:N294" si="0">K293/1.2</f>
        <v>28.533333333333335</v>
      </c>
      <c r="O293" s="55">
        <f t="shared" ref="O293:O294" si="1">L293/1.2</f>
        <v>1240.925</v>
      </c>
    </row>
    <row r="294" spans="1:20" ht="15" customHeight="1" outlineLevel="1" x14ac:dyDescent="0.25">
      <c r="A294" s="148"/>
      <c r="B294" s="148"/>
      <c r="C294" s="148"/>
      <c r="D294" s="156"/>
      <c r="E294" s="156"/>
      <c r="F294" s="50">
        <v>43466</v>
      </c>
      <c r="G294" s="50">
        <v>43646</v>
      </c>
      <c r="H294" s="168"/>
      <c r="I294" s="15" t="s">
        <v>23</v>
      </c>
      <c r="J294" s="15" t="s">
        <v>23</v>
      </c>
      <c r="K294" s="13">
        <v>33.57</v>
      </c>
      <c r="L294" s="13">
        <v>1592.62</v>
      </c>
      <c r="M294" s="196" t="s">
        <v>427</v>
      </c>
      <c r="N294" s="55">
        <f t="shared" si="0"/>
        <v>27.975000000000001</v>
      </c>
      <c r="O294" s="55">
        <f t="shared" si="1"/>
        <v>1327.1833333333334</v>
      </c>
      <c r="P294" s="121">
        <f>I278-N294</f>
        <v>22.484999999999999</v>
      </c>
      <c r="Q294" s="57">
        <f>J278-O294</f>
        <v>638.1866666666665</v>
      </c>
      <c r="R294" s="57">
        <f>P294*6124.404</f>
        <v>137707.22394</v>
      </c>
      <c r="S294" s="58">
        <f>Q294*404.205</f>
        <v>257958.24159999992</v>
      </c>
      <c r="T294" s="55">
        <f>R294+S294</f>
        <v>395665.46553999989</v>
      </c>
    </row>
    <row r="295" spans="1:20" ht="15" customHeight="1" outlineLevel="1" x14ac:dyDescent="0.25">
      <c r="A295" s="147"/>
      <c r="B295" s="147"/>
      <c r="C295" s="147"/>
      <c r="D295" s="156"/>
      <c r="E295" s="156"/>
      <c r="F295" s="50">
        <v>43647</v>
      </c>
      <c r="G295" s="50">
        <v>43830</v>
      </c>
      <c r="H295" s="168"/>
      <c r="I295" s="15" t="s">
        <v>23</v>
      </c>
      <c r="J295" s="15" t="s">
        <v>23</v>
      </c>
      <c r="K295" s="13">
        <v>34.24</v>
      </c>
      <c r="L295" s="13">
        <v>1624.47</v>
      </c>
      <c r="M295" s="198"/>
    </row>
    <row r="296" spans="1:20" ht="15" customHeight="1" outlineLevel="1" x14ac:dyDescent="0.25">
      <c r="A296" s="146" t="s">
        <v>48</v>
      </c>
      <c r="B296" s="146" t="s">
        <v>242</v>
      </c>
      <c r="C296" s="146" t="s">
        <v>210</v>
      </c>
      <c r="D296" s="156">
        <f>Тепло!D102</f>
        <v>43818</v>
      </c>
      <c r="E296" s="156" t="str">
        <f>Тепло!E102</f>
        <v>459-п</v>
      </c>
      <c r="F296" s="12">
        <v>43466</v>
      </c>
      <c r="G296" s="12">
        <v>43646</v>
      </c>
      <c r="H296" s="168"/>
      <c r="I296" s="66">
        <v>69.19</v>
      </c>
      <c r="J296" s="13">
        <v>1962.04</v>
      </c>
      <c r="K296" s="15" t="s">
        <v>23</v>
      </c>
      <c r="L296" s="15" t="s">
        <v>23</v>
      </c>
      <c r="M296" s="183"/>
    </row>
    <row r="297" spans="1:20" ht="15" customHeight="1" outlineLevel="1" x14ac:dyDescent="0.25">
      <c r="A297" s="148"/>
      <c r="B297" s="148"/>
      <c r="C297" s="148"/>
      <c r="D297" s="156"/>
      <c r="E297" s="156"/>
      <c r="F297" s="12">
        <v>43647</v>
      </c>
      <c r="G297" s="12">
        <v>43830</v>
      </c>
      <c r="H297" s="168"/>
      <c r="I297" s="66">
        <v>71.959999999999994</v>
      </c>
      <c r="J297" s="13">
        <v>2256.4299999999998</v>
      </c>
      <c r="K297" s="15" t="s">
        <v>23</v>
      </c>
      <c r="L297" s="15" t="s">
        <v>23</v>
      </c>
      <c r="M297" s="183"/>
    </row>
    <row r="298" spans="1:20" ht="15" customHeight="1" outlineLevel="1" x14ac:dyDescent="0.25">
      <c r="A298" s="148"/>
      <c r="B298" s="148"/>
      <c r="C298" s="148"/>
      <c r="D298" s="156">
        <f>Тепло!D104</f>
        <v>43454</v>
      </c>
      <c r="E298" s="156" t="str">
        <f>Тепло!E104</f>
        <v>680-п</v>
      </c>
      <c r="F298" s="50">
        <v>43466</v>
      </c>
      <c r="G298" s="50">
        <v>43646</v>
      </c>
      <c r="H298" s="168"/>
      <c r="I298" s="15" t="s">
        <v>23</v>
      </c>
      <c r="J298" s="15" t="s">
        <v>23</v>
      </c>
      <c r="K298" s="13">
        <v>39.869999999999997</v>
      </c>
      <c r="L298" s="13">
        <v>1262.44</v>
      </c>
      <c r="M298" s="196" t="s">
        <v>420</v>
      </c>
    </row>
    <row r="299" spans="1:20" ht="15" customHeight="1" outlineLevel="1" x14ac:dyDescent="0.25">
      <c r="A299" s="148"/>
      <c r="B299" s="148"/>
      <c r="C299" s="148"/>
      <c r="D299" s="156"/>
      <c r="E299" s="156"/>
      <c r="F299" s="50">
        <v>43647</v>
      </c>
      <c r="G299" s="50">
        <v>43830</v>
      </c>
      <c r="H299" s="168"/>
      <c r="I299" s="15" t="s">
        <v>23</v>
      </c>
      <c r="J299" s="15" t="s">
        <v>23</v>
      </c>
      <c r="K299" s="13">
        <v>45.85</v>
      </c>
      <c r="L299" s="13">
        <v>1451.81</v>
      </c>
      <c r="M299" s="198"/>
    </row>
    <row r="300" spans="1:20" ht="15" customHeight="1" outlineLevel="1" x14ac:dyDescent="0.25">
      <c r="A300" s="148"/>
      <c r="B300" s="148"/>
      <c r="C300" s="148"/>
      <c r="D300" s="156"/>
      <c r="E300" s="156"/>
      <c r="F300" s="50">
        <v>43466</v>
      </c>
      <c r="G300" s="50">
        <v>43646</v>
      </c>
      <c r="H300" s="168"/>
      <c r="I300" s="15" t="s">
        <v>23</v>
      </c>
      <c r="J300" s="15" t="s">
        <v>23</v>
      </c>
      <c r="K300" s="13">
        <v>39.869999999999997</v>
      </c>
      <c r="L300" s="13">
        <v>1382.66</v>
      </c>
      <c r="M300" s="196" t="s">
        <v>421</v>
      </c>
    </row>
    <row r="301" spans="1:20" ht="15" customHeight="1" outlineLevel="1" x14ac:dyDescent="0.25">
      <c r="A301" s="148"/>
      <c r="B301" s="148"/>
      <c r="C301" s="148"/>
      <c r="D301" s="156"/>
      <c r="E301" s="156"/>
      <c r="F301" s="50">
        <v>43647</v>
      </c>
      <c r="G301" s="50">
        <v>43830</v>
      </c>
      <c r="H301" s="168"/>
      <c r="I301" s="15" t="s">
        <v>23</v>
      </c>
      <c r="J301" s="15" t="s">
        <v>23</v>
      </c>
      <c r="K301" s="13">
        <v>45.85</v>
      </c>
      <c r="L301" s="13">
        <v>1590.06</v>
      </c>
      <c r="M301" s="198"/>
    </row>
    <row r="302" spans="1:20" ht="15" customHeight="1" outlineLevel="1" x14ac:dyDescent="0.25">
      <c r="A302" s="148"/>
      <c r="B302" s="148"/>
      <c r="C302" s="148"/>
      <c r="D302" s="156"/>
      <c r="E302" s="156"/>
      <c r="F302" s="50">
        <v>43466</v>
      </c>
      <c r="G302" s="50">
        <v>43646</v>
      </c>
      <c r="H302" s="168"/>
      <c r="I302" s="15" t="s">
        <v>23</v>
      </c>
      <c r="J302" s="15" t="s">
        <v>23</v>
      </c>
      <c r="K302" s="13">
        <v>39.869999999999997</v>
      </c>
      <c r="L302" s="13">
        <v>1177.1400000000001</v>
      </c>
      <c r="M302" s="196" t="s">
        <v>422</v>
      </c>
    </row>
    <row r="303" spans="1:20" ht="15" customHeight="1" outlineLevel="1" x14ac:dyDescent="0.25">
      <c r="A303" s="148"/>
      <c r="B303" s="148"/>
      <c r="C303" s="148"/>
      <c r="D303" s="156"/>
      <c r="E303" s="156"/>
      <c r="F303" s="50">
        <v>43647</v>
      </c>
      <c r="G303" s="50">
        <v>43830</v>
      </c>
      <c r="H303" s="168"/>
      <c r="I303" s="15" t="s">
        <v>23</v>
      </c>
      <c r="J303" s="15" t="s">
        <v>23</v>
      </c>
      <c r="K303" s="13">
        <v>45.85</v>
      </c>
      <c r="L303" s="13">
        <v>1353.71</v>
      </c>
      <c r="M303" s="198"/>
    </row>
    <row r="304" spans="1:20" ht="15" customHeight="1" outlineLevel="1" x14ac:dyDescent="0.25">
      <c r="A304" s="148"/>
      <c r="B304" s="148"/>
      <c r="C304" s="148"/>
      <c r="D304" s="156"/>
      <c r="E304" s="156"/>
      <c r="F304" s="50">
        <v>43466</v>
      </c>
      <c r="G304" s="50">
        <v>43646</v>
      </c>
      <c r="H304" s="168"/>
      <c r="I304" s="15" t="s">
        <v>23</v>
      </c>
      <c r="J304" s="15" t="s">
        <v>23</v>
      </c>
      <c r="K304" s="13">
        <v>39.869999999999997</v>
      </c>
      <c r="L304" s="13">
        <v>1262.44</v>
      </c>
      <c r="M304" s="196" t="s">
        <v>423</v>
      </c>
    </row>
    <row r="305" spans="1:20" ht="15" customHeight="1" outlineLevel="1" x14ac:dyDescent="0.25">
      <c r="A305" s="148"/>
      <c r="B305" s="148"/>
      <c r="C305" s="148"/>
      <c r="D305" s="156"/>
      <c r="E305" s="156"/>
      <c r="F305" s="50">
        <v>43647</v>
      </c>
      <c r="G305" s="50">
        <v>43830</v>
      </c>
      <c r="H305" s="168"/>
      <c r="I305" s="15" t="s">
        <v>23</v>
      </c>
      <c r="J305" s="15" t="s">
        <v>23</v>
      </c>
      <c r="K305" s="13">
        <v>45.85</v>
      </c>
      <c r="L305" s="13">
        <v>1451.81</v>
      </c>
      <c r="M305" s="198"/>
    </row>
    <row r="306" spans="1:20" ht="15" customHeight="1" outlineLevel="1" x14ac:dyDescent="0.25">
      <c r="A306" s="148"/>
      <c r="B306" s="148"/>
      <c r="C306" s="148"/>
      <c r="D306" s="156"/>
      <c r="E306" s="156"/>
      <c r="F306" s="50">
        <v>43466</v>
      </c>
      <c r="G306" s="50">
        <v>43646</v>
      </c>
      <c r="H306" s="168"/>
      <c r="I306" s="15" t="s">
        <v>23</v>
      </c>
      <c r="J306" s="15" t="s">
        <v>23</v>
      </c>
      <c r="K306" s="13">
        <v>39.869999999999997</v>
      </c>
      <c r="L306" s="13">
        <v>1319.82</v>
      </c>
      <c r="M306" s="196" t="s">
        <v>424</v>
      </c>
      <c r="N306" s="55">
        <f>L306/1.2</f>
        <v>1099.8499999999999</v>
      </c>
    </row>
    <row r="307" spans="1:20" ht="15" customHeight="1" outlineLevel="1" x14ac:dyDescent="0.25">
      <c r="A307" s="148"/>
      <c r="B307" s="148"/>
      <c r="C307" s="148"/>
      <c r="D307" s="156"/>
      <c r="E307" s="156"/>
      <c r="F307" s="50">
        <v>43647</v>
      </c>
      <c r="G307" s="50">
        <v>43830</v>
      </c>
      <c r="H307" s="168"/>
      <c r="I307" s="15" t="s">
        <v>23</v>
      </c>
      <c r="J307" s="15" t="s">
        <v>23</v>
      </c>
      <c r="K307" s="13">
        <v>45.85</v>
      </c>
      <c r="L307" s="13">
        <v>1517.79</v>
      </c>
      <c r="M307" s="198"/>
    </row>
    <row r="308" spans="1:20" ht="15" customHeight="1" outlineLevel="1" x14ac:dyDescent="0.25">
      <c r="A308" s="148"/>
      <c r="B308" s="148"/>
      <c r="C308" s="148"/>
      <c r="D308" s="156"/>
      <c r="E308" s="156"/>
      <c r="F308" s="50">
        <v>43466</v>
      </c>
      <c r="G308" s="50">
        <v>43646</v>
      </c>
      <c r="H308" s="168"/>
      <c r="I308" s="15" t="s">
        <v>23</v>
      </c>
      <c r="J308" s="15" t="s">
        <v>23</v>
      </c>
      <c r="K308" s="13">
        <v>39.869999999999997</v>
      </c>
      <c r="L308" s="13">
        <v>1428</v>
      </c>
      <c r="M308" s="196" t="s">
        <v>425</v>
      </c>
    </row>
    <row r="309" spans="1:20" ht="15" customHeight="1" outlineLevel="1" x14ac:dyDescent="0.25">
      <c r="A309" s="148"/>
      <c r="B309" s="148"/>
      <c r="C309" s="148"/>
      <c r="D309" s="156"/>
      <c r="E309" s="156"/>
      <c r="F309" s="50">
        <v>43647</v>
      </c>
      <c r="G309" s="50">
        <v>43830</v>
      </c>
      <c r="H309" s="168"/>
      <c r="I309" s="15" t="s">
        <v>23</v>
      </c>
      <c r="J309" s="15" t="s">
        <v>23</v>
      </c>
      <c r="K309" s="13">
        <v>45.85</v>
      </c>
      <c r="L309" s="13">
        <v>1642.2</v>
      </c>
      <c r="M309" s="198"/>
    </row>
    <row r="310" spans="1:20" ht="15" customHeight="1" outlineLevel="1" x14ac:dyDescent="0.25">
      <c r="A310" s="148"/>
      <c r="B310" s="148"/>
      <c r="C310" s="148"/>
      <c r="D310" s="156"/>
      <c r="E310" s="156"/>
      <c r="F310" s="50">
        <v>43466</v>
      </c>
      <c r="G310" s="50">
        <v>43646</v>
      </c>
      <c r="H310" s="168"/>
      <c r="I310" s="15" t="s">
        <v>23</v>
      </c>
      <c r="J310" s="15" t="s">
        <v>23</v>
      </c>
      <c r="K310" s="13">
        <v>39.869999999999997</v>
      </c>
      <c r="L310" s="13">
        <v>1209.83</v>
      </c>
      <c r="M310" s="196" t="s">
        <v>426</v>
      </c>
      <c r="N310" s="55">
        <f>K310/1.2</f>
        <v>33.225000000000001</v>
      </c>
      <c r="O310" s="55">
        <f>L310/1.2</f>
        <v>1008.1916666666666</v>
      </c>
      <c r="P310" s="121">
        <f>I296-N310</f>
        <v>35.964999999999996</v>
      </c>
      <c r="Q310" s="57">
        <f>J296-O310</f>
        <v>953.84833333333336</v>
      </c>
      <c r="R310" s="57">
        <f>P310*3785</f>
        <v>136127.52499999999</v>
      </c>
      <c r="S310" s="58">
        <f>Q310*272.52</f>
        <v>259942.74779999998</v>
      </c>
      <c r="T310" s="55">
        <f>R310+S310</f>
        <v>396070.27279999998</v>
      </c>
    </row>
    <row r="311" spans="1:20" ht="15" customHeight="1" outlineLevel="1" x14ac:dyDescent="0.25">
      <c r="A311" s="148"/>
      <c r="B311" s="148"/>
      <c r="C311" s="148"/>
      <c r="D311" s="156"/>
      <c r="E311" s="156"/>
      <c r="F311" s="50">
        <v>43647</v>
      </c>
      <c r="G311" s="50">
        <v>43830</v>
      </c>
      <c r="H311" s="168"/>
      <c r="I311" s="15" t="s">
        <v>23</v>
      </c>
      <c r="J311" s="15" t="s">
        <v>23</v>
      </c>
      <c r="K311" s="13">
        <v>45.85</v>
      </c>
      <c r="L311" s="13">
        <v>1391.3</v>
      </c>
      <c r="M311" s="198"/>
    </row>
    <row r="312" spans="1:20" ht="15" customHeight="1" outlineLevel="1" x14ac:dyDescent="0.25">
      <c r="A312" s="148"/>
      <c r="B312" s="148"/>
      <c r="C312" s="148"/>
      <c r="D312" s="156"/>
      <c r="E312" s="156"/>
      <c r="F312" s="50">
        <v>43466</v>
      </c>
      <c r="G312" s="50">
        <v>43646</v>
      </c>
      <c r="H312" s="168"/>
      <c r="I312" s="15" t="s">
        <v>23</v>
      </c>
      <c r="J312" s="15" t="s">
        <v>23</v>
      </c>
      <c r="K312" s="13">
        <v>39.869999999999997</v>
      </c>
      <c r="L312" s="13">
        <v>1319.8</v>
      </c>
      <c r="M312" s="196" t="s">
        <v>427</v>
      </c>
      <c r="N312" s="55">
        <f>K312/1.2</f>
        <v>33.225000000000001</v>
      </c>
      <c r="O312" s="55">
        <f>L312/1.2</f>
        <v>1099.8333333333333</v>
      </c>
      <c r="P312" s="121">
        <f>I296-N312</f>
        <v>35.964999999999996</v>
      </c>
      <c r="Q312" s="57">
        <f>J296-O312</f>
        <v>862.20666666666671</v>
      </c>
      <c r="R312" s="57">
        <f>P312*2111</f>
        <v>75922.114999999991</v>
      </c>
      <c r="S312" s="58">
        <f>Q312*139.326</f>
        <v>120127.80604</v>
      </c>
      <c r="T312" s="55">
        <f>R312+S312</f>
        <v>196049.92103999999</v>
      </c>
    </row>
    <row r="313" spans="1:20" ht="15" customHeight="1" outlineLevel="1" x14ac:dyDescent="0.25">
      <c r="A313" s="147"/>
      <c r="B313" s="147"/>
      <c r="C313" s="147"/>
      <c r="D313" s="156"/>
      <c r="E313" s="156"/>
      <c r="F313" s="50">
        <v>43647</v>
      </c>
      <c r="G313" s="50">
        <v>43830</v>
      </c>
      <c r="H313" s="168"/>
      <c r="I313" s="15" t="s">
        <v>23</v>
      </c>
      <c r="J313" s="15" t="s">
        <v>23</v>
      </c>
      <c r="K313" s="13">
        <v>45.85</v>
      </c>
      <c r="L313" s="13">
        <v>1517.77</v>
      </c>
      <c r="M313" s="198"/>
    </row>
    <row r="314" spans="1:20" ht="15" customHeight="1" outlineLevel="1" x14ac:dyDescent="0.25">
      <c r="A314" s="146" t="s">
        <v>48</v>
      </c>
      <c r="B314" s="146" t="s">
        <v>240</v>
      </c>
      <c r="C314" s="146" t="s">
        <v>271</v>
      </c>
      <c r="D314" s="156">
        <v>43427</v>
      </c>
      <c r="E314" s="156" t="s">
        <v>605</v>
      </c>
      <c r="F314" s="12">
        <v>43466</v>
      </c>
      <c r="G314" s="12">
        <v>43646</v>
      </c>
      <c r="H314" s="168"/>
      <c r="I314" s="66">
        <v>53.82</v>
      </c>
      <c r="J314" s="13">
        <v>2102.63</v>
      </c>
      <c r="K314" s="15" t="s">
        <v>23</v>
      </c>
      <c r="L314" s="15" t="s">
        <v>23</v>
      </c>
      <c r="M314" s="183"/>
    </row>
    <row r="315" spans="1:20" ht="15" customHeight="1" outlineLevel="1" x14ac:dyDescent="0.25">
      <c r="A315" s="148"/>
      <c r="B315" s="148"/>
      <c r="C315" s="148"/>
      <c r="D315" s="156"/>
      <c r="E315" s="156"/>
      <c r="F315" s="12">
        <v>43647</v>
      </c>
      <c r="G315" s="12">
        <v>43830</v>
      </c>
      <c r="H315" s="168"/>
      <c r="I315" s="66">
        <v>53.82</v>
      </c>
      <c r="J315" s="13">
        <v>2144.69</v>
      </c>
      <c r="K315" s="15" t="s">
        <v>23</v>
      </c>
      <c r="L315" s="15" t="s">
        <v>23</v>
      </c>
      <c r="M315" s="183"/>
    </row>
    <row r="316" spans="1:20" ht="15" customHeight="1" outlineLevel="1" x14ac:dyDescent="0.25">
      <c r="A316" s="148"/>
      <c r="B316" s="148"/>
      <c r="C316" s="148"/>
      <c r="D316" s="156">
        <v>43454</v>
      </c>
      <c r="E316" s="156" t="s">
        <v>606</v>
      </c>
      <c r="F316" s="50">
        <v>43466</v>
      </c>
      <c r="G316" s="50">
        <v>43646</v>
      </c>
      <c r="H316" s="168"/>
      <c r="I316" s="15" t="s">
        <v>23</v>
      </c>
      <c r="J316" s="15" t="s">
        <v>23</v>
      </c>
      <c r="K316" s="13">
        <v>40.799999999999997</v>
      </c>
      <c r="L316" s="13">
        <v>1403.38</v>
      </c>
      <c r="M316" s="196" t="s">
        <v>420</v>
      </c>
    </row>
    <row r="317" spans="1:20" ht="15" customHeight="1" outlineLevel="1" x14ac:dyDescent="0.25">
      <c r="A317" s="148"/>
      <c r="B317" s="148"/>
      <c r="C317" s="148"/>
      <c r="D317" s="156"/>
      <c r="E317" s="156"/>
      <c r="F317" s="50">
        <v>43647</v>
      </c>
      <c r="G317" s="50">
        <v>43830</v>
      </c>
      <c r="H317" s="168"/>
      <c r="I317" s="15" t="s">
        <v>23</v>
      </c>
      <c r="J317" s="15" t="s">
        <v>23</v>
      </c>
      <c r="K317" s="13">
        <v>41.62</v>
      </c>
      <c r="L317" s="13">
        <v>1431.3043478260868</v>
      </c>
      <c r="M317" s="198"/>
    </row>
    <row r="318" spans="1:20" ht="15" customHeight="1" outlineLevel="1" x14ac:dyDescent="0.25">
      <c r="A318" s="148"/>
      <c r="B318" s="148"/>
      <c r="C318" s="148"/>
      <c r="D318" s="156"/>
      <c r="E318" s="156"/>
      <c r="F318" s="50">
        <v>43466</v>
      </c>
      <c r="G318" s="50">
        <v>43646</v>
      </c>
      <c r="H318" s="168"/>
      <c r="I318" s="15" t="s">
        <v>23</v>
      </c>
      <c r="J318" s="15" t="s">
        <v>23</v>
      </c>
      <c r="K318" s="13">
        <v>40.799999999999997</v>
      </c>
      <c r="L318" s="13">
        <v>1537.04</v>
      </c>
      <c r="M318" s="196" t="s">
        <v>421</v>
      </c>
    </row>
    <row r="319" spans="1:20" ht="15" customHeight="1" outlineLevel="1" x14ac:dyDescent="0.25">
      <c r="A319" s="148"/>
      <c r="B319" s="148"/>
      <c r="C319" s="148"/>
      <c r="D319" s="156"/>
      <c r="E319" s="156"/>
      <c r="F319" s="50">
        <v>43647</v>
      </c>
      <c r="G319" s="50">
        <v>43830</v>
      </c>
      <c r="H319" s="168"/>
      <c r="I319" s="15" t="s">
        <v>23</v>
      </c>
      <c r="J319" s="15" t="s">
        <v>23</v>
      </c>
      <c r="K319" s="13">
        <v>41.62</v>
      </c>
      <c r="L319" s="13">
        <v>1567.6190476190475</v>
      </c>
      <c r="M319" s="198"/>
    </row>
    <row r="320" spans="1:20" ht="15" customHeight="1" outlineLevel="1" x14ac:dyDescent="0.25">
      <c r="A320" s="148"/>
      <c r="B320" s="148"/>
      <c r="C320" s="148"/>
      <c r="D320" s="156"/>
      <c r="E320" s="156"/>
      <c r="F320" s="50">
        <v>43466</v>
      </c>
      <c r="G320" s="50">
        <v>43646</v>
      </c>
      <c r="H320" s="168"/>
      <c r="I320" s="15" t="s">
        <v>23</v>
      </c>
      <c r="J320" s="15" t="s">
        <v>23</v>
      </c>
      <c r="K320" s="13">
        <v>40.799999999999997</v>
      </c>
      <c r="L320" s="13">
        <v>1308.56</v>
      </c>
      <c r="M320" s="196" t="s">
        <v>422</v>
      </c>
    </row>
    <row r="321" spans="1:13" ht="15" customHeight="1" outlineLevel="1" x14ac:dyDescent="0.25">
      <c r="A321" s="148"/>
      <c r="B321" s="148"/>
      <c r="C321" s="148"/>
      <c r="D321" s="156"/>
      <c r="E321" s="156"/>
      <c r="F321" s="50">
        <v>43647</v>
      </c>
      <c r="G321" s="50">
        <v>43830</v>
      </c>
      <c r="H321" s="168"/>
      <c r="I321" s="15" t="s">
        <v>23</v>
      </c>
      <c r="J321" s="15" t="s">
        <v>23</v>
      </c>
      <c r="K321" s="13">
        <v>41.62</v>
      </c>
      <c r="L321" s="13">
        <v>1334.5945945945946</v>
      </c>
      <c r="M321" s="198"/>
    </row>
    <row r="322" spans="1:13" ht="15" customHeight="1" outlineLevel="1" x14ac:dyDescent="0.25">
      <c r="A322" s="148"/>
      <c r="B322" s="148"/>
      <c r="C322" s="148"/>
      <c r="D322" s="156"/>
      <c r="E322" s="156"/>
      <c r="F322" s="50">
        <v>43466</v>
      </c>
      <c r="G322" s="50">
        <v>43646</v>
      </c>
      <c r="H322" s="168"/>
      <c r="I322" s="15" t="s">
        <v>23</v>
      </c>
      <c r="J322" s="15" t="s">
        <v>23</v>
      </c>
      <c r="K322" s="13">
        <v>40.799999999999997</v>
      </c>
      <c r="L322" s="13">
        <v>1403.38</v>
      </c>
      <c r="M322" s="196" t="s">
        <v>423</v>
      </c>
    </row>
    <row r="323" spans="1:13" ht="15" customHeight="1" outlineLevel="1" x14ac:dyDescent="0.25">
      <c r="A323" s="148"/>
      <c r="B323" s="148"/>
      <c r="C323" s="148"/>
      <c r="D323" s="156"/>
      <c r="E323" s="156"/>
      <c r="F323" s="50">
        <v>43647</v>
      </c>
      <c r="G323" s="50">
        <v>43830</v>
      </c>
      <c r="H323" s="168"/>
      <c r="I323" s="15" t="s">
        <v>23</v>
      </c>
      <c r="J323" s="15" t="s">
        <v>23</v>
      </c>
      <c r="K323" s="13">
        <v>41.62</v>
      </c>
      <c r="L323" s="13">
        <v>1431.3043478260868</v>
      </c>
      <c r="M323" s="198"/>
    </row>
    <row r="324" spans="1:13" ht="15" customHeight="1" outlineLevel="1" x14ac:dyDescent="0.25">
      <c r="A324" s="148"/>
      <c r="B324" s="148"/>
      <c r="C324" s="148"/>
      <c r="D324" s="156"/>
      <c r="E324" s="156"/>
      <c r="F324" s="50">
        <v>43466</v>
      </c>
      <c r="G324" s="50">
        <v>43646</v>
      </c>
      <c r="H324" s="168"/>
      <c r="I324" s="15" t="s">
        <v>23</v>
      </c>
      <c r="J324" s="15" t="s">
        <v>23</v>
      </c>
      <c r="K324" s="13">
        <v>40.799999999999997</v>
      </c>
      <c r="L324" s="13">
        <v>1467.17</v>
      </c>
      <c r="M324" s="196" t="s">
        <v>424</v>
      </c>
    </row>
    <row r="325" spans="1:13" ht="15" customHeight="1" outlineLevel="1" x14ac:dyDescent="0.25">
      <c r="A325" s="148"/>
      <c r="B325" s="148"/>
      <c r="C325" s="148"/>
      <c r="D325" s="156"/>
      <c r="E325" s="156"/>
      <c r="F325" s="50">
        <v>43647</v>
      </c>
      <c r="G325" s="50">
        <v>43830</v>
      </c>
      <c r="H325" s="168"/>
      <c r="I325" s="15" t="s">
        <v>23</v>
      </c>
      <c r="J325" s="15" t="s">
        <v>23</v>
      </c>
      <c r="K325" s="13">
        <v>41.62</v>
      </c>
      <c r="L325" s="13">
        <v>1496.3636363636363</v>
      </c>
      <c r="M325" s="198"/>
    </row>
    <row r="326" spans="1:13" ht="15" customHeight="1" outlineLevel="1" x14ac:dyDescent="0.25">
      <c r="A326" s="148"/>
      <c r="B326" s="148"/>
      <c r="C326" s="148"/>
      <c r="D326" s="156"/>
      <c r="E326" s="156"/>
      <c r="F326" s="50">
        <v>43466</v>
      </c>
      <c r="G326" s="50">
        <v>43646</v>
      </c>
      <c r="H326" s="168"/>
      <c r="I326" s="15" t="s">
        <v>23</v>
      </c>
      <c r="J326" s="15" t="s">
        <v>23</v>
      </c>
      <c r="K326" s="13">
        <v>40.799999999999997</v>
      </c>
      <c r="L326" s="13">
        <v>1587.43</v>
      </c>
      <c r="M326" s="196" t="s">
        <v>425</v>
      </c>
    </row>
    <row r="327" spans="1:13" ht="15" customHeight="1" outlineLevel="1" x14ac:dyDescent="0.25">
      <c r="A327" s="148"/>
      <c r="B327" s="148"/>
      <c r="C327" s="148"/>
      <c r="D327" s="156"/>
      <c r="E327" s="156"/>
      <c r="F327" s="50">
        <v>43647</v>
      </c>
      <c r="G327" s="50">
        <v>43830</v>
      </c>
      <c r="H327" s="168"/>
      <c r="I327" s="15" t="s">
        <v>23</v>
      </c>
      <c r="J327" s="15" t="s">
        <v>23</v>
      </c>
      <c r="K327" s="13">
        <v>41.62</v>
      </c>
      <c r="L327" s="13">
        <v>1619.0163934426228</v>
      </c>
      <c r="M327" s="198"/>
    </row>
    <row r="328" spans="1:13" ht="15" customHeight="1" outlineLevel="1" x14ac:dyDescent="0.25">
      <c r="A328" s="148"/>
      <c r="B328" s="148"/>
      <c r="C328" s="148"/>
      <c r="D328" s="156"/>
      <c r="E328" s="156"/>
      <c r="F328" s="50">
        <v>43466</v>
      </c>
      <c r="G328" s="50">
        <v>43646</v>
      </c>
      <c r="H328" s="168"/>
      <c r="I328" s="15" t="s">
        <v>23</v>
      </c>
      <c r="J328" s="15" t="s">
        <v>23</v>
      </c>
      <c r="K328" s="13">
        <v>40.799999999999997</v>
      </c>
      <c r="L328" s="13">
        <v>1344.91</v>
      </c>
      <c r="M328" s="196" t="s">
        <v>426</v>
      </c>
    </row>
    <row r="329" spans="1:13" ht="15" customHeight="1" outlineLevel="1" x14ac:dyDescent="0.25">
      <c r="A329" s="148"/>
      <c r="B329" s="148"/>
      <c r="C329" s="148"/>
      <c r="D329" s="156"/>
      <c r="E329" s="156"/>
      <c r="F329" s="50">
        <v>43647</v>
      </c>
      <c r="G329" s="50">
        <v>43830</v>
      </c>
      <c r="H329" s="168"/>
      <c r="I329" s="15" t="s">
        <v>23</v>
      </c>
      <c r="J329" s="15" t="s">
        <v>23</v>
      </c>
      <c r="K329" s="13">
        <v>41.62</v>
      </c>
      <c r="L329" s="13">
        <v>1371.6666666666667</v>
      </c>
      <c r="M329" s="198"/>
    </row>
    <row r="330" spans="1:13" ht="15" customHeight="1" outlineLevel="1" x14ac:dyDescent="0.25">
      <c r="A330" s="148"/>
      <c r="B330" s="148"/>
      <c r="C330" s="148"/>
      <c r="D330" s="156"/>
      <c r="E330" s="156"/>
      <c r="F330" s="50">
        <v>43466</v>
      </c>
      <c r="G330" s="50">
        <v>43646</v>
      </c>
      <c r="H330" s="168"/>
      <c r="I330" s="15" t="s">
        <v>23</v>
      </c>
      <c r="J330" s="15" t="s">
        <v>23</v>
      </c>
      <c r="K330" s="13">
        <v>40.799999999999997</v>
      </c>
      <c r="L330" s="13">
        <v>1467.17</v>
      </c>
      <c r="M330" s="196" t="s">
        <v>427</v>
      </c>
    </row>
    <row r="331" spans="1:13" ht="15" customHeight="1" outlineLevel="1" x14ac:dyDescent="0.25">
      <c r="A331" s="147"/>
      <c r="B331" s="147"/>
      <c r="C331" s="147"/>
      <c r="D331" s="156"/>
      <c r="E331" s="156"/>
      <c r="F331" s="50">
        <v>43647</v>
      </c>
      <c r="G331" s="50">
        <v>43830</v>
      </c>
      <c r="H331" s="168"/>
      <c r="I331" s="15" t="s">
        <v>23</v>
      </c>
      <c r="J331" s="15" t="s">
        <v>23</v>
      </c>
      <c r="K331" s="13">
        <v>41.62</v>
      </c>
      <c r="L331" s="13">
        <v>1496.3636363636363</v>
      </c>
      <c r="M331" s="198"/>
    </row>
    <row r="332" spans="1:13" ht="15" customHeight="1" outlineLevel="1" x14ac:dyDescent="0.25">
      <c r="A332" s="146" t="s">
        <v>48</v>
      </c>
      <c r="B332" s="146" t="s">
        <v>325</v>
      </c>
      <c r="C332" s="146" t="s">
        <v>247</v>
      </c>
      <c r="D332" s="156">
        <v>43447</v>
      </c>
      <c r="E332" s="156" t="s">
        <v>608</v>
      </c>
      <c r="F332" s="12">
        <v>43466</v>
      </c>
      <c r="G332" s="12">
        <v>43646</v>
      </c>
      <c r="H332" s="168"/>
      <c r="I332" s="66">
        <v>39.119999999999997</v>
      </c>
      <c r="J332" s="13">
        <v>1860.49</v>
      </c>
      <c r="K332" s="15" t="s">
        <v>23</v>
      </c>
      <c r="L332" s="15" t="s">
        <v>23</v>
      </c>
      <c r="M332" s="183"/>
    </row>
    <row r="333" spans="1:13" ht="15" customHeight="1" outlineLevel="1" x14ac:dyDescent="0.25">
      <c r="A333" s="148"/>
      <c r="B333" s="148"/>
      <c r="C333" s="148"/>
      <c r="D333" s="156"/>
      <c r="E333" s="156"/>
      <c r="F333" s="12">
        <v>43647</v>
      </c>
      <c r="G333" s="12">
        <v>43830</v>
      </c>
      <c r="H333" s="168"/>
      <c r="I333" s="66">
        <v>39.119999999999997</v>
      </c>
      <c r="J333" s="13">
        <v>1955.84</v>
      </c>
      <c r="K333" s="15" t="s">
        <v>23</v>
      </c>
      <c r="L333" s="15" t="s">
        <v>23</v>
      </c>
      <c r="M333" s="183"/>
    </row>
    <row r="334" spans="1:13" ht="15" customHeight="1" outlineLevel="1" x14ac:dyDescent="0.25">
      <c r="A334" s="148"/>
      <c r="B334" s="148"/>
      <c r="C334" s="148"/>
      <c r="D334" s="156">
        <v>43454</v>
      </c>
      <c r="E334" s="156" t="s">
        <v>606</v>
      </c>
      <c r="F334" s="50">
        <v>43466</v>
      </c>
      <c r="G334" s="50">
        <v>43646</v>
      </c>
      <c r="H334" s="168"/>
      <c r="I334" s="15" t="s">
        <v>23</v>
      </c>
      <c r="J334" s="15" t="s">
        <v>23</v>
      </c>
      <c r="K334" s="13">
        <v>26.96</v>
      </c>
      <c r="L334" s="13">
        <v>1780.54</v>
      </c>
      <c r="M334" s="196" t="s">
        <v>420</v>
      </c>
    </row>
    <row r="335" spans="1:13" ht="15" customHeight="1" outlineLevel="1" x14ac:dyDescent="0.25">
      <c r="A335" s="148"/>
      <c r="B335" s="148"/>
      <c r="C335" s="148"/>
      <c r="D335" s="156"/>
      <c r="E335" s="156"/>
      <c r="F335" s="50">
        <v>43647</v>
      </c>
      <c r="G335" s="50">
        <v>43830</v>
      </c>
      <c r="H335" s="168"/>
      <c r="I335" s="15" t="s">
        <v>23</v>
      </c>
      <c r="J335" s="15" t="s">
        <v>23</v>
      </c>
      <c r="K335" s="13">
        <v>27.5</v>
      </c>
      <c r="L335" s="13">
        <v>1816.15</v>
      </c>
      <c r="M335" s="198"/>
    </row>
    <row r="336" spans="1:13" ht="15" customHeight="1" outlineLevel="1" x14ac:dyDescent="0.25">
      <c r="A336" s="148"/>
      <c r="B336" s="148"/>
      <c r="C336" s="148"/>
      <c r="D336" s="156"/>
      <c r="E336" s="156"/>
      <c r="F336" s="50">
        <v>43466</v>
      </c>
      <c r="G336" s="50">
        <v>43646</v>
      </c>
      <c r="H336" s="168"/>
      <c r="I336" s="15" t="s">
        <v>23</v>
      </c>
      <c r="J336" s="15" t="s">
        <v>23</v>
      </c>
      <c r="K336" s="13">
        <v>26.96</v>
      </c>
      <c r="L336" s="13">
        <v>1950.11</v>
      </c>
      <c r="M336" s="196" t="s">
        <v>421</v>
      </c>
    </row>
    <row r="337" spans="1:13" ht="15" customHeight="1" outlineLevel="1" x14ac:dyDescent="0.25">
      <c r="A337" s="148"/>
      <c r="B337" s="148"/>
      <c r="C337" s="148"/>
      <c r="D337" s="156"/>
      <c r="E337" s="156"/>
      <c r="F337" s="50">
        <v>43647</v>
      </c>
      <c r="G337" s="50">
        <v>43830</v>
      </c>
      <c r="H337" s="168"/>
      <c r="I337" s="15" t="s">
        <v>23</v>
      </c>
      <c r="J337" s="15" t="s">
        <v>23</v>
      </c>
      <c r="K337" s="13">
        <v>27.5</v>
      </c>
      <c r="L337" s="13">
        <v>1989.11</v>
      </c>
      <c r="M337" s="198"/>
    </row>
    <row r="338" spans="1:13" ht="15" customHeight="1" outlineLevel="1" x14ac:dyDescent="0.25">
      <c r="A338" s="148"/>
      <c r="B338" s="148"/>
      <c r="C338" s="148"/>
      <c r="D338" s="156"/>
      <c r="E338" s="156"/>
      <c r="F338" s="50">
        <v>43466</v>
      </c>
      <c r="G338" s="50">
        <v>43646</v>
      </c>
      <c r="H338" s="168"/>
      <c r="I338" s="15" t="s">
        <v>23</v>
      </c>
      <c r="J338" s="15" t="s">
        <v>23</v>
      </c>
      <c r="K338" s="13">
        <v>26.96</v>
      </c>
      <c r="L338" s="13">
        <v>1660.23</v>
      </c>
      <c r="M338" s="196" t="s">
        <v>422</v>
      </c>
    </row>
    <row r="339" spans="1:13" ht="15" customHeight="1" outlineLevel="1" x14ac:dyDescent="0.25">
      <c r="A339" s="148"/>
      <c r="B339" s="148"/>
      <c r="C339" s="148"/>
      <c r="D339" s="156"/>
      <c r="E339" s="156"/>
      <c r="F339" s="50">
        <v>43647</v>
      </c>
      <c r="G339" s="50">
        <v>43830</v>
      </c>
      <c r="H339" s="168"/>
      <c r="I339" s="15" t="s">
        <v>23</v>
      </c>
      <c r="J339" s="15" t="s">
        <v>23</v>
      </c>
      <c r="K339" s="13">
        <v>27.5</v>
      </c>
      <c r="L339" s="13">
        <v>1693.43</v>
      </c>
      <c r="M339" s="198"/>
    </row>
    <row r="340" spans="1:13" ht="15" customHeight="1" outlineLevel="1" x14ac:dyDescent="0.25">
      <c r="A340" s="148"/>
      <c r="B340" s="148"/>
      <c r="C340" s="148"/>
      <c r="D340" s="156"/>
      <c r="E340" s="156"/>
      <c r="F340" s="50">
        <v>43466</v>
      </c>
      <c r="G340" s="50">
        <v>43646</v>
      </c>
      <c r="H340" s="168"/>
      <c r="I340" s="15" t="s">
        <v>23</v>
      </c>
      <c r="J340" s="15" t="s">
        <v>23</v>
      </c>
      <c r="K340" s="13">
        <v>26.96</v>
      </c>
      <c r="L340" s="13">
        <v>1780.54</v>
      </c>
      <c r="M340" s="196" t="s">
        <v>423</v>
      </c>
    </row>
    <row r="341" spans="1:13" ht="15" customHeight="1" outlineLevel="1" x14ac:dyDescent="0.25">
      <c r="A341" s="148"/>
      <c r="B341" s="148"/>
      <c r="C341" s="148"/>
      <c r="D341" s="156"/>
      <c r="E341" s="156"/>
      <c r="F341" s="50">
        <v>43647</v>
      </c>
      <c r="G341" s="50">
        <v>43830</v>
      </c>
      <c r="H341" s="168"/>
      <c r="I341" s="15" t="s">
        <v>23</v>
      </c>
      <c r="J341" s="15" t="s">
        <v>23</v>
      </c>
      <c r="K341" s="13">
        <v>27.5</v>
      </c>
      <c r="L341" s="13">
        <v>1816.15</v>
      </c>
      <c r="M341" s="198"/>
    </row>
    <row r="342" spans="1:13" ht="15" customHeight="1" outlineLevel="1" x14ac:dyDescent="0.25">
      <c r="A342" s="148"/>
      <c r="B342" s="148"/>
      <c r="C342" s="148"/>
      <c r="D342" s="156"/>
      <c r="E342" s="156"/>
      <c r="F342" s="50">
        <v>43466</v>
      </c>
      <c r="G342" s="50">
        <v>43646</v>
      </c>
      <c r="H342" s="168"/>
      <c r="I342" s="15" t="s">
        <v>23</v>
      </c>
      <c r="J342" s="15" t="s">
        <v>23</v>
      </c>
      <c r="K342" s="13">
        <v>26.96</v>
      </c>
      <c r="L342" s="13">
        <v>1861.47</v>
      </c>
      <c r="M342" s="196" t="s">
        <v>424</v>
      </c>
    </row>
    <row r="343" spans="1:13" ht="15" customHeight="1" outlineLevel="1" x14ac:dyDescent="0.25">
      <c r="A343" s="148"/>
      <c r="B343" s="148"/>
      <c r="C343" s="148"/>
      <c r="D343" s="156"/>
      <c r="E343" s="156"/>
      <c r="F343" s="50">
        <v>43647</v>
      </c>
      <c r="G343" s="50">
        <v>43830</v>
      </c>
      <c r="H343" s="168"/>
      <c r="I343" s="15" t="s">
        <v>23</v>
      </c>
      <c r="J343" s="15" t="s">
        <v>23</v>
      </c>
      <c r="K343" s="13">
        <v>27.5</v>
      </c>
      <c r="L343" s="13">
        <v>1898.7</v>
      </c>
      <c r="M343" s="198"/>
    </row>
    <row r="344" spans="1:13" ht="15" customHeight="1" outlineLevel="1" x14ac:dyDescent="0.25">
      <c r="A344" s="148"/>
      <c r="B344" s="148"/>
      <c r="C344" s="148"/>
      <c r="D344" s="156"/>
      <c r="E344" s="156"/>
      <c r="F344" s="50">
        <v>43466</v>
      </c>
      <c r="G344" s="50">
        <v>43646</v>
      </c>
      <c r="H344" s="168"/>
      <c r="I344" s="15" t="s">
        <v>23</v>
      </c>
      <c r="J344" s="15" t="s">
        <v>23</v>
      </c>
      <c r="K344" s="13">
        <v>26.96</v>
      </c>
      <c r="L344" s="13">
        <v>2014.05</v>
      </c>
      <c r="M344" s="196" t="s">
        <v>425</v>
      </c>
    </row>
    <row r="345" spans="1:13" ht="15" customHeight="1" outlineLevel="1" x14ac:dyDescent="0.25">
      <c r="A345" s="148"/>
      <c r="B345" s="148"/>
      <c r="C345" s="148"/>
      <c r="D345" s="156"/>
      <c r="E345" s="156"/>
      <c r="F345" s="50">
        <v>43647</v>
      </c>
      <c r="G345" s="50">
        <v>43830</v>
      </c>
      <c r="H345" s="168"/>
      <c r="I345" s="15" t="s">
        <v>23</v>
      </c>
      <c r="J345" s="15" t="s">
        <v>23</v>
      </c>
      <c r="K345" s="13">
        <v>27.5</v>
      </c>
      <c r="L345" s="13">
        <v>2054.33</v>
      </c>
      <c r="M345" s="198"/>
    </row>
    <row r="346" spans="1:13" ht="15" customHeight="1" outlineLevel="1" x14ac:dyDescent="0.25">
      <c r="A346" s="148"/>
      <c r="B346" s="148"/>
      <c r="C346" s="148"/>
      <c r="D346" s="156"/>
      <c r="E346" s="156"/>
      <c r="F346" s="50">
        <v>43466</v>
      </c>
      <c r="G346" s="50">
        <v>43646</v>
      </c>
      <c r="H346" s="168"/>
      <c r="I346" s="15" t="s">
        <v>23</v>
      </c>
      <c r="J346" s="15" t="s">
        <v>23</v>
      </c>
      <c r="K346" s="13">
        <v>26.96</v>
      </c>
      <c r="L346" s="13">
        <v>1706.35</v>
      </c>
      <c r="M346" s="196" t="s">
        <v>426</v>
      </c>
    </row>
    <row r="347" spans="1:13" ht="15" customHeight="1" outlineLevel="1" x14ac:dyDescent="0.25">
      <c r="A347" s="148"/>
      <c r="B347" s="148"/>
      <c r="C347" s="148"/>
      <c r="D347" s="156"/>
      <c r="E347" s="156"/>
      <c r="F347" s="50">
        <v>43647</v>
      </c>
      <c r="G347" s="50">
        <v>43830</v>
      </c>
      <c r="H347" s="168"/>
      <c r="I347" s="15" t="s">
        <v>23</v>
      </c>
      <c r="J347" s="15" t="s">
        <v>23</v>
      </c>
      <c r="K347" s="13">
        <v>27.5</v>
      </c>
      <c r="L347" s="13">
        <v>1740.48</v>
      </c>
      <c r="M347" s="198"/>
    </row>
    <row r="348" spans="1:13" ht="15" customHeight="1" outlineLevel="1" x14ac:dyDescent="0.25">
      <c r="A348" s="148"/>
      <c r="B348" s="148"/>
      <c r="C348" s="148"/>
      <c r="D348" s="156"/>
      <c r="E348" s="156"/>
      <c r="F348" s="50">
        <v>43466</v>
      </c>
      <c r="G348" s="50">
        <v>43646</v>
      </c>
      <c r="H348" s="168"/>
      <c r="I348" s="15" t="s">
        <v>23</v>
      </c>
      <c r="J348" s="15" t="s">
        <v>23</v>
      </c>
      <c r="K348" s="13">
        <v>26.96</v>
      </c>
      <c r="L348" s="13">
        <v>1861.47</v>
      </c>
      <c r="M348" s="196" t="s">
        <v>427</v>
      </c>
    </row>
    <row r="349" spans="1:13" ht="15" customHeight="1" outlineLevel="1" x14ac:dyDescent="0.25">
      <c r="A349" s="147"/>
      <c r="B349" s="147"/>
      <c r="C349" s="147"/>
      <c r="D349" s="156"/>
      <c r="E349" s="156"/>
      <c r="F349" s="50">
        <v>43647</v>
      </c>
      <c r="G349" s="50">
        <v>43830</v>
      </c>
      <c r="H349" s="168"/>
      <c r="I349" s="15" t="s">
        <v>23</v>
      </c>
      <c r="J349" s="15" t="s">
        <v>23</v>
      </c>
      <c r="K349" s="13">
        <v>27.5</v>
      </c>
      <c r="L349" s="13">
        <v>1898.7</v>
      </c>
      <c r="M349" s="198"/>
    </row>
    <row r="350" spans="1:13" ht="15" customHeight="1" outlineLevel="1" x14ac:dyDescent="0.25">
      <c r="A350" s="146" t="s">
        <v>48</v>
      </c>
      <c r="B350" s="146" t="s">
        <v>325</v>
      </c>
      <c r="C350" s="146" t="s">
        <v>563</v>
      </c>
      <c r="D350" s="137">
        <v>42723</v>
      </c>
      <c r="E350" s="137" t="s">
        <v>677</v>
      </c>
      <c r="F350" s="51">
        <v>43466</v>
      </c>
      <c r="G350" s="51">
        <v>43646</v>
      </c>
      <c r="H350" s="142" t="s">
        <v>781</v>
      </c>
      <c r="I350" s="66">
        <v>38.57</v>
      </c>
      <c r="J350" s="13">
        <v>2588.42</v>
      </c>
      <c r="K350" s="15" t="s">
        <v>23</v>
      </c>
      <c r="L350" s="15" t="s">
        <v>23</v>
      </c>
      <c r="M350" s="183"/>
    </row>
    <row r="351" spans="1:13" ht="15" customHeight="1" outlineLevel="1" x14ac:dyDescent="0.25">
      <c r="A351" s="147"/>
      <c r="B351" s="147"/>
      <c r="C351" s="147"/>
      <c r="D351" s="141"/>
      <c r="E351" s="141"/>
      <c r="F351" s="51">
        <v>43647</v>
      </c>
      <c r="G351" s="51">
        <v>43830</v>
      </c>
      <c r="H351" s="143"/>
      <c r="I351" s="66">
        <v>43.07</v>
      </c>
      <c r="J351" s="13">
        <v>3150.47</v>
      </c>
      <c r="K351" s="15" t="s">
        <v>23</v>
      </c>
      <c r="L351" s="15" t="s">
        <v>23</v>
      </c>
      <c r="M351" s="183"/>
    </row>
    <row r="352" spans="1:13" ht="15" customHeight="1" outlineLevel="1" x14ac:dyDescent="0.25">
      <c r="A352" s="146" t="s">
        <v>48</v>
      </c>
      <c r="B352" s="146" t="s">
        <v>216</v>
      </c>
      <c r="C352" s="146" t="s">
        <v>272</v>
      </c>
      <c r="D352" s="156">
        <v>43434</v>
      </c>
      <c r="E352" s="156" t="s">
        <v>607</v>
      </c>
      <c r="F352" s="12">
        <v>43466</v>
      </c>
      <c r="G352" s="12">
        <v>43646</v>
      </c>
      <c r="H352" s="168"/>
      <c r="I352" s="66">
        <v>34.369999999999997</v>
      </c>
      <c r="J352" s="13">
        <v>1510.43</v>
      </c>
      <c r="K352" s="15" t="s">
        <v>23</v>
      </c>
      <c r="L352" s="15" t="s">
        <v>23</v>
      </c>
      <c r="M352" s="183"/>
    </row>
    <row r="353" spans="1:13" ht="15" customHeight="1" outlineLevel="1" x14ac:dyDescent="0.25">
      <c r="A353" s="148"/>
      <c r="B353" s="148"/>
      <c r="C353" s="148"/>
      <c r="D353" s="156"/>
      <c r="E353" s="156"/>
      <c r="F353" s="12">
        <v>43647</v>
      </c>
      <c r="G353" s="12">
        <v>43830</v>
      </c>
      <c r="H353" s="168"/>
      <c r="I353" s="66">
        <v>38.49</v>
      </c>
      <c r="J353" s="13">
        <v>1533.08</v>
      </c>
      <c r="K353" s="15" t="s">
        <v>23</v>
      </c>
      <c r="L353" s="15" t="s">
        <v>23</v>
      </c>
      <c r="M353" s="183"/>
    </row>
    <row r="354" spans="1:13" ht="15" customHeight="1" outlineLevel="1" x14ac:dyDescent="0.25">
      <c r="A354" s="148"/>
      <c r="B354" s="148"/>
      <c r="C354" s="148"/>
      <c r="D354" s="156">
        <v>43454</v>
      </c>
      <c r="E354" s="156" t="s">
        <v>606</v>
      </c>
      <c r="F354" s="50">
        <v>43466</v>
      </c>
      <c r="G354" s="50">
        <v>43646</v>
      </c>
      <c r="H354" s="168"/>
      <c r="I354" s="15" t="s">
        <v>23</v>
      </c>
      <c r="J354" s="15" t="s">
        <v>23</v>
      </c>
      <c r="K354" s="13">
        <v>24.49</v>
      </c>
      <c r="L354" s="13">
        <v>1502.6086956521738</v>
      </c>
      <c r="M354" s="196" t="s">
        <v>420</v>
      </c>
    </row>
    <row r="355" spans="1:13" ht="15" customHeight="1" outlineLevel="1" x14ac:dyDescent="0.25">
      <c r="A355" s="148"/>
      <c r="B355" s="148"/>
      <c r="C355" s="148"/>
      <c r="D355" s="156"/>
      <c r="E355" s="156"/>
      <c r="F355" s="50">
        <v>43647</v>
      </c>
      <c r="G355" s="50">
        <v>43830</v>
      </c>
      <c r="H355" s="168"/>
      <c r="I355" s="15" t="s">
        <v>23</v>
      </c>
      <c r="J355" s="15" t="s">
        <v>23</v>
      </c>
      <c r="K355" s="13">
        <v>24.98</v>
      </c>
      <c r="L355" s="13">
        <v>1532.7536231884058</v>
      </c>
      <c r="M355" s="198"/>
    </row>
    <row r="356" spans="1:13" ht="15" customHeight="1" outlineLevel="1" x14ac:dyDescent="0.25">
      <c r="A356" s="148"/>
      <c r="B356" s="148"/>
      <c r="C356" s="148"/>
      <c r="D356" s="156"/>
      <c r="E356" s="156"/>
      <c r="F356" s="50">
        <v>43466</v>
      </c>
      <c r="G356" s="50">
        <v>43646</v>
      </c>
      <c r="H356" s="168"/>
      <c r="I356" s="15" t="s">
        <v>23</v>
      </c>
      <c r="J356" s="15" t="s">
        <v>23</v>
      </c>
      <c r="K356" s="13">
        <v>24.49</v>
      </c>
      <c r="L356" s="13">
        <v>1645.7142857142856</v>
      </c>
      <c r="M356" s="196" t="s">
        <v>421</v>
      </c>
    </row>
    <row r="357" spans="1:13" ht="15" customHeight="1" outlineLevel="1" x14ac:dyDescent="0.25">
      <c r="A357" s="148"/>
      <c r="B357" s="148"/>
      <c r="C357" s="148"/>
      <c r="D357" s="156"/>
      <c r="E357" s="156"/>
      <c r="F357" s="50">
        <v>43647</v>
      </c>
      <c r="G357" s="50">
        <v>43830</v>
      </c>
      <c r="H357" s="168"/>
      <c r="I357" s="15" t="s">
        <v>23</v>
      </c>
      <c r="J357" s="15" t="s">
        <v>23</v>
      </c>
      <c r="K357" s="13">
        <v>24.98</v>
      </c>
      <c r="L357" s="13">
        <v>1678.7301587301588</v>
      </c>
      <c r="M357" s="198"/>
    </row>
    <row r="358" spans="1:13" ht="15" customHeight="1" outlineLevel="1" x14ac:dyDescent="0.25">
      <c r="A358" s="148"/>
      <c r="B358" s="148"/>
      <c r="C358" s="148"/>
      <c r="D358" s="156"/>
      <c r="E358" s="156"/>
      <c r="F358" s="50">
        <v>43466</v>
      </c>
      <c r="G358" s="50">
        <v>43646</v>
      </c>
      <c r="H358" s="168"/>
      <c r="I358" s="15" t="s">
        <v>23</v>
      </c>
      <c r="J358" s="15" t="s">
        <v>23</v>
      </c>
      <c r="K358" s="13">
        <v>24.49</v>
      </c>
      <c r="L358" s="13">
        <v>1401.081081081081</v>
      </c>
      <c r="M358" s="196" t="s">
        <v>422</v>
      </c>
    </row>
    <row r="359" spans="1:13" ht="15" customHeight="1" outlineLevel="1" x14ac:dyDescent="0.25">
      <c r="A359" s="148"/>
      <c r="B359" s="148"/>
      <c r="C359" s="148"/>
      <c r="D359" s="156"/>
      <c r="E359" s="156"/>
      <c r="F359" s="50">
        <v>43647</v>
      </c>
      <c r="G359" s="50">
        <v>43830</v>
      </c>
      <c r="H359" s="168"/>
      <c r="I359" s="15" t="s">
        <v>23</v>
      </c>
      <c r="J359" s="15" t="s">
        <v>23</v>
      </c>
      <c r="K359" s="13">
        <v>24.98</v>
      </c>
      <c r="L359" s="13">
        <v>1429.1891891891894</v>
      </c>
      <c r="M359" s="198"/>
    </row>
    <row r="360" spans="1:13" ht="15" customHeight="1" outlineLevel="1" x14ac:dyDescent="0.25">
      <c r="A360" s="148"/>
      <c r="B360" s="148"/>
      <c r="C360" s="148"/>
      <c r="D360" s="156"/>
      <c r="E360" s="156"/>
      <c r="F360" s="50">
        <v>43466</v>
      </c>
      <c r="G360" s="50">
        <v>43646</v>
      </c>
      <c r="H360" s="168"/>
      <c r="I360" s="15" t="s">
        <v>23</v>
      </c>
      <c r="J360" s="15" t="s">
        <v>23</v>
      </c>
      <c r="K360" s="13">
        <v>24.49</v>
      </c>
      <c r="L360" s="13">
        <v>1502.6086956521738</v>
      </c>
      <c r="M360" s="196" t="s">
        <v>423</v>
      </c>
    </row>
    <row r="361" spans="1:13" ht="15" customHeight="1" outlineLevel="1" x14ac:dyDescent="0.25">
      <c r="A361" s="148"/>
      <c r="B361" s="148"/>
      <c r="C361" s="148"/>
      <c r="D361" s="156"/>
      <c r="E361" s="156"/>
      <c r="F361" s="50">
        <v>43647</v>
      </c>
      <c r="G361" s="50">
        <v>43830</v>
      </c>
      <c r="H361" s="168"/>
      <c r="I361" s="15" t="s">
        <v>23</v>
      </c>
      <c r="J361" s="15" t="s">
        <v>23</v>
      </c>
      <c r="K361" s="13">
        <v>24.98</v>
      </c>
      <c r="L361" s="13">
        <v>1532.7536231884058</v>
      </c>
      <c r="M361" s="198"/>
    </row>
    <row r="362" spans="1:13" ht="15" customHeight="1" outlineLevel="1" x14ac:dyDescent="0.25">
      <c r="A362" s="148"/>
      <c r="B362" s="148"/>
      <c r="C362" s="148"/>
      <c r="D362" s="156"/>
      <c r="E362" s="156"/>
      <c r="F362" s="50">
        <v>43466</v>
      </c>
      <c r="G362" s="50">
        <v>43646</v>
      </c>
      <c r="H362" s="168"/>
      <c r="I362" s="15" t="s">
        <v>23</v>
      </c>
      <c r="J362" s="15" t="s">
        <v>23</v>
      </c>
      <c r="K362" s="13">
        <v>24.49</v>
      </c>
      <c r="L362" s="13">
        <v>1570.9090909090908</v>
      </c>
      <c r="M362" s="196" t="s">
        <v>424</v>
      </c>
    </row>
    <row r="363" spans="1:13" ht="15" customHeight="1" outlineLevel="1" x14ac:dyDescent="0.25">
      <c r="A363" s="148"/>
      <c r="B363" s="148"/>
      <c r="C363" s="148"/>
      <c r="D363" s="156"/>
      <c r="E363" s="156"/>
      <c r="F363" s="50">
        <v>43647</v>
      </c>
      <c r="G363" s="50">
        <v>43830</v>
      </c>
      <c r="H363" s="168"/>
      <c r="I363" s="15" t="s">
        <v>23</v>
      </c>
      <c r="J363" s="15" t="s">
        <v>23</v>
      </c>
      <c r="K363" s="13">
        <v>24.98</v>
      </c>
      <c r="L363" s="13">
        <v>1602.4242424242425</v>
      </c>
      <c r="M363" s="198"/>
    </row>
    <row r="364" spans="1:13" ht="15" customHeight="1" outlineLevel="1" x14ac:dyDescent="0.25">
      <c r="A364" s="148"/>
      <c r="B364" s="148"/>
      <c r="C364" s="148"/>
      <c r="D364" s="156"/>
      <c r="E364" s="156"/>
      <c r="F364" s="50">
        <v>43466</v>
      </c>
      <c r="G364" s="50">
        <v>43646</v>
      </c>
      <c r="H364" s="168"/>
      <c r="I364" s="15" t="s">
        <v>23</v>
      </c>
      <c r="J364" s="15" t="s">
        <v>23</v>
      </c>
      <c r="K364" s="13">
        <v>24.49</v>
      </c>
      <c r="L364" s="13">
        <v>1699.672131147541</v>
      </c>
      <c r="M364" s="196" t="s">
        <v>425</v>
      </c>
    </row>
    <row r="365" spans="1:13" ht="15" customHeight="1" outlineLevel="1" x14ac:dyDescent="0.25">
      <c r="A365" s="148"/>
      <c r="B365" s="148"/>
      <c r="C365" s="148"/>
      <c r="D365" s="156"/>
      <c r="E365" s="156"/>
      <c r="F365" s="50">
        <v>43647</v>
      </c>
      <c r="G365" s="50">
        <v>43830</v>
      </c>
      <c r="H365" s="168"/>
      <c r="I365" s="15" t="s">
        <v>23</v>
      </c>
      <c r="J365" s="15" t="s">
        <v>23</v>
      </c>
      <c r="K365" s="13">
        <v>24.98</v>
      </c>
      <c r="L365" s="13">
        <v>1733.7704918032789</v>
      </c>
      <c r="M365" s="198"/>
    </row>
    <row r="366" spans="1:13" ht="15" customHeight="1" outlineLevel="1" x14ac:dyDescent="0.25">
      <c r="A366" s="148"/>
      <c r="B366" s="148"/>
      <c r="C366" s="148"/>
      <c r="D366" s="156"/>
      <c r="E366" s="156"/>
      <c r="F366" s="50">
        <v>43466</v>
      </c>
      <c r="G366" s="50">
        <v>43646</v>
      </c>
      <c r="H366" s="168"/>
      <c r="I366" s="15" t="s">
        <v>23</v>
      </c>
      <c r="J366" s="15" t="s">
        <v>23</v>
      </c>
      <c r="K366" s="13">
        <v>24.49</v>
      </c>
      <c r="L366" s="13">
        <v>1440</v>
      </c>
      <c r="M366" s="196" t="s">
        <v>426</v>
      </c>
    </row>
    <row r="367" spans="1:13" ht="15" customHeight="1" outlineLevel="1" x14ac:dyDescent="0.25">
      <c r="A367" s="148"/>
      <c r="B367" s="148"/>
      <c r="C367" s="148"/>
      <c r="D367" s="156"/>
      <c r="E367" s="156"/>
      <c r="F367" s="50">
        <v>43647</v>
      </c>
      <c r="G367" s="50">
        <v>43830</v>
      </c>
      <c r="H367" s="168"/>
      <c r="I367" s="15" t="s">
        <v>23</v>
      </c>
      <c r="J367" s="15" t="s">
        <v>23</v>
      </c>
      <c r="K367" s="13">
        <v>24.98</v>
      </c>
      <c r="L367" s="13">
        <v>1468.8888888888891</v>
      </c>
      <c r="M367" s="198"/>
    </row>
    <row r="368" spans="1:13" ht="15" customHeight="1" outlineLevel="1" x14ac:dyDescent="0.25">
      <c r="A368" s="148"/>
      <c r="B368" s="148"/>
      <c r="C368" s="148"/>
      <c r="D368" s="156"/>
      <c r="E368" s="156"/>
      <c r="F368" s="50">
        <v>43466</v>
      </c>
      <c r="G368" s="50">
        <v>43646</v>
      </c>
      <c r="H368" s="168"/>
      <c r="I368" s="15" t="s">
        <v>23</v>
      </c>
      <c r="J368" s="15" t="s">
        <v>23</v>
      </c>
      <c r="K368" s="13">
        <v>24.49</v>
      </c>
      <c r="L368" s="13">
        <v>1570.9090909090908</v>
      </c>
      <c r="M368" s="196" t="s">
        <v>427</v>
      </c>
    </row>
    <row r="369" spans="1:13" ht="15" customHeight="1" outlineLevel="1" x14ac:dyDescent="0.25">
      <c r="A369" s="147"/>
      <c r="B369" s="147"/>
      <c r="C369" s="147"/>
      <c r="D369" s="156"/>
      <c r="E369" s="156"/>
      <c r="F369" s="50">
        <v>43647</v>
      </c>
      <c r="G369" s="50">
        <v>43830</v>
      </c>
      <c r="H369" s="168"/>
      <c r="I369" s="15" t="s">
        <v>23</v>
      </c>
      <c r="J369" s="15" t="s">
        <v>23</v>
      </c>
      <c r="K369" s="13">
        <v>24.98</v>
      </c>
      <c r="L369" s="13">
        <v>1602.4242424242425</v>
      </c>
      <c r="M369" s="198"/>
    </row>
    <row r="370" spans="1:13" ht="15" customHeight="1" outlineLevel="1" x14ac:dyDescent="0.25">
      <c r="A370" s="146" t="s">
        <v>48</v>
      </c>
      <c r="B370" s="146" t="s">
        <v>67</v>
      </c>
      <c r="C370" s="146" t="s">
        <v>273</v>
      </c>
      <c r="D370" s="156">
        <f>[1]Тепло!D108</f>
        <v>42723</v>
      </c>
      <c r="E370" s="156" t="str">
        <f>[1]Тепло!E108</f>
        <v>488-п</v>
      </c>
      <c r="F370" s="12">
        <v>43466</v>
      </c>
      <c r="G370" s="12">
        <v>43646</v>
      </c>
      <c r="H370" s="168" t="str">
        <f>[1]Тепло!H108</f>
        <v>19.12.2018 №444-п</v>
      </c>
      <c r="I370" s="66">
        <v>69.27</v>
      </c>
      <c r="J370" s="13">
        <v>2284.48</v>
      </c>
      <c r="K370" s="91" t="s">
        <v>23</v>
      </c>
      <c r="L370" s="91" t="s">
        <v>23</v>
      </c>
      <c r="M370" s="183"/>
    </row>
    <row r="371" spans="1:13" ht="15" customHeight="1" outlineLevel="1" x14ac:dyDescent="0.25">
      <c r="A371" s="148"/>
      <c r="B371" s="148"/>
      <c r="C371" s="148"/>
      <c r="D371" s="156"/>
      <c r="E371" s="156"/>
      <c r="F371" s="12">
        <v>43647</v>
      </c>
      <c r="G371" s="12">
        <v>43830</v>
      </c>
      <c r="H371" s="168"/>
      <c r="I371" s="66">
        <v>69.27</v>
      </c>
      <c r="J371" s="13">
        <v>2291.2199999999998</v>
      </c>
      <c r="K371" s="91" t="s">
        <v>23</v>
      </c>
      <c r="L371" s="91" t="s">
        <v>23</v>
      </c>
      <c r="M371" s="183"/>
    </row>
    <row r="372" spans="1:13" ht="15" customHeight="1" outlineLevel="1" x14ac:dyDescent="0.25">
      <c r="A372" s="148"/>
      <c r="B372" s="148"/>
      <c r="C372" s="148"/>
      <c r="D372" s="156">
        <f>[1]Тепло!D110</f>
        <v>43454</v>
      </c>
      <c r="E372" s="156" t="str">
        <f>[1]Тепло!E110</f>
        <v>680-п</v>
      </c>
      <c r="F372" s="50">
        <v>43466</v>
      </c>
      <c r="G372" s="50">
        <v>43646</v>
      </c>
      <c r="H372" s="168"/>
      <c r="I372" s="91" t="s">
        <v>23</v>
      </c>
      <c r="J372" s="91" t="s">
        <v>23</v>
      </c>
      <c r="K372" s="13">
        <v>43.06</v>
      </c>
      <c r="L372" s="13">
        <v>1772.88</v>
      </c>
      <c r="M372" s="196" t="s">
        <v>420</v>
      </c>
    </row>
    <row r="373" spans="1:13" ht="15" customHeight="1" outlineLevel="1" x14ac:dyDescent="0.25">
      <c r="A373" s="148"/>
      <c r="B373" s="148"/>
      <c r="C373" s="148"/>
      <c r="D373" s="156"/>
      <c r="E373" s="156"/>
      <c r="F373" s="50">
        <v>43647</v>
      </c>
      <c r="G373" s="50">
        <v>43830</v>
      </c>
      <c r="H373" s="168"/>
      <c r="I373" s="91" t="s">
        <v>23</v>
      </c>
      <c r="J373" s="91" t="s">
        <v>23</v>
      </c>
      <c r="K373" s="13">
        <v>43.92</v>
      </c>
      <c r="L373" s="13">
        <v>1808.34</v>
      </c>
      <c r="M373" s="198"/>
    </row>
    <row r="374" spans="1:13" ht="15" customHeight="1" outlineLevel="1" x14ac:dyDescent="0.25">
      <c r="A374" s="148"/>
      <c r="B374" s="148"/>
      <c r="C374" s="148"/>
      <c r="D374" s="156"/>
      <c r="E374" s="156"/>
      <c r="F374" s="50">
        <v>43466</v>
      </c>
      <c r="G374" s="50">
        <v>43646</v>
      </c>
      <c r="H374" s="168"/>
      <c r="I374" s="91" t="s">
        <v>23</v>
      </c>
      <c r="J374" s="91" t="s">
        <v>23</v>
      </c>
      <c r="K374" s="13">
        <v>43.06</v>
      </c>
      <c r="L374" s="13">
        <v>1941.73</v>
      </c>
      <c r="M374" s="196" t="s">
        <v>421</v>
      </c>
    </row>
    <row r="375" spans="1:13" ht="15" customHeight="1" outlineLevel="1" x14ac:dyDescent="0.25">
      <c r="A375" s="148"/>
      <c r="B375" s="148"/>
      <c r="C375" s="148"/>
      <c r="D375" s="156"/>
      <c r="E375" s="156"/>
      <c r="F375" s="50">
        <v>43647</v>
      </c>
      <c r="G375" s="50">
        <v>43830</v>
      </c>
      <c r="H375" s="168"/>
      <c r="I375" s="91" t="s">
        <v>23</v>
      </c>
      <c r="J375" s="91" t="s">
        <v>23</v>
      </c>
      <c r="K375" s="13">
        <v>43.92</v>
      </c>
      <c r="L375" s="13">
        <v>1980.56</v>
      </c>
      <c r="M375" s="198"/>
    </row>
    <row r="376" spans="1:13" ht="15" customHeight="1" outlineLevel="1" x14ac:dyDescent="0.25">
      <c r="A376" s="148"/>
      <c r="B376" s="148"/>
      <c r="C376" s="148"/>
      <c r="D376" s="156"/>
      <c r="E376" s="156"/>
      <c r="F376" s="50">
        <v>43466</v>
      </c>
      <c r="G376" s="50">
        <v>43646</v>
      </c>
      <c r="H376" s="168"/>
      <c r="I376" s="91" t="s">
        <v>23</v>
      </c>
      <c r="J376" s="91" t="s">
        <v>23</v>
      </c>
      <c r="K376" s="13">
        <v>43.06</v>
      </c>
      <c r="L376" s="13">
        <v>1653.09</v>
      </c>
      <c r="M376" s="196" t="s">
        <v>422</v>
      </c>
    </row>
    <row r="377" spans="1:13" ht="15" customHeight="1" outlineLevel="1" x14ac:dyDescent="0.25">
      <c r="A377" s="148"/>
      <c r="B377" s="148"/>
      <c r="C377" s="148"/>
      <c r="D377" s="156"/>
      <c r="E377" s="156"/>
      <c r="F377" s="50">
        <v>43647</v>
      </c>
      <c r="G377" s="50">
        <v>43830</v>
      </c>
      <c r="H377" s="168"/>
      <c r="I377" s="91" t="s">
        <v>23</v>
      </c>
      <c r="J377" s="91" t="s">
        <v>23</v>
      </c>
      <c r="K377" s="13">
        <v>43.92</v>
      </c>
      <c r="L377" s="13">
        <v>1686.15</v>
      </c>
      <c r="M377" s="198"/>
    </row>
    <row r="378" spans="1:13" ht="15" customHeight="1" outlineLevel="1" x14ac:dyDescent="0.25">
      <c r="A378" s="148"/>
      <c r="B378" s="148"/>
      <c r="C378" s="148"/>
      <c r="D378" s="156"/>
      <c r="E378" s="156"/>
      <c r="F378" s="50">
        <v>43466</v>
      </c>
      <c r="G378" s="50">
        <v>43646</v>
      </c>
      <c r="H378" s="168"/>
      <c r="I378" s="91" t="s">
        <v>23</v>
      </c>
      <c r="J378" s="91" t="s">
        <v>23</v>
      </c>
      <c r="K378" s="13">
        <v>43.06</v>
      </c>
      <c r="L378" s="13">
        <v>1772.88</v>
      </c>
      <c r="M378" s="196" t="s">
        <v>423</v>
      </c>
    </row>
    <row r="379" spans="1:13" ht="15" customHeight="1" outlineLevel="1" x14ac:dyDescent="0.25">
      <c r="A379" s="148"/>
      <c r="B379" s="148"/>
      <c r="C379" s="148"/>
      <c r="D379" s="156"/>
      <c r="E379" s="156"/>
      <c r="F379" s="50">
        <v>43647</v>
      </c>
      <c r="G379" s="50">
        <v>43830</v>
      </c>
      <c r="H379" s="168"/>
      <c r="I379" s="91" t="s">
        <v>23</v>
      </c>
      <c r="J379" s="91" t="s">
        <v>23</v>
      </c>
      <c r="K379" s="13">
        <v>43.92</v>
      </c>
      <c r="L379" s="13">
        <v>1808.34</v>
      </c>
      <c r="M379" s="198"/>
    </row>
    <row r="380" spans="1:13" ht="15" customHeight="1" outlineLevel="1" x14ac:dyDescent="0.25">
      <c r="A380" s="148"/>
      <c r="B380" s="148"/>
      <c r="C380" s="148"/>
      <c r="D380" s="156"/>
      <c r="E380" s="156"/>
      <c r="F380" s="50">
        <v>43466</v>
      </c>
      <c r="G380" s="50">
        <v>43646</v>
      </c>
      <c r="H380" s="168"/>
      <c r="I380" s="91" t="s">
        <v>23</v>
      </c>
      <c r="J380" s="91" t="s">
        <v>23</v>
      </c>
      <c r="K380" s="13">
        <v>43.06</v>
      </c>
      <c r="L380" s="13">
        <v>1853.47</v>
      </c>
      <c r="M380" s="196" t="s">
        <v>424</v>
      </c>
    </row>
    <row r="381" spans="1:13" ht="15" customHeight="1" outlineLevel="1" x14ac:dyDescent="0.25">
      <c r="A381" s="148"/>
      <c r="B381" s="148"/>
      <c r="C381" s="148"/>
      <c r="D381" s="156"/>
      <c r="E381" s="156"/>
      <c r="F381" s="50">
        <v>43647</v>
      </c>
      <c r="G381" s="50">
        <v>43830</v>
      </c>
      <c r="H381" s="168"/>
      <c r="I381" s="91" t="s">
        <v>23</v>
      </c>
      <c r="J381" s="91" t="s">
        <v>23</v>
      </c>
      <c r="K381" s="13">
        <v>43.92</v>
      </c>
      <c r="L381" s="13">
        <v>1890.54</v>
      </c>
      <c r="M381" s="198"/>
    </row>
    <row r="382" spans="1:13" ht="15" customHeight="1" outlineLevel="1" x14ac:dyDescent="0.25">
      <c r="A382" s="148"/>
      <c r="B382" s="148"/>
      <c r="C382" s="148"/>
      <c r="D382" s="156"/>
      <c r="E382" s="156"/>
      <c r="F382" s="50">
        <v>43466</v>
      </c>
      <c r="G382" s="50">
        <v>43646</v>
      </c>
      <c r="H382" s="168"/>
      <c r="I382" s="91" t="s">
        <v>23</v>
      </c>
      <c r="J382" s="91" t="s">
        <v>23</v>
      </c>
      <c r="K382" s="13">
        <v>43.06</v>
      </c>
      <c r="L382" s="13">
        <v>2005.39</v>
      </c>
      <c r="M382" s="196" t="s">
        <v>425</v>
      </c>
    </row>
    <row r="383" spans="1:13" ht="15" customHeight="1" outlineLevel="1" x14ac:dyDescent="0.25">
      <c r="A383" s="148"/>
      <c r="B383" s="148"/>
      <c r="C383" s="148"/>
      <c r="D383" s="156"/>
      <c r="E383" s="156"/>
      <c r="F383" s="50">
        <v>43647</v>
      </c>
      <c r="G383" s="50">
        <v>43830</v>
      </c>
      <c r="H383" s="168"/>
      <c r="I383" s="91" t="s">
        <v>23</v>
      </c>
      <c r="J383" s="91" t="s">
        <v>23</v>
      </c>
      <c r="K383" s="13">
        <v>43.92</v>
      </c>
      <c r="L383" s="13">
        <v>2045.5</v>
      </c>
      <c r="M383" s="198"/>
    </row>
    <row r="384" spans="1:13" ht="15" customHeight="1" outlineLevel="1" x14ac:dyDescent="0.25">
      <c r="A384" s="148"/>
      <c r="B384" s="148"/>
      <c r="C384" s="148"/>
      <c r="D384" s="156"/>
      <c r="E384" s="156"/>
      <c r="F384" s="50">
        <v>43466</v>
      </c>
      <c r="G384" s="50">
        <v>43646</v>
      </c>
      <c r="H384" s="168"/>
      <c r="I384" s="91" t="s">
        <v>23</v>
      </c>
      <c r="J384" s="91" t="s">
        <v>23</v>
      </c>
      <c r="K384" s="13">
        <v>43.06</v>
      </c>
      <c r="L384" s="13">
        <v>1699.01</v>
      </c>
      <c r="M384" s="196" t="s">
        <v>426</v>
      </c>
    </row>
    <row r="385" spans="1:20" ht="15" customHeight="1" outlineLevel="1" x14ac:dyDescent="0.25">
      <c r="A385" s="148"/>
      <c r="B385" s="148"/>
      <c r="C385" s="148"/>
      <c r="D385" s="156"/>
      <c r="E385" s="156"/>
      <c r="F385" s="50">
        <v>43647</v>
      </c>
      <c r="G385" s="50">
        <v>43830</v>
      </c>
      <c r="H385" s="168"/>
      <c r="I385" s="91" t="s">
        <v>23</v>
      </c>
      <c r="J385" s="91" t="s">
        <v>23</v>
      </c>
      <c r="K385" s="13">
        <v>43.92</v>
      </c>
      <c r="L385" s="13">
        <v>1732.99</v>
      </c>
      <c r="M385" s="198"/>
    </row>
    <row r="386" spans="1:20" ht="15" customHeight="1" outlineLevel="1" x14ac:dyDescent="0.25">
      <c r="A386" s="148"/>
      <c r="B386" s="148"/>
      <c r="C386" s="148"/>
      <c r="D386" s="156"/>
      <c r="E386" s="156"/>
      <c r="F386" s="50">
        <v>43466</v>
      </c>
      <c r="G386" s="50">
        <v>43646</v>
      </c>
      <c r="H386" s="168"/>
      <c r="I386" s="91" t="s">
        <v>23</v>
      </c>
      <c r="J386" s="91" t="s">
        <v>23</v>
      </c>
      <c r="K386" s="13">
        <v>43.06</v>
      </c>
      <c r="L386" s="13">
        <v>1853.47</v>
      </c>
      <c r="M386" s="196" t="s">
        <v>427</v>
      </c>
    </row>
    <row r="387" spans="1:20" ht="15" customHeight="1" outlineLevel="1" x14ac:dyDescent="0.25">
      <c r="A387" s="147"/>
      <c r="B387" s="147"/>
      <c r="C387" s="147"/>
      <c r="D387" s="156"/>
      <c r="E387" s="156"/>
      <c r="F387" s="50">
        <v>43647</v>
      </c>
      <c r="G387" s="50">
        <v>43830</v>
      </c>
      <c r="H387" s="168"/>
      <c r="I387" s="91" t="s">
        <v>23</v>
      </c>
      <c r="J387" s="91" t="s">
        <v>23</v>
      </c>
      <c r="K387" s="13">
        <v>43.92</v>
      </c>
      <c r="L387" s="13">
        <v>1890.54</v>
      </c>
      <c r="M387" s="198"/>
    </row>
    <row r="388" spans="1:20" ht="15" customHeight="1" outlineLevel="1" x14ac:dyDescent="0.25">
      <c r="A388" s="146" t="s">
        <v>48</v>
      </c>
      <c r="B388" s="146" t="s">
        <v>206</v>
      </c>
      <c r="C388" s="146" t="s">
        <v>202</v>
      </c>
      <c r="D388" s="156">
        <f>Тепло!D88</f>
        <v>43454</v>
      </c>
      <c r="E388" s="156" t="str">
        <f>Тепло!E88</f>
        <v>424-п</v>
      </c>
      <c r="F388" s="12">
        <v>43466</v>
      </c>
      <c r="G388" s="12">
        <v>43646</v>
      </c>
      <c r="H388" s="168"/>
      <c r="I388" s="66">
        <v>59.68</v>
      </c>
      <c r="J388" s="13">
        <v>1887.75</v>
      </c>
      <c r="K388" s="15" t="s">
        <v>23</v>
      </c>
      <c r="L388" s="15" t="s">
        <v>23</v>
      </c>
      <c r="M388" s="183"/>
    </row>
    <row r="389" spans="1:20" ht="15" customHeight="1" outlineLevel="1" x14ac:dyDescent="0.25">
      <c r="A389" s="148"/>
      <c r="B389" s="148"/>
      <c r="C389" s="148"/>
      <c r="D389" s="156"/>
      <c r="E389" s="156"/>
      <c r="F389" s="12">
        <v>43647</v>
      </c>
      <c r="G389" s="12">
        <v>43830</v>
      </c>
      <c r="H389" s="168"/>
      <c r="I389" s="66">
        <v>59.68</v>
      </c>
      <c r="J389" s="13">
        <v>1963.79</v>
      </c>
      <c r="K389" s="15" t="s">
        <v>23</v>
      </c>
      <c r="L389" s="15" t="s">
        <v>23</v>
      </c>
      <c r="M389" s="183"/>
    </row>
    <row r="390" spans="1:20" ht="15" customHeight="1" outlineLevel="1" x14ac:dyDescent="0.25">
      <c r="A390" s="148"/>
      <c r="B390" s="148"/>
      <c r="C390" s="148"/>
      <c r="D390" s="156">
        <f>Тепло!D90</f>
        <v>43454</v>
      </c>
      <c r="E390" s="156" t="str">
        <f>Тепло!E90</f>
        <v>680-п</v>
      </c>
      <c r="F390" s="50">
        <v>43466</v>
      </c>
      <c r="G390" s="50">
        <v>43646</v>
      </c>
      <c r="H390" s="168"/>
      <c r="I390" s="15" t="s">
        <v>23</v>
      </c>
      <c r="J390" s="15" t="s">
        <v>23</v>
      </c>
      <c r="K390" s="13">
        <v>34.550000000000004</v>
      </c>
      <c r="L390" s="13">
        <v>1623.95</v>
      </c>
      <c r="M390" s="196" t="s">
        <v>420</v>
      </c>
      <c r="N390" s="55">
        <f>K390/1.2</f>
        <v>28.791666666666671</v>
      </c>
      <c r="O390" s="55">
        <f>L390/1.2</f>
        <v>1353.2916666666667</v>
      </c>
    </row>
    <row r="391" spans="1:20" ht="15" customHeight="1" outlineLevel="1" x14ac:dyDescent="0.25">
      <c r="A391" s="148"/>
      <c r="B391" s="148"/>
      <c r="C391" s="148"/>
      <c r="D391" s="156"/>
      <c r="E391" s="156"/>
      <c r="F391" s="50">
        <v>43647</v>
      </c>
      <c r="G391" s="50">
        <v>43830</v>
      </c>
      <c r="H391" s="168"/>
      <c r="I391" s="15" t="s">
        <v>23</v>
      </c>
      <c r="J391" s="15" t="s">
        <v>23</v>
      </c>
      <c r="K391" s="13">
        <v>35.24</v>
      </c>
      <c r="L391" s="13">
        <v>1656.43</v>
      </c>
      <c r="M391" s="198"/>
      <c r="N391" s="55">
        <f t="shared" ref="N391:N405" si="2">K391/1.2</f>
        <v>29.366666666666671</v>
      </c>
      <c r="O391" s="55">
        <f t="shared" ref="O391:O405" si="3">L391/1.2</f>
        <v>1380.3583333333333</v>
      </c>
    </row>
    <row r="392" spans="1:20" ht="15" customHeight="1" outlineLevel="1" x14ac:dyDescent="0.25">
      <c r="A392" s="148"/>
      <c r="B392" s="148"/>
      <c r="C392" s="148"/>
      <c r="D392" s="156"/>
      <c r="E392" s="156"/>
      <c r="F392" s="50">
        <v>43466</v>
      </c>
      <c r="G392" s="50">
        <v>43646</v>
      </c>
      <c r="H392" s="168"/>
      <c r="I392" s="15" t="s">
        <v>23</v>
      </c>
      <c r="J392" s="15" t="s">
        <v>23</v>
      </c>
      <c r="K392" s="13">
        <v>34.550000000000004</v>
      </c>
      <c r="L392" s="13">
        <v>1778.6</v>
      </c>
      <c r="M392" s="196" t="s">
        <v>421</v>
      </c>
      <c r="N392" s="55">
        <f t="shared" si="2"/>
        <v>28.791666666666671</v>
      </c>
      <c r="O392" s="55">
        <f t="shared" si="3"/>
        <v>1482.1666666666667</v>
      </c>
    </row>
    <row r="393" spans="1:20" ht="15" customHeight="1" outlineLevel="1" x14ac:dyDescent="0.25">
      <c r="A393" s="148"/>
      <c r="B393" s="148"/>
      <c r="C393" s="148"/>
      <c r="D393" s="156"/>
      <c r="E393" s="156"/>
      <c r="F393" s="50">
        <v>43647</v>
      </c>
      <c r="G393" s="50">
        <v>43830</v>
      </c>
      <c r="H393" s="168"/>
      <c r="I393" s="15" t="s">
        <v>23</v>
      </c>
      <c r="J393" s="15" t="s">
        <v>23</v>
      </c>
      <c r="K393" s="13">
        <v>35.24</v>
      </c>
      <c r="L393" s="13">
        <v>1814.17</v>
      </c>
      <c r="M393" s="198"/>
      <c r="N393" s="55">
        <f t="shared" si="2"/>
        <v>29.366666666666671</v>
      </c>
      <c r="O393" s="55">
        <f t="shared" si="3"/>
        <v>1511.8083333333334</v>
      </c>
    </row>
    <row r="394" spans="1:20" ht="15" customHeight="1" outlineLevel="1" x14ac:dyDescent="0.25">
      <c r="A394" s="148"/>
      <c r="B394" s="148"/>
      <c r="C394" s="148"/>
      <c r="D394" s="156"/>
      <c r="E394" s="156"/>
      <c r="F394" s="50">
        <v>43466</v>
      </c>
      <c r="G394" s="50">
        <v>43646</v>
      </c>
      <c r="H394" s="168"/>
      <c r="I394" s="15" t="s">
        <v>23</v>
      </c>
      <c r="J394" s="15" t="s">
        <v>23</v>
      </c>
      <c r="K394" s="13">
        <v>34.550000000000004</v>
      </c>
      <c r="L394" s="13">
        <v>1514.22</v>
      </c>
      <c r="M394" s="196" t="s">
        <v>422</v>
      </c>
      <c r="N394" s="55">
        <f t="shared" si="2"/>
        <v>28.791666666666671</v>
      </c>
      <c r="O394" s="55">
        <f t="shared" si="3"/>
        <v>1261.8500000000001</v>
      </c>
    </row>
    <row r="395" spans="1:20" ht="15" customHeight="1" outlineLevel="1" x14ac:dyDescent="0.25">
      <c r="A395" s="148"/>
      <c r="B395" s="148"/>
      <c r="C395" s="148"/>
      <c r="D395" s="156"/>
      <c r="E395" s="156"/>
      <c r="F395" s="50">
        <v>43647</v>
      </c>
      <c r="G395" s="50">
        <v>43830</v>
      </c>
      <c r="H395" s="168"/>
      <c r="I395" s="15" t="s">
        <v>23</v>
      </c>
      <c r="J395" s="15" t="s">
        <v>23</v>
      </c>
      <c r="K395" s="13">
        <v>35.24</v>
      </c>
      <c r="L395" s="13">
        <v>1544.5</v>
      </c>
      <c r="M395" s="198"/>
      <c r="N395" s="55">
        <f t="shared" si="2"/>
        <v>29.366666666666671</v>
      </c>
      <c r="O395" s="55">
        <f t="shared" si="3"/>
        <v>1287.0833333333335</v>
      </c>
    </row>
    <row r="396" spans="1:20" ht="15" customHeight="1" outlineLevel="1" x14ac:dyDescent="0.25">
      <c r="A396" s="148"/>
      <c r="B396" s="148"/>
      <c r="C396" s="148"/>
      <c r="D396" s="156"/>
      <c r="E396" s="156"/>
      <c r="F396" s="50">
        <v>43466</v>
      </c>
      <c r="G396" s="50">
        <v>43646</v>
      </c>
      <c r="H396" s="168"/>
      <c r="I396" s="15" t="s">
        <v>23</v>
      </c>
      <c r="J396" s="15" t="s">
        <v>23</v>
      </c>
      <c r="K396" s="13">
        <v>34.550000000000004</v>
      </c>
      <c r="L396" s="13">
        <v>1623.95</v>
      </c>
      <c r="M396" s="196" t="s">
        <v>423</v>
      </c>
      <c r="N396" s="55">
        <f t="shared" si="2"/>
        <v>28.791666666666671</v>
      </c>
      <c r="O396" s="55">
        <f t="shared" si="3"/>
        <v>1353.2916666666667</v>
      </c>
    </row>
    <row r="397" spans="1:20" ht="15" customHeight="1" outlineLevel="1" x14ac:dyDescent="0.25">
      <c r="A397" s="148"/>
      <c r="B397" s="148"/>
      <c r="C397" s="148"/>
      <c r="D397" s="156"/>
      <c r="E397" s="156"/>
      <c r="F397" s="50">
        <v>43647</v>
      </c>
      <c r="G397" s="50">
        <v>43830</v>
      </c>
      <c r="H397" s="168"/>
      <c r="I397" s="15" t="s">
        <v>23</v>
      </c>
      <c r="J397" s="15" t="s">
        <v>23</v>
      </c>
      <c r="K397" s="13">
        <v>35.24</v>
      </c>
      <c r="L397" s="13">
        <v>1656.43</v>
      </c>
      <c r="M397" s="198"/>
      <c r="N397" s="55">
        <f t="shared" si="2"/>
        <v>29.366666666666671</v>
      </c>
      <c r="O397" s="55">
        <f t="shared" si="3"/>
        <v>1380.3583333333333</v>
      </c>
    </row>
    <row r="398" spans="1:20" ht="15" customHeight="1" outlineLevel="1" x14ac:dyDescent="0.25">
      <c r="A398" s="148"/>
      <c r="B398" s="148"/>
      <c r="C398" s="148"/>
      <c r="D398" s="156"/>
      <c r="E398" s="156"/>
      <c r="F398" s="50">
        <v>43466</v>
      </c>
      <c r="G398" s="50">
        <v>43646</v>
      </c>
      <c r="H398" s="168"/>
      <c r="I398" s="15" t="s">
        <v>23</v>
      </c>
      <c r="J398" s="15" t="s">
        <v>23</v>
      </c>
      <c r="K398" s="13">
        <v>34.550000000000004</v>
      </c>
      <c r="L398" s="13">
        <v>1697.76</v>
      </c>
      <c r="M398" s="196" t="s">
        <v>424</v>
      </c>
      <c r="N398" s="55">
        <f t="shared" si="2"/>
        <v>28.791666666666671</v>
      </c>
      <c r="O398" s="55">
        <f t="shared" si="3"/>
        <v>1414.8</v>
      </c>
      <c r="P398" s="121">
        <f>I388-N398</f>
        <v>30.888333333333328</v>
      </c>
      <c r="Q398" s="57">
        <f>J388-O398</f>
        <v>472.95000000000005</v>
      </c>
      <c r="R398" s="57">
        <f>P398*16037.039</f>
        <v>495357.40631166659</v>
      </c>
      <c r="S398" s="58">
        <f>Q398*1058.436</f>
        <v>500587.30619999999</v>
      </c>
      <c r="T398" s="55">
        <f>R398+S398</f>
        <v>995944.71251166658</v>
      </c>
    </row>
    <row r="399" spans="1:20" ht="15" customHeight="1" outlineLevel="1" x14ac:dyDescent="0.25">
      <c r="A399" s="148"/>
      <c r="B399" s="148"/>
      <c r="C399" s="148"/>
      <c r="D399" s="156"/>
      <c r="E399" s="156"/>
      <c r="F399" s="50">
        <v>43647</v>
      </c>
      <c r="G399" s="50">
        <v>43830</v>
      </c>
      <c r="H399" s="168"/>
      <c r="I399" s="15" t="s">
        <v>23</v>
      </c>
      <c r="J399" s="15" t="s">
        <v>23</v>
      </c>
      <c r="K399" s="13">
        <v>35.24</v>
      </c>
      <c r="L399" s="13">
        <v>1731.72</v>
      </c>
      <c r="M399" s="198"/>
      <c r="N399" s="55">
        <f t="shared" si="2"/>
        <v>29.366666666666671</v>
      </c>
      <c r="O399" s="55">
        <f t="shared" si="3"/>
        <v>1443.1000000000001</v>
      </c>
    </row>
    <row r="400" spans="1:20" ht="15" customHeight="1" outlineLevel="1" x14ac:dyDescent="0.25">
      <c r="A400" s="148"/>
      <c r="B400" s="148"/>
      <c r="C400" s="148"/>
      <c r="D400" s="156"/>
      <c r="E400" s="156"/>
      <c r="F400" s="50">
        <v>43466</v>
      </c>
      <c r="G400" s="50">
        <v>43646</v>
      </c>
      <c r="H400" s="168"/>
      <c r="I400" s="15" t="s">
        <v>23</v>
      </c>
      <c r="J400" s="15" t="s">
        <v>23</v>
      </c>
      <c r="K400" s="13">
        <v>34.550000000000004</v>
      </c>
      <c r="L400" s="13">
        <v>1836.93</v>
      </c>
      <c r="M400" s="196" t="s">
        <v>425</v>
      </c>
      <c r="N400" s="55">
        <f t="shared" si="2"/>
        <v>28.791666666666671</v>
      </c>
      <c r="O400" s="55">
        <f t="shared" si="3"/>
        <v>1530.7750000000001</v>
      </c>
    </row>
    <row r="401" spans="1:20" ht="15" customHeight="1" outlineLevel="1" x14ac:dyDescent="0.25">
      <c r="A401" s="148"/>
      <c r="B401" s="148"/>
      <c r="C401" s="148"/>
      <c r="D401" s="156"/>
      <c r="E401" s="156"/>
      <c r="F401" s="50">
        <v>43647</v>
      </c>
      <c r="G401" s="50">
        <v>43830</v>
      </c>
      <c r="H401" s="168"/>
      <c r="I401" s="15" t="s">
        <v>23</v>
      </c>
      <c r="J401" s="15" t="s">
        <v>23</v>
      </c>
      <c r="K401" s="13">
        <v>35.24</v>
      </c>
      <c r="L401" s="13">
        <v>1873.67</v>
      </c>
      <c r="M401" s="198"/>
      <c r="N401" s="55">
        <f t="shared" si="2"/>
        <v>29.366666666666671</v>
      </c>
      <c r="O401" s="55">
        <f t="shared" si="3"/>
        <v>1561.3916666666669</v>
      </c>
    </row>
    <row r="402" spans="1:20" ht="15" customHeight="1" outlineLevel="1" x14ac:dyDescent="0.25">
      <c r="A402" s="148"/>
      <c r="B402" s="148"/>
      <c r="C402" s="148"/>
      <c r="D402" s="156"/>
      <c r="E402" s="156"/>
      <c r="F402" s="50">
        <v>43466</v>
      </c>
      <c r="G402" s="50">
        <v>43646</v>
      </c>
      <c r="H402" s="168"/>
      <c r="I402" s="15" t="s">
        <v>23</v>
      </c>
      <c r="J402" s="15" t="s">
        <v>23</v>
      </c>
      <c r="K402" s="13">
        <v>34.550000000000004</v>
      </c>
      <c r="L402" s="13">
        <v>1556.28</v>
      </c>
      <c r="M402" s="196" t="s">
        <v>426</v>
      </c>
      <c r="N402" s="55">
        <f t="shared" si="2"/>
        <v>28.791666666666671</v>
      </c>
      <c r="O402" s="55">
        <f t="shared" si="3"/>
        <v>1296.9000000000001</v>
      </c>
      <c r="P402" s="121">
        <f>I388-N402</f>
        <v>30.888333333333328</v>
      </c>
      <c r="Q402" s="57">
        <f>J388-O402</f>
        <v>590.84999999999991</v>
      </c>
      <c r="R402" s="57">
        <f>P402*38593.849</f>
        <v>1192099.6725283333</v>
      </c>
      <c r="S402" s="58">
        <f>Q402*2778.774</f>
        <v>1641838.6178999997</v>
      </c>
      <c r="T402" s="55">
        <f>R402+S402</f>
        <v>2833938.290428333</v>
      </c>
    </row>
    <row r="403" spans="1:20" ht="15" customHeight="1" outlineLevel="1" x14ac:dyDescent="0.25">
      <c r="A403" s="148"/>
      <c r="B403" s="148"/>
      <c r="C403" s="148"/>
      <c r="D403" s="156"/>
      <c r="E403" s="156"/>
      <c r="F403" s="50">
        <v>43647</v>
      </c>
      <c r="G403" s="50">
        <v>43830</v>
      </c>
      <c r="H403" s="168"/>
      <c r="I403" s="15" t="s">
        <v>23</v>
      </c>
      <c r="J403" s="15" t="s">
        <v>23</v>
      </c>
      <c r="K403" s="13">
        <v>35.24</v>
      </c>
      <c r="L403" s="13">
        <v>1587.41</v>
      </c>
      <c r="M403" s="198"/>
      <c r="N403" s="55">
        <f t="shared" si="2"/>
        <v>29.366666666666671</v>
      </c>
      <c r="O403" s="55">
        <f t="shared" si="3"/>
        <v>1322.8416666666667</v>
      </c>
    </row>
    <row r="404" spans="1:20" ht="15" customHeight="1" outlineLevel="1" x14ac:dyDescent="0.25">
      <c r="A404" s="148"/>
      <c r="B404" s="148"/>
      <c r="C404" s="148"/>
      <c r="D404" s="156"/>
      <c r="E404" s="156"/>
      <c r="F404" s="50">
        <v>43466</v>
      </c>
      <c r="G404" s="50">
        <v>43646</v>
      </c>
      <c r="H404" s="168"/>
      <c r="I404" s="15" t="s">
        <v>23</v>
      </c>
      <c r="J404" s="15" t="s">
        <v>23</v>
      </c>
      <c r="K404" s="13">
        <v>34.550000000000004</v>
      </c>
      <c r="L404" s="13">
        <v>1697.76</v>
      </c>
      <c r="M404" s="196" t="s">
        <v>427</v>
      </c>
      <c r="N404" s="55">
        <f t="shared" si="2"/>
        <v>28.791666666666671</v>
      </c>
      <c r="O404" s="55">
        <f t="shared" si="3"/>
        <v>1414.8</v>
      </c>
      <c r="P404" s="121">
        <f>I388-N404</f>
        <v>30.888333333333328</v>
      </c>
      <c r="Q404" s="57">
        <f>J388-O404</f>
        <v>472.95000000000005</v>
      </c>
      <c r="R404" s="57">
        <f>P404*17805.468</f>
        <v>549981.23073999991</v>
      </c>
      <c r="S404" s="58">
        <f>Q404*1181.699</f>
        <v>558884.54205000005</v>
      </c>
      <c r="T404" s="55">
        <f>R404+S404</f>
        <v>1108865.7727899998</v>
      </c>
    </row>
    <row r="405" spans="1:20" ht="15" customHeight="1" outlineLevel="1" x14ac:dyDescent="0.25">
      <c r="A405" s="147"/>
      <c r="B405" s="147"/>
      <c r="C405" s="147"/>
      <c r="D405" s="156"/>
      <c r="E405" s="156"/>
      <c r="F405" s="50">
        <v>43647</v>
      </c>
      <c r="G405" s="50">
        <v>43830</v>
      </c>
      <c r="H405" s="168"/>
      <c r="I405" s="15" t="s">
        <v>23</v>
      </c>
      <c r="J405" s="15" t="s">
        <v>23</v>
      </c>
      <c r="K405" s="13">
        <v>35.24</v>
      </c>
      <c r="L405" s="13">
        <v>1731.72</v>
      </c>
      <c r="M405" s="198"/>
      <c r="N405" s="55">
        <f t="shared" si="2"/>
        <v>29.366666666666671</v>
      </c>
      <c r="O405" s="55">
        <f t="shared" si="3"/>
        <v>1443.1000000000001</v>
      </c>
    </row>
    <row r="406" spans="1:20" ht="15" customHeight="1" outlineLevel="1" x14ac:dyDescent="0.25">
      <c r="A406" s="146" t="s">
        <v>48</v>
      </c>
      <c r="B406" s="146" t="s">
        <v>199</v>
      </c>
      <c r="C406" s="146" t="s">
        <v>345</v>
      </c>
      <c r="D406" s="156">
        <v>43454</v>
      </c>
      <c r="E406" s="156" t="s">
        <v>619</v>
      </c>
      <c r="F406" s="12">
        <v>43466</v>
      </c>
      <c r="G406" s="12">
        <v>43646</v>
      </c>
      <c r="H406" s="168"/>
      <c r="I406" s="66">
        <v>70.180000000000007</v>
      </c>
      <c r="J406" s="13">
        <v>2057.88</v>
      </c>
      <c r="K406" s="15" t="s">
        <v>23</v>
      </c>
      <c r="L406" s="15" t="s">
        <v>23</v>
      </c>
      <c r="M406" s="183"/>
    </row>
    <row r="407" spans="1:20" ht="15" customHeight="1" outlineLevel="1" x14ac:dyDescent="0.25">
      <c r="A407" s="148"/>
      <c r="B407" s="148"/>
      <c r="C407" s="148"/>
      <c r="D407" s="156"/>
      <c r="E407" s="156"/>
      <c r="F407" s="12">
        <v>43647</v>
      </c>
      <c r="G407" s="12">
        <v>43830</v>
      </c>
      <c r="H407" s="168"/>
      <c r="I407" s="66">
        <v>74.349999999999994</v>
      </c>
      <c r="J407" s="13">
        <v>2906.88</v>
      </c>
      <c r="K407" s="15" t="s">
        <v>23</v>
      </c>
      <c r="L407" s="15" t="s">
        <v>23</v>
      </c>
      <c r="M407" s="183"/>
    </row>
    <row r="408" spans="1:20" ht="15" customHeight="1" outlineLevel="1" x14ac:dyDescent="0.25">
      <c r="A408" s="148"/>
      <c r="B408" s="148"/>
      <c r="C408" s="148"/>
      <c r="D408" s="156">
        <v>43454</v>
      </c>
      <c r="E408" s="156" t="s">
        <v>606</v>
      </c>
      <c r="F408" s="50">
        <v>43466</v>
      </c>
      <c r="G408" s="50">
        <v>43646</v>
      </c>
      <c r="H408" s="168"/>
      <c r="I408" s="15" t="s">
        <v>23</v>
      </c>
      <c r="J408" s="15" t="s">
        <v>23</v>
      </c>
      <c r="K408" s="13">
        <v>39.22</v>
      </c>
      <c r="L408" s="13">
        <v>1195.2173913043478</v>
      </c>
      <c r="M408" s="196" t="s">
        <v>420</v>
      </c>
    </row>
    <row r="409" spans="1:20" ht="15" customHeight="1" outlineLevel="1" x14ac:dyDescent="0.25">
      <c r="A409" s="148"/>
      <c r="B409" s="148"/>
      <c r="C409" s="148"/>
      <c r="D409" s="156"/>
      <c r="E409" s="156"/>
      <c r="F409" s="50">
        <v>43647</v>
      </c>
      <c r="G409" s="50">
        <v>43830</v>
      </c>
      <c r="H409" s="168"/>
      <c r="I409" s="15" t="s">
        <v>23</v>
      </c>
      <c r="J409" s="15" t="s">
        <v>23</v>
      </c>
      <c r="K409" s="13">
        <v>40</v>
      </c>
      <c r="L409" s="13">
        <v>1219.1304347826087</v>
      </c>
      <c r="M409" s="198"/>
    </row>
    <row r="410" spans="1:20" ht="15" customHeight="1" outlineLevel="1" x14ac:dyDescent="0.25">
      <c r="A410" s="148"/>
      <c r="B410" s="148"/>
      <c r="C410" s="148"/>
      <c r="D410" s="156"/>
      <c r="E410" s="156"/>
      <c r="F410" s="50">
        <v>43466</v>
      </c>
      <c r="G410" s="50">
        <v>43646</v>
      </c>
      <c r="H410" s="168"/>
      <c r="I410" s="15" t="s">
        <v>23</v>
      </c>
      <c r="J410" s="15" t="s">
        <v>23</v>
      </c>
      <c r="K410" s="13">
        <v>39.22</v>
      </c>
      <c r="L410" s="13">
        <v>1309.047619047619</v>
      </c>
      <c r="M410" s="196" t="s">
        <v>421</v>
      </c>
    </row>
    <row r="411" spans="1:20" ht="15" customHeight="1" outlineLevel="1" x14ac:dyDescent="0.25">
      <c r="A411" s="148"/>
      <c r="B411" s="148"/>
      <c r="C411" s="148"/>
      <c r="D411" s="156"/>
      <c r="E411" s="156"/>
      <c r="F411" s="50">
        <v>43647</v>
      </c>
      <c r="G411" s="50">
        <v>43830</v>
      </c>
      <c r="H411" s="168"/>
      <c r="I411" s="15" t="s">
        <v>23</v>
      </c>
      <c r="J411" s="15" t="s">
        <v>23</v>
      </c>
      <c r="K411" s="13">
        <v>40</v>
      </c>
      <c r="L411" s="13">
        <v>1335.2380952380954</v>
      </c>
      <c r="M411" s="198"/>
    </row>
    <row r="412" spans="1:20" ht="15" customHeight="1" outlineLevel="1" x14ac:dyDescent="0.25">
      <c r="A412" s="148"/>
      <c r="B412" s="148"/>
      <c r="C412" s="148"/>
      <c r="D412" s="156"/>
      <c r="E412" s="156"/>
      <c r="F412" s="50">
        <v>43466</v>
      </c>
      <c r="G412" s="50">
        <v>43646</v>
      </c>
      <c r="H412" s="168"/>
      <c r="I412" s="15" t="s">
        <v>23</v>
      </c>
      <c r="J412" s="15" t="s">
        <v>23</v>
      </c>
      <c r="K412" s="13">
        <v>39.22</v>
      </c>
      <c r="L412" s="13">
        <v>1114.4594594594596</v>
      </c>
      <c r="M412" s="196" t="s">
        <v>422</v>
      </c>
    </row>
    <row r="413" spans="1:20" ht="15" customHeight="1" outlineLevel="1" x14ac:dyDescent="0.25">
      <c r="A413" s="148"/>
      <c r="B413" s="148"/>
      <c r="C413" s="148"/>
      <c r="D413" s="156"/>
      <c r="E413" s="156"/>
      <c r="F413" s="50">
        <v>43647</v>
      </c>
      <c r="G413" s="50">
        <v>43830</v>
      </c>
      <c r="H413" s="168"/>
      <c r="I413" s="15" t="s">
        <v>23</v>
      </c>
      <c r="J413" s="15" t="s">
        <v>23</v>
      </c>
      <c r="K413" s="13">
        <v>40</v>
      </c>
      <c r="L413" s="13">
        <v>1136.7567567567569</v>
      </c>
      <c r="M413" s="198"/>
    </row>
    <row r="414" spans="1:20" ht="15" customHeight="1" outlineLevel="1" x14ac:dyDescent="0.25">
      <c r="A414" s="148"/>
      <c r="B414" s="148"/>
      <c r="C414" s="148"/>
      <c r="D414" s="156"/>
      <c r="E414" s="156"/>
      <c r="F414" s="50">
        <v>43466</v>
      </c>
      <c r="G414" s="50">
        <v>43646</v>
      </c>
      <c r="H414" s="168"/>
      <c r="I414" s="15" t="s">
        <v>23</v>
      </c>
      <c r="J414" s="15" t="s">
        <v>23</v>
      </c>
      <c r="K414" s="13">
        <v>39.22</v>
      </c>
      <c r="L414" s="13">
        <v>1195.2173913043478</v>
      </c>
      <c r="M414" s="196" t="s">
        <v>423</v>
      </c>
    </row>
    <row r="415" spans="1:20" ht="15" customHeight="1" outlineLevel="1" x14ac:dyDescent="0.25">
      <c r="A415" s="148"/>
      <c r="B415" s="148"/>
      <c r="C415" s="148"/>
      <c r="D415" s="156"/>
      <c r="E415" s="156"/>
      <c r="F415" s="50">
        <v>43647</v>
      </c>
      <c r="G415" s="50">
        <v>43830</v>
      </c>
      <c r="H415" s="168"/>
      <c r="I415" s="15" t="s">
        <v>23</v>
      </c>
      <c r="J415" s="15" t="s">
        <v>23</v>
      </c>
      <c r="K415" s="13">
        <v>40</v>
      </c>
      <c r="L415" s="13">
        <v>1219.1304347826087</v>
      </c>
      <c r="M415" s="198"/>
    </row>
    <row r="416" spans="1:20" ht="15" customHeight="1" outlineLevel="1" x14ac:dyDescent="0.25">
      <c r="A416" s="148"/>
      <c r="B416" s="148"/>
      <c r="C416" s="148"/>
      <c r="D416" s="156"/>
      <c r="E416" s="156"/>
      <c r="F416" s="50">
        <v>43466</v>
      </c>
      <c r="G416" s="50">
        <v>43646</v>
      </c>
      <c r="H416" s="168"/>
      <c r="I416" s="15" t="s">
        <v>23</v>
      </c>
      <c r="J416" s="15" t="s">
        <v>23</v>
      </c>
      <c r="K416" s="13">
        <v>39.22</v>
      </c>
      <c r="L416" s="13">
        <v>1249.5454545454545</v>
      </c>
      <c r="M416" s="196" t="s">
        <v>424</v>
      </c>
    </row>
    <row r="417" spans="1:13" ht="15" customHeight="1" outlineLevel="1" x14ac:dyDescent="0.25">
      <c r="A417" s="148"/>
      <c r="B417" s="148"/>
      <c r="C417" s="148"/>
      <c r="D417" s="156"/>
      <c r="E417" s="156"/>
      <c r="F417" s="50">
        <v>43647</v>
      </c>
      <c r="G417" s="50">
        <v>43830</v>
      </c>
      <c r="H417" s="168"/>
      <c r="I417" s="15" t="s">
        <v>23</v>
      </c>
      <c r="J417" s="15" t="s">
        <v>23</v>
      </c>
      <c r="K417" s="13">
        <v>40</v>
      </c>
      <c r="L417" s="13">
        <v>1274.5454545454545</v>
      </c>
      <c r="M417" s="198"/>
    </row>
    <row r="418" spans="1:13" ht="15" customHeight="1" outlineLevel="1" x14ac:dyDescent="0.25">
      <c r="A418" s="148"/>
      <c r="B418" s="148"/>
      <c r="C418" s="148"/>
      <c r="D418" s="156"/>
      <c r="E418" s="156"/>
      <c r="F418" s="50">
        <v>43466</v>
      </c>
      <c r="G418" s="50">
        <v>43646</v>
      </c>
      <c r="H418" s="168"/>
      <c r="I418" s="15" t="s">
        <v>23</v>
      </c>
      <c r="J418" s="15" t="s">
        <v>23</v>
      </c>
      <c r="K418" s="13">
        <v>39.22</v>
      </c>
      <c r="L418" s="13">
        <v>1351.967213114754</v>
      </c>
      <c r="M418" s="196" t="s">
        <v>425</v>
      </c>
    </row>
    <row r="419" spans="1:13" ht="15" customHeight="1" outlineLevel="1" x14ac:dyDescent="0.25">
      <c r="A419" s="148"/>
      <c r="B419" s="148"/>
      <c r="C419" s="148"/>
      <c r="D419" s="156"/>
      <c r="E419" s="156"/>
      <c r="F419" s="50">
        <v>43647</v>
      </c>
      <c r="G419" s="50">
        <v>43830</v>
      </c>
      <c r="H419" s="168"/>
      <c r="I419" s="15" t="s">
        <v>23</v>
      </c>
      <c r="J419" s="15" t="s">
        <v>23</v>
      </c>
      <c r="K419" s="13">
        <v>40</v>
      </c>
      <c r="L419" s="13">
        <v>1379.016393442623</v>
      </c>
      <c r="M419" s="198"/>
    </row>
    <row r="420" spans="1:13" ht="15" customHeight="1" outlineLevel="1" x14ac:dyDescent="0.25">
      <c r="A420" s="148"/>
      <c r="B420" s="148"/>
      <c r="C420" s="148"/>
      <c r="D420" s="156"/>
      <c r="E420" s="156"/>
      <c r="F420" s="50">
        <v>43466</v>
      </c>
      <c r="G420" s="50">
        <v>43646</v>
      </c>
      <c r="H420" s="168"/>
      <c r="I420" s="15" t="s">
        <v>23</v>
      </c>
      <c r="J420" s="15" t="s">
        <v>23</v>
      </c>
      <c r="K420" s="13">
        <v>39.22</v>
      </c>
      <c r="L420" s="13">
        <v>1145.4166666666667</v>
      </c>
      <c r="M420" s="196" t="s">
        <v>426</v>
      </c>
    </row>
    <row r="421" spans="1:13" ht="15" customHeight="1" outlineLevel="1" x14ac:dyDescent="0.25">
      <c r="A421" s="148"/>
      <c r="B421" s="148"/>
      <c r="C421" s="148"/>
      <c r="D421" s="156"/>
      <c r="E421" s="156"/>
      <c r="F421" s="50">
        <v>43647</v>
      </c>
      <c r="G421" s="50">
        <v>43830</v>
      </c>
      <c r="H421" s="168"/>
      <c r="I421" s="15" t="s">
        <v>23</v>
      </c>
      <c r="J421" s="15" t="s">
        <v>23</v>
      </c>
      <c r="K421" s="13">
        <v>40</v>
      </c>
      <c r="L421" s="13">
        <v>1168.3333333333335</v>
      </c>
      <c r="M421" s="198"/>
    </row>
    <row r="422" spans="1:13" ht="15" customHeight="1" outlineLevel="1" x14ac:dyDescent="0.25">
      <c r="A422" s="148"/>
      <c r="B422" s="148"/>
      <c r="C422" s="148"/>
      <c r="D422" s="156"/>
      <c r="E422" s="156"/>
      <c r="F422" s="50">
        <v>43466</v>
      </c>
      <c r="G422" s="50">
        <v>43646</v>
      </c>
      <c r="H422" s="168"/>
      <c r="I422" s="15" t="s">
        <v>23</v>
      </c>
      <c r="J422" s="15" t="s">
        <v>23</v>
      </c>
      <c r="K422" s="13">
        <v>39.22</v>
      </c>
      <c r="L422" s="13">
        <v>1249.5454545454545</v>
      </c>
      <c r="M422" s="196" t="s">
        <v>427</v>
      </c>
    </row>
    <row r="423" spans="1:13" ht="15" customHeight="1" outlineLevel="1" x14ac:dyDescent="0.25">
      <c r="A423" s="147"/>
      <c r="B423" s="147"/>
      <c r="C423" s="147"/>
      <c r="D423" s="156"/>
      <c r="E423" s="156"/>
      <c r="F423" s="50">
        <v>43647</v>
      </c>
      <c r="G423" s="50">
        <v>43830</v>
      </c>
      <c r="H423" s="168"/>
      <c r="I423" s="15" t="s">
        <v>23</v>
      </c>
      <c r="J423" s="15" t="s">
        <v>23</v>
      </c>
      <c r="K423" s="13">
        <v>40</v>
      </c>
      <c r="L423" s="13">
        <v>1274.5454545454545</v>
      </c>
      <c r="M423" s="198"/>
    </row>
    <row r="424" spans="1:13" ht="15" customHeight="1" outlineLevel="1" x14ac:dyDescent="0.25">
      <c r="A424" s="146" t="s">
        <v>48</v>
      </c>
      <c r="B424" s="146" t="s">
        <v>215</v>
      </c>
      <c r="C424" s="146" t="s">
        <v>290</v>
      </c>
      <c r="D424" s="137">
        <v>42723</v>
      </c>
      <c r="E424" s="137" t="s">
        <v>695</v>
      </c>
      <c r="F424" s="12">
        <v>43466</v>
      </c>
      <c r="G424" s="12">
        <v>43646</v>
      </c>
      <c r="H424" s="168" t="s">
        <v>797</v>
      </c>
      <c r="I424" s="66">
        <v>40.51</v>
      </c>
      <c r="J424" s="13">
        <v>2019.3</v>
      </c>
      <c r="K424" s="15" t="s">
        <v>23</v>
      </c>
      <c r="L424" s="15" t="s">
        <v>23</v>
      </c>
      <c r="M424" s="183"/>
    </row>
    <row r="425" spans="1:13" ht="15" customHeight="1" outlineLevel="1" x14ac:dyDescent="0.25">
      <c r="A425" s="148"/>
      <c r="B425" s="148"/>
      <c r="C425" s="148"/>
      <c r="D425" s="141"/>
      <c r="E425" s="141"/>
      <c r="F425" s="12">
        <v>43647</v>
      </c>
      <c r="G425" s="12">
        <v>43830</v>
      </c>
      <c r="H425" s="168"/>
      <c r="I425" s="66">
        <v>41.7</v>
      </c>
      <c r="J425" s="13">
        <v>2069.86</v>
      </c>
      <c r="K425" s="15" t="s">
        <v>23</v>
      </c>
      <c r="L425" s="15" t="s">
        <v>23</v>
      </c>
      <c r="M425" s="183"/>
    </row>
    <row r="426" spans="1:13" ht="15" customHeight="1" outlineLevel="1" x14ac:dyDescent="0.25">
      <c r="A426" s="148"/>
      <c r="B426" s="148"/>
      <c r="C426" s="148"/>
      <c r="D426" s="137">
        <v>43454</v>
      </c>
      <c r="E426" s="137" t="s">
        <v>796</v>
      </c>
      <c r="F426" s="50">
        <v>43466</v>
      </c>
      <c r="G426" s="50">
        <v>43646</v>
      </c>
      <c r="H426" s="168"/>
      <c r="I426" s="15" t="s">
        <v>23</v>
      </c>
      <c r="J426" s="15" t="s">
        <v>23</v>
      </c>
      <c r="K426" s="13">
        <v>34.169491525423631</v>
      </c>
      <c r="L426" s="13">
        <v>1389.9778924097229</v>
      </c>
      <c r="M426" s="196" t="s">
        <v>420</v>
      </c>
    </row>
    <row r="427" spans="1:13" ht="15" customHeight="1" outlineLevel="1" x14ac:dyDescent="0.25">
      <c r="A427" s="148"/>
      <c r="B427" s="148"/>
      <c r="C427" s="148"/>
      <c r="D427" s="138"/>
      <c r="E427" s="138"/>
      <c r="F427" s="50">
        <v>43647</v>
      </c>
      <c r="G427" s="50">
        <v>43830</v>
      </c>
      <c r="H427" s="168"/>
      <c r="I427" s="15" t="s">
        <v>23</v>
      </c>
      <c r="J427" s="15" t="s">
        <v>23</v>
      </c>
      <c r="K427" s="13">
        <v>34.852881355932105</v>
      </c>
      <c r="L427" s="13">
        <v>1417.7774502579175</v>
      </c>
      <c r="M427" s="198"/>
    </row>
    <row r="428" spans="1:13" ht="15" customHeight="1" outlineLevel="1" x14ac:dyDescent="0.25">
      <c r="A428" s="148"/>
      <c r="B428" s="148"/>
      <c r="C428" s="148"/>
      <c r="D428" s="138"/>
      <c r="E428" s="138"/>
      <c r="F428" s="50">
        <v>43466</v>
      </c>
      <c r="G428" s="50">
        <v>43646</v>
      </c>
      <c r="H428" s="168"/>
      <c r="I428" s="15" t="s">
        <v>23</v>
      </c>
      <c r="J428" s="15" t="s">
        <v>23</v>
      </c>
      <c r="K428" s="13">
        <v>34.169491525423631</v>
      </c>
      <c r="L428" s="13">
        <v>1522.3567393058872</v>
      </c>
      <c r="M428" s="196" t="s">
        <v>421</v>
      </c>
    </row>
    <row r="429" spans="1:13" ht="15" customHeight="1" outlineLevel="1" x14ac:dyDescent="0.25">
      <c r="A429" s="148"/>
      <c r="B429" s="148"/>
      <c r="C429" s="148"/>
      <c r="D429" s="138"/>
      <c r="E429" s="138"/>
      <c r="F429" s="50">
        <v>43647</v>
      </c>
      <c r="G429" s="50">
        <v>43830</v>
      </c>
      <c r="H429" s="168"/>
      <c r="I429" s="15" t="s">
        <v>23</v>
      </c>
      <c r="J429" s="15" t="s">
        <v>23</v>
      </c>
      <c r="K429" s="13">
        <v>34.852881355932105</v>
      </c>
      <c r="L429" s="13">
        <v>1552.8038740920049</v>
      </c>
      <c r="M429" s="198"/>
    </row>
    <row r="430" spans="1:13" ht="15" customHeight="1" outlineLevel="1" x14ac:dyDescent="0.25">
      <c r="A430" s="148"/>
      <c r="B430" s="148"/>
      <c r="C430" s="148"/>
      <c r="D430" s="138"/>
      <c r="E430" s="138"/>
      <c r="F430" s="50">
        <v>43466</v>
      </c>
      <c r="G430" s="50">
        <v>43646</v>
      </c>
      <c r="H430" s="168"/>
      <c r="I430" s="15" t="s">
        <v>23</v>
      </c>
      <c r="J430" s="15" t="s">
        <v>23</v>
      </c>
      <c r="K430" s="13">
        <v>34.169491525423631</v>
      </c>
      <c r="L430" s="13">
        <v>1296.060467246904</v>
      </c>
      <c r="M430" s="196" t="s">
        <v>422</v>
      </c>
    </row>
    <row r="431" spans="1:13" ht="15" customHeight="1" outlineLevel="1" x14ac:dyDescent="0.25">
      <c r="A431" s="148"/>
      <c r="B431" s="148"/>
      <c r="C431" s="148"/>
      <c r="D431" s="138"/>
      <c r="E431" s="138"/>
      <c r="F431" s="50">
        <v>43647</v>
      </c>
      <c r="G431" s="50">
        <v>43830</v>
      </c>
      <c r="H431" s="168"/>
      <c r="I431" s="15" t="s">
        <v>23</v>
      </c>
      <c r="J431" s="15" t="s">
        <v>23</v>
      </c>
      <c r="K431" s="13">
        <v>34.852881355932105</v>
      </c>
      <c r="L431" s="13">
        <v>1321.9816765918422</v>
      </c>
      <c r="M431" s="198"/>
    </row>
    <row r="432" spans="1:13" ht="15" customHeight="1" outlineLevel="1" x14ac:dyDescent="0.25">
      <c r="A432" s="148"/>
      <c r="B432" s="148"/>
      <c r="C432" s="148"/>
      <c r="D432" s="138"/>
      <c r="E432" s="138"/>
      <c r="F432" s="50">
        <v>43466</v>
      </c>
      <c r="G432" s="50">
        <v>43646</v>
      </c>
      <c r="H432" s="168"/>
      <c r="I432" s="15" t="s">
        <v>23</v>
      </c>
      <c r="J432" s="15" t="s">
        <v>23</v>
      </c>
      <c r="K432" s="13">
        <v>34.169491525423631</v>
      </c>
      <c r="L432" s="13">
        <v>1389.9778924097229</v>
      </c>
      <c r="M432" s="196" t="s">
        <v>423</v>
      </c>
    </row>
    <row r="433" spans="1:13" ht="15" customHeight="1" outlineLevel="1" x14ac:dyDescent="0.25">
      <c r="A433" s="148"/>
      <c r="B433" s="148"/>
      <c r="C433" s="148"/>
      <c r="D433" s="138"/>
      <c r="E433" s="138"/>
      <c r="F433" s="50">
        <v>43647</v>
      </c>
      <c r="G433" s="50">
        <v>43830</v>
      </c>
      <c r="H433" s="168"/>
      <c r="I433" s="15" t="s">
        <v>23</v>
      </c>
      <c r="J433" s="15" t="s">
        <v>23</v>
      </c>
      <c r="K433" s="13">
        <v>34.852881355932105</v>
      </c>
      <c r="L433" s="13">
        <v>1417.7774502579175</v>
      </c>
      <c r="M433" s="198"/>
    </row>
    <row r="434" spans="1:13" ht="15" customHeight="1" outlineLevel="1" x14ac:dyDescent="0.25">
      <c r="A434" s="148"/>
      <c r="B434" s="148"/>
      <c r="C434" s="148"/>
      <c r="D434" s="138"/>
      <c r="E434" s="138"/>
      <c r="F434" s="50">
        <v>43466</v>
      </c>
      <c r="G434" s="50">
        <v>43646</v>
      </c>
      <c r="H434" s="168"/>
      <c r="I434" s="15" t="s">
        <v>23</v>
      </c>
      <c r="J434" s="15" t="s">
        <v>23</v>
      </c>
      <c r="K434" s="13">
        <v>34.169491525423631</v>
      </c>
      <c r="L434" s="13">
        <v>1453.158705701074</v>
      </c>
      <c r="M434" s="196" t="s">
        <v>424</v>
      </c>
    </row>
    <row r="435" spans="1:13" ht="15" customHeight="1" outlineLevel="1" x14ac:dyDescent="0.25">
      <c r="A435" s="148"/>
      <c r="B435" s="148"/>
      <c r="C435" s="148"/>
      <c r="D435" s="138"/>
      <c r="E435" s="138"/>
      <c r="F435" s="50">
        <v>43647</v>
      </c>
      <c r="G435" s="50">
        <v>43830</v>
      </c>
      <c r="H435" s="168"/>
      <c r="I435" s="15" t="s">
        <v>23</v>
      </c>
      <c r="J435" s="15" t="s">
        <v>23</v>
      </c>
      <c r="K435" s="13">
        <v>34.852881355932105</v>
      </c>
      <c r="L435" s="13">
        <v>1482.2218798150955</v>
      </c>
      <c r="M435" s="198"/>
    </row>
    <row r="436" spans="1:13" ht="15" customHeight="1" outlineLevel="1" x14ac:dyDescent="0.25">
      <c r="A436" s="148"/>
      <c r="B436" s="148"/>
      <c r="C436" s="148"/>
      <c r="D436" s="138"/>
      <c r="E436" s="138"/>
      <c r="F436" s="50">
        <v>43466</v>
      </c>
      <c r="G436" s="50">
        <v>43646</v>
      </c>
      <c r="H436" s="168"/>
      <c r="I436" s="15" t="s">
        <v>23</v>
      </c>
      <c r="J436" s="15" t="s">
        <v>23</v>
      </c>
      <c r="K436" s="13">
        <v>34.169491525423631</v>
      </c>
      <c r="L436" s="13">
        <v>1572.2700750208344</v>
      </c>
      <c r="M436" s="196" t="s">
        <v>425</v>
      </c>
    </row>
    <row r="437" spans="1:13" ht="15" customHeight="1" outlineLevel="1" x14ac:dyDescent="0.25">
      <c r="A437" s="148"/>
      <c r="B437" s="148"/>
      <c r="C437" s="148"/>
      <c r="D437" s="138"/>
      <c r="E437" s="138"/>
      <c r="F437" s="50">
        <v>43647</v>
      </c>
      <c r="G437" s="50">
        <v>43830</v>
      </c>
      <c r="H437" s="168"/>
      <c r="I437" s="15" t="s">
        <v>23</v>
      </c>
      <c r="J437" s="15" t="s">
        <v>23</v>
      </c>
      <c r="K437" s="13">
        <v>34.852881355932105</v>
      </c>
      <c r="L437" s="13">
        <v>1603.715476521251</v>
      </c>
      <c r="M437" s="198"/>
    </row>
    <row r="438" spans="1:13" ht="15" customHeight="1" outlineLevel="1" x14ac:dyDescent="0.25">
      <c r="A438" s="148"/>
      <c r="B438" s="148"/>
      <c r="C438" s="148"/>
      <c r="D438" s="138"/>
      <c r="E438" s="138"/>
      <c r="F438" s="50">
        <v>43466</v>
      </c>
      <c r="G438" s="50">
        <v>43646</v>
      </c>
      <c r="H438" s="168"/>
      <c r="I438" s="15" t="s">
        <v>23</v>
      </c>
      <c r="J438" s="15" t="s">
        <v>23</v>
      </c>
      <c r="K438" s="13">
        <v>34.169491525423631</v>
      </c>
      <c r="L438" s="13">
        <v>1332.0621468926513</v>
      </c>
      <c r="M438" s="196" t="s">
        <v>426</v>
      </c>
    </row>
    <row r="439" spans="1:13" ht="15" customHeight="1" outlineLevel="1" x14ac:dyDescent="0.25">
      <c r="A439" s="148"/>
      <c r="B439" s="148"/>
      <c r="C439" s="148"/>
      <c r="D439" s="138"/>
      <c r="E439" s="138"/>
      <c r="F439" s="50">
        <v>43647</v>
      </c>
      <c r="G439" s="50">
        <v>43830</v>
      </c>
      <c r="H439" s="168"/>
      <c r="I439" s="15" t="s">
        <v>23</v>
      </c>
      <c r="J439" s="15" t="s">
        <v>23</v>
      </c>
      <c r="K439" s="13">
        <v>34.852881355932105</v>
      </c>
      <c r="L439" s="13">
        <v>1358.7033898305044</v>
      </c>
      <c r="M439" s="198"/>
    </row>
    <row r="440" spans="1:13" ht="15" customHeight="1" outlineLevel="1" x14ac:dyDescent="0.25">
      <c r="A440" s="148"/>
      <c r="B440" s="148"/>
      <c r="C440" s="148"/>
      <c r="D440" s="138"/>
      <c r="E440" s="138"/>
      <c r="F440" s="50">
        <v>43466</v>
      </c>
      <c r="G440" s="50">
        <v>43646</v>
      </c>
      <c r="H440" s="168"/>
      <c r="I440" s="15" t="s">
        <v>23</v>
      </c>
      <c r="J440" s="15" t="s">
        <v>23</v>
      </c>
      <c r="K440" s="13">
        <v>34.169491525423631</v>
      </c>
      <c r="L440" s="13">
        <v>1453.158705701074</v>
      </c>
      <c r="M440" s="196" t="s">
        <v>427</v>
      </c>
    </row>
    <row r="441" spans="1:13" ht="15" customHeight="1" outlineLevel="1" x14ac:dyDescent="0.25">
      <c r="A441" s="147"/>
      <c r="B441" s="147"/>
      <c r="C441" s="148"/>
      <c r="D441" s="141"/>
      <c r="E441" s="141"/>
      <c r="F441" s="50">
        <v>43647</v>
      </c>
      <c r="G441" s="50">
        <v>43830</v>
      </c>
      <c r="H441" s="168"/>
      <c r="I441" s="15" t="s">
        <v>23</v>
      </c>
      <c r="J441" s="15" t="s">
        <v>23</v>
      </c>
      <c r="K441" s="13">
        <v>34.852881355932105</v>
      </c>
      <c r="L441" s="13">
        <v>1482.2218798150955</v>
      </c>
      <c r="M441" s="198"/>
    </row>
    <row r="442" spans="1:13" ht="15" customHeight="1" outlineLevel="1" x14ac:dyDescent="0.25">
      <c r="A442" s="146" t="s">
        <v>48</v>
      </c>
      <c r="B442" s="146" t="s">
        <v>275</v>
      </c>
      <c r="C442" s="148"/>
      <c r="D442" s="156">
        <v>42723</v>
      </c>
      <c r="E442" s="156" t="s">
        <v>695</v>
      </c>
      <c r="F442" s="12">
        <v>43466</v>
      </c>
      <c r="G442" s="12">
        <v>43646</v>
      </c>
      <c r="H442" s="168" t="s">
        <v>797</v>
      </c>
      <c r="I442" s="66">
        <v>40.51</v>
      </c>
      <c r="J442" s="13">
        <v>2019.3</v>
      </c>
      <c r="K442" s="15" t="s">
        <v>23</v>
      </c>
      <c r="L442" s="15" t="s">
        <v>23</v>
      </c>
      <c r="M442" s="183"/>
    </row>
    <row r="443" spans="1:13" ht="15" customHeight="1" outlineLevel="1" x14ac:dyDescent="0.25">
      <c r="A443" s="148"/>
      <c r="B443" s="148"/>
      <c r="C443" s="148"/>
      <c r="D443" s="156"/>
      <c r="E443" s="156"/>
      <c r="F443" s="12">
        <v>43647</v>
      </c>
      <c r="G443" s="12">
        <v>43830</v>
      </c>
      <c r="H443" s="168"/>
      <c r="I443" s="66">
        <v>41.7</v>
      </c>
      <c r="J443" s="13">
        <v>2069.86</v>
      </c>
      <c r="K443" s="15" t="s">
        <v>23</v>
      </c>
      <c r="L443" s="15" t="s">
        <v>23</v>
      </c>
      <c r="M443" s="183"/>
    </row>
    <row r="444" spans="1:13" ht="15" customHeight="1" outlineLevel="1" x14ac:dyDescent="0.25">
      <c r="A444" s="148"/>
      <c r="B444" s="148"/>
      <c r="C444" s="148"/>
      <c r="D444" s="156">
        <v>43454</v>
      </c>
      <c r="E444" s="156" t="s">
        <v>796</v>
      </c>
      <c r="F444" s="50">
        <v>43466</v>
      </c>
      <c r="G444" s="50">
        <v>43646</v>
      </c>
      <c r="H444" s="168"/>
      <c r="I444" s="15" t="s">
        <v>23</v>
      </c>
      <c r="J444" s="15" t="s">
        <v>23</v>
      </c>
      <c r="K444" s="13">
        <v>31.566101694915162</v>
      </c>
      <c r="L444" s="13">
        <v>1284.3036109064074</v>
      </c>
      <c r="M444" s="196" t="s">
        <v>420</v>
      </c>
    </row>
    <row r="445" spans="1:13" ht="15" customHeight="1" outlineLevel="1" x14ac:dyDescent="0.25">
      <c r="A445" s="148"/>
      <c r="B445" s="148"/>
      <c r="C445" s="148"/>
      <c r="D445" s="156"/>
      <c r="E445" s="156"/>
      <c r="F445" s="50">
        <v>43647</v>
      </c>
      <c r="G445" s="50">
        <v>43830</v>
      </c>
      <c r="H445" s="168"/>
      <c r="I445" s="15" t="s">
        <v>23</v>
      </c>
      <c r="J445" s="15" t="s">
        <v>23</v>
      </c>
      <c r="K445" s="13">
        <v>32.197423728813469</v>
      </c>
      <c r="L445" s="13">
        <v>1309.9896831245353</v>
      </c>
      <c r="M445" s="198"/>
    </row>
    <row r="446" spans="1:13" ht="15" customHeight="1" outlineLevel="1" x14ac:dyDescent="0.25">
      <c r="A446" s="148"/>
      <c r="B446" s="148"/>
      <c r="C446" s="148"/>
      <c r="D446" s="156"/>
      <c r="E446" s="156"/>
      <c r="F446" s="50">
        <v>43466</v>
      </c>
      <c r="G446" s="50">
        <v>43646</v>
      </c>
      <c r="H446" s="168"/>
      <c r="I446" s="15" t="s">
        <v>23</v>
      </c>
      <c r="J446" s="15" t="s">
        <v>23</v>
      </c>
      <c r="K446" s="13">
        <v>31.566101694915162</v>
      </c>
      <c r="L446" s="13">
        <v>1406.6182405165416</v>
      </c>
      <c r="M446" s="196" t="s">
        <v>421</v>
      </c>
    </row>
    <row r="447" spans="1:13" ht="15" customHeight="1" outlineLevel="1" x14ac:dyDescent="0.25">
      <c r="A447" s="148"/>
      <c r="B447" s="148"/>
      <c r="C447" s="148"/>
      <c r="D447" s="156"/>
      <c r="E447" s="156"/>
      <c r="F447" s="50">
        <v>43647</v>
      </c>
      <c r="G447" s="50">
        <v>43830</v>
      </c>
      <c r="H447" s="168"/>
      <c r="I447" s="15" t="s">
        <v>23</v>
      </c>
      <c r="J447" s="15" t="s">
        <v>23</v>
      </c>
      <c r="K447" s="13">
        <v>32.197423728813469</v>
      </c>
      <c r="L447" s="13">
        <v>1434.7506053268721</v>
      </c>
      <c r="M447" s="198"/>
    </row>
    <row r="448" spans="1:13" ht="15" customHeight="1" outlineLevel="1" x14ac:dyDescent="0.25">
      <c r="A448" s="148"/>
      <c r="B448" s="148"/>
      <c r="C448" s="148"/>
      <c r="D448" s="156"/>
      <c r="E448" s="156"/>
      <c r="F448" s="50">
        <v>43466</v>
      </c>
      <c r="G448" s="50">
        <v>43646</v>
      </c>
      <c r="H448" s="168"/>
      <c r="I448" s="15" t="s">
        <v>23</v>
      </c>
      <c r="J448" s="15" t="s">
        <v>23</v>
      </c>
      <c r="K448" s="13">
        <v>31.566101694915162</v>
      </c>
      <c r="L448" s="13">
        <v>1197.5263398992179</v>
      </c>
      <c r="M448" s="196" t="s">
        <v>422</v>
      </c>
    </row>
    <row r="449" spans="1:13" ht="15" customHeight="1" outlineLevel="1" x14ac:dyDescent="0.25">
      <c r="A449" s="148"/>
      <c r="B449" s="148"/>
      <c r="C449" s="148"/>
      <c r="D449" s="156"/>
      <c r="E449" s="156"/>
      <c r="F449" s="50">
        <v>43647</v>
      </c>
      <c r="G449" s="50">
        <v>43830</v>
      </c>
      <c r="H449" s="168"/>
      <c r="I449" s="15" t="s">
        <v>23</v>
      </c>
      <c r="J449" s="15" t="s">
        <v>23</v>
      </c>
      <c r="K449" s="13">
        <v>32.197423728813469</v>
      </c>
      <c r="L449" s="13">
        <v>1221.476866697202</v>
      </c>
      <c r="M449" s="198"/>
    </row>
    <row r="450" spans="1:13" ht="15" customHeight="1" outlineLevel="1" x14ac:dyDescent="0.25">
      <c r="A450" s="148"/>
      <c r="B450" s="148"/>
      <c r="C450" s="148"/>
      <c r="D450" s="156"/>
      <c r="E450" s="156"/>
      <c r="F450" s="50">
        <v>43466</v>
      </c>
      <c r="G450" s="50">
        <v>43646</v>
      </c>
      <c r="H450" s="168"/>
      <c r="I450" s="15" t="s">
        <v>23</v>
      </c>
      <c r="J450" s="15" t="s">
        <v>23</v>
      </c>
      <c r="K450" s="13">
        <v>31.566101694915162</v>
      </c>
      <c r="L450" s="13">
        <v>1284.3036109064074</v>
      </c>
      <c r="M450" s="196" t="s">
        <v>423</v>
      </c>
    </row>
    <row r="451" spans="1:13" ht="15" customHeight="1" outlineLevel="1" x14ac:dyDescent="0.25">
      <c r="A451" s="148"/>
      <c r="B451" s="148"/>
      <c r="C451" s="148"/>
      <c r="D451" s="156"/>
      <c r="E451" s="156"/>
      <c r="F451" s="50">
        <v>43647</v>
      </c>
      <c r="G451" s="50">
        <v>43830</v>
      </c>
      <c r="H451" s="168"/>
      <c r="I451" s="15" t="s">
        <v>23</v>
      </c>
      <c r="J451" s="15" t="s">
        <v>23</v>
      </c>
      <c r="K451" s="13">
        <v>32.197423728813469</v>
      </c>
      <c r="L451" s="13">
        <v>1309.9896831245353</v>
      </c>
      <c r="M451" s="198"/>
    </row>
    <row r="452" spans="1:13" ht="15" customHeight="1" outlineLevel="1" x14ac:dyDescent="0.25">
      <c r="A452" s="148"/>
      <c r="B452" s="148"/>
      <c r="C452" s="148"/>
      <c r="D452" s="156"/>
      <c r="E452" s="156"/>
      <c r="F452" s="50">
        <v>43466</v>
      </c>
      <c r="G452" s="50">
        <v>43646</v>
      </c>
      <c r="H452" s="168"/>
      <c r="I452" s="15" t="s">
        <v>23</v>
      </c>
      <c r="J452" s="15" t="s">
        <v>23</v>
      </c>
      <c r="K452" s="13">
        <v>31.566101694915162</v>
      </c>
      <c r="L452" s="13">
        <v>1342.6810477657896</v>
      </c>
      <c r="M452" s="196" t="s">
        <v>424</v>
      </c>
    </row>
    <row r="453" spans="1:13" ht="15" customHeight="1" outlineLevel="1" x14ac:dyDescent="0.25">
      <c r="A453" s="148"/>
      <c r="B453" s="148"/>
      <c r="C453" s="148"/>
      <c r="D453" s="156"/>
      <c r="E453" s="156"/>
      <c r="F453" s="50">
        <v>43647</v>
      </c>
      <c r="G453" s="50">
        <v>43830</v>
      </c>
      <c r="H453" s="168"/>
      <c r="I453" s="15" t="s">
        <v>23</v>
      </c>
      <c r="J453" s="15" t="s">
        <v>23</v>
      </c>
      <c r="K453" s="13">
        <v>32.197423728813469</v>
      </c>
      <c r="L453" s="13">
        <v>1369.5346687211052</v>
      </c>
      <c r="M453" s="198"/>
    </row>
    <row r="454" spans="1:13" ht="15" customHeight="1" outlineLevel="1" x14ac:dyDescent="0.25">
      <c r="A454" s="148"/>
      <c r="B454" s="148"/>
      <c r="C454" s="148"/>
      <c r="D454" s="156"/>
      <c r="E454" s="156"/>
      <c r="F454" s="50">
        <v>43466</v>
      </c>
      <c r="G454" s="50">
        <v>43646</v>
      </c>
      <c r="H454" s="168"/>
      <c r="I454" s="15" t="s">
        <v>23</v>
      </c>
      <c r="J454" s="15" t="s">
        <v>23</v>
      </c>
      <c r="K454" s="13">
        <v>31.566101694915162</v>
      </c>
      <c r="L454" s="13">
        <v>1452.7368713531496</v>
      </c>
      <c r="M454" s="196" t="s">
        <v>425</v>
      </c>
    </row>
    <row r="455" spans="1:13" ht="15" customHeight="1" outlineLevel="1" x14ac:dyDescent="0.25">
      <c r="A455" s="148"/>
      <c r="B455" s="148"/>
      <c r="C455" s="148"/>
      <c r="D455" s="156"/>
      <c r="E455" s="156"/>
      <c r="F455" s="50">
        <v>43647</v>
      </c>
      <c r="G455" s="50">
        <v>43830</v>
      </c>
      <c r="H455" s="168"/>
      <c r="I455" s="15" t="s">
        <v>23</v>
      </c>
      <c r="J455" s="15" t="s">
        <v>23</v>
      </c>
      <c r="K455" s="13">
        <v>32.197423728813469</v>
      </c>
      <c r="L455" s="13">
        <v>1481.7916087802123</v>
      </c>
      <c r="M455" s="198"/>
    </row>
    <row r="456" spans="1:13" ht="15" customHeight="1" outlineLevel="1" x14ac:dyDescent="0.25">
      <c r="A456" s="148"/>
      <c r="B456" s="148"/>
      <c r="C456" s="148"/>
      <c r="D456" s="156"/>
      <c r="E456" s="156"/>
      <c r="F456" s="50">
        <v>43466</v>
      </c>
      <c r="G456" s="50">
        <v>43646</v>
      </c>
      <c r="H456" s="168"/>
      <c r="I456" s="15" t="s">
        <v>23</v>
      </c>
      <c r="J456" s="15" t="s">
        <v>23</v>
      </c>
      <c r="K456" s="13">
        <v>31.566101694915162</v>
      </c>
      <c r="L456" s="13">
        <v>1230.7909604519739</v>
      </c>
      <c r="M456" s="196" t="s">
        <v>426</v>
      </c>
    </row>
    <row r="457" spans="1:13" ht="15" customHeight="1" outlineLevel="1" x14ac:dyDescent="0.25">
      <c r="A457" s="148"/>
      <c r="B457" s="148"/>
      <c r="C457" s="148"/>
      <c r="D457" s="156"/>
      <c r="E457" s="156"/>
      <c r="F457" s="50">
        <v>43647</v>
      </c>
      <c r="G457" s="50">
        <v>43830</v>
      </c>
      <c r="H457" s="168"/>
      <c r="I457" s="15" t="s">
        <v>23</v>
      </c>
      <c r="J457" s="15" t="s">
        <v>23</v>
      </c>
      <c r="K457" s="13">
        <v>32.197423728813469</v>
      </c>
      <c r="L457" s="13">
        <v>1255.4067796610134</v>
      </c>
      <c r="M457" s="198"/>
    </row>
    <row r="458" spans="1:13" ht="15" customHeight="1" outlineLevel="1" x14ac:dyDescent="0.25">
      <c r="A458" s="148"/>
      <c r="B458" s="148"/>
      <c r="C458" s="148"/>
      <c r="D458" s="156"/>
      <c r="E458" s="156"/>
      <c r="F458" s="50">
        <v>43466</v>
      </c>
      <c r="G458" s="50">
        <v>43646</v>
      </c>
      <c r="H458" s="168"/>
      <c r="I458" s="15" t="s">
        <v>23</v>
      </c>
      <c r="J458" s="15" t="s">
        <v>23</v>
      </c>
      <c r="K458" s="13">
        <v>31.566101694915162</v>
      </c>
      <c r="L458" s="13">
        <v>1342.6810477657896</v>
      </c>
      <c r="M458" s="196" t="s">
        <v>427</v>
      </c>
    </row>
    <row r="459" spans="1:13" ht="15" customHeight="1" outlineLevel="1" x14ac:dyDescent="0.25">
      <c r="A459" s="147"/>
      <c r="B459" s="147"/>
      <c r="C459" s="147"/>
      <c r="D459" s="156"/>
      <c r="E459" s="156"/>
      <c r="F459" s="50">
        <v>43647</v>
      </c>
      <c r="G459" s="50">
        <v>43830</v>
      </c>
      <c r="H459" s="168"/>
      <c r="I459" s="15" t="s">
        <v>23</v>
      </c>
      <c r="J459" s="15" t="s">
        <v>23</v>
      </c>
      <c r="K459" s="13">
        <v>32.197423728813469</v>
      </c>
      <c r="L459" s="13">
        <v>1369.5346687211052</v>
      </c>
      <c r="M459" s="198"/>
    </row>
    <row r="460" spans="1:13" ht="15" customHeight="1" outlineLevel="1" x14ac:dyDescent="0.25">
      <c r="A460" s="146" t="s">
        <v>48</v>
      </c>
      <c r="B460" s="146" t="s">
        <v>341</v>
      </c>
      <c r="C460" s="146" t="s">
        <v>227</v>
      </c>
      <c r="D460" s="156">
        <f>Тепло!D229</f>
        <v>43453</v>
      </c>
      <c r="E460" s="156" t="str">
        <f>Тепло!E225</f>
        <v>461-п</v>
      </c>
      <c r="F460" s="12">
        <v>43466</v>
      </c>
      <c r="G460" s="12">
        <v>43646</v>
      </c>
      <c r="H460" s="168"/>
      <c r="I460" s="66">
        <v>70.180000000000007</v>
      </c>
      <c r="J460" s="13">
        <v>2829.27</v>
      </c>
      <c r="K460" s="15" t="s">
        <v>23</v>
      </c>
      <c r="L460" s="15" t="s">
        <v>23</v>
      </c>
      <c r="M460" s="183"/>
    </row>
    <row r="461" spans="1:13" ht="15" customHeight="1" outlineLevel="1" x14ac:dyDescent="0.25">
      <c r="A461" s="148"/>
      <c r="B461" s="148"/>
      <c r="C461" s="148"/>
      <c r="D461" s="156"/>
      <c r="E461" s="156"/>
      <c r="F461" s="12">
        <v>43647</v>
      </c>
      <c r="G461" s="12">
        <v>43830</v>
      </c>
      <c r="H461" s="168"/>
      <c r="I461" s="66">
        <v>74.349999999999994</v>
      </c>
      <c r="J461" s="13">
        <v>3231.67</v>
      </c>
      <c r="K461" s="15" t="s">
        <v>23</v>
      </c>
      <c r="L461" s="15" t="s">
        <v>23</v>
      </c>
      <c r="M461" s="183"/>
    </row>
    <row r="462" spans="1:13" ht="15" customHeight="1" outlineLevel="1" x14ac:dyDescent="0.25">
      <c r="A462" s="148"/>
      <c r="B462" s="148"/>
      <c r="C462" s="148"/>
      <c r="D462" s="156">
        <f>Тепло!D227</f>
        <v>43454</v>
      </c>
      <c r="E462" s="156" t="str">
        <f>Тепло!E231</f>
        <v>680-п</v>
      </c>
      <c r="F462" s="50">
        <v>43466</v>
      </c>
      <c r="G462" s="50">
        <v>43646</v>
      </c>
      <c r="H462" s="168"/>
      <c r="I462" s="15" t="s">
        <v>23</v>
      </c>
      <c r="J462" s="15" t="s">
        <v>23</v>
      </c>
      <c r="K462" s="13">
        <v>39.26</v>
      </c>
      <c r="L462" s="13">
        <v>1189.6400000000001</v>
      </c>
      <c r="M462" s="196" t="s">
        <v>420</v>
      </c>
    </row>
    <row r="463" spans="1:13" ht="15" customHeight="1" outlineLevel="1" x14ac:dyDescent="0.25">
      <c r="A463" s="148"/>
      <c r="B463" s="148"/>
      <c r="C463" s="148"/>
      <c r="D463" s="156"/>
      <c r="E463" s="156"/>
      <c r="F463" s="50">
        <v>43647</v>
      </c>
      <c r="G463" s="50">
        <v>43830</v>
      </c>
      <c r="H463" s="168"/>
      <c r="I463" s="15" t="s">
        <v>23</v>
      </c>
      <c r="J463" s="15" t="s">
        <v>23</v>
      </c>
      <c r="K463" s="13">
        <v>40.049999999999997</v>
      </c>
      <c r="L463" s="13">
        <v>1213.43</v>
      </c>
      <c r="M463" s="198"/>
    </row>
    <row r="464" spans="1:13" ht="15" customHeight="1" outlineLevel="1" x14ac:dyDescent="0.25">
      <c r="A464" s="148"/>
      <c r="B464" s="148"/>
      <c r="C464" s="148"/>
      <c r="D464" s="156"/>
      <c r="E464" s="156"/>
      <c r="F464" s="50">
        <v>43466</v>
      </c>
      <c r="G464" s="50">
        <v>43646</v>
      </c>
      <c r="H464" s="168"/>
      <c r="I464" s="15" t="s">
        <v>23</v>
      </c>
      <c r="J464" s="15" t="s">
        <v>23</v>
      </c>
      <c r="K464" s="13">
        <v>39.26</v>
      </c>
      <c r="L464" s="13">
        <v>1302.94</v>
      </c>
      <c r="M464" s="196" t="s">
        <v>421</v>
      </c>
    </row>
    <row r="465" spans="1:20" ht="15" customHeight="1" outlineLevel="1" x14ac:dyDescent="0.25">
      <c r="A465" s="148"/>
      <c r="B465" s="148"/>
      <c r="C465" s="148"/>
      <c r="D465" s="156"/>
      <c r="E465" s="156"/>
      <c r="F465" s="50">
        <v>43647</v>
      </c>
      <c r="G465" s="50">
        <v>43830</v>
      </c>
      <c r="H465" s="168"/>
      <c r="I465" s="15" t="s">
        <v>23</v>
      </c>
      <c r="J465" s="15" t="s">
        <v>23</v>
      </c>
      <c r="K465" s="13">
        <v>40.049999999999997</v>
      </c>
      <c r="L465" s="13">
        <v>1329</v>
      </c>
      <c r="M465" s="198"/>
    </row>
    <row r="466" spans="1:20" ht="15" customHeight="1" outlineLevel="1" x14ac:dyDescent="0.25">
      <c r="A466" s="148"/>
      <c r="B466" s="148"/>
      <c r="C466" s="148"/>
      <c r="D466" s="156"/>
      <c r="E466" s="156"/>
      <c r="F466" s="50">
        <v>43466</v>
      </c>
      <c r="G466" s="50">
        <v>43646</v>
      </c>
      <c r="H466" s="168"/>
      <c r="I466" s="15" t="s">
        <v>23</v>
      </c>
      <c r="J466" s="15" t="s">
        <v>23</v>
      </c>
      <c r="K466" s="13">
        <v>39.26</v>
      </c>
      <c r="L466" s="13">
        <v>1109.26</v>
      </c>
      <c r="M466" s="196" t="s">
        <v>422</v>
      </c>
    </row>
    <row r="467" spans="1:20" ht="15" customHeight="1" outlineLevel="1" x14ac:dyDescent="0.25">
      <c r="A467" s="148"/>
      <c r="B467" s="148"/>
      <c r="C467" s="148"/>
      <c r="D467" s="156"/>
      <c r="E467" s="156"/>
      <c r="F467" s="50">
        <v>43647</v>
      </c>
      <c r="G467" s="50">
        <v>43830</v>
      </c>
      <c r="H467" s="168"/>
      <c r="I467" s="15" t="s">
        <v>23</v>
      </c>
      <c r="J467" s="15" t="s">
        <v>23</v>
      </c>
      <c r="K467" s="13">
        <v>40.049999999999997</v>
      </c>
      <c r="L467" s="13">
        <v>1131.45</v>
      </c>
      <c r="M467" s="198"/>
    </row>
    <row r="468" spans="1:20" ht="15" customHeight="1" outlineLevel="1" x14ac:dyDescent="0.25">
      <c r="A468" s="148"/>
      <c r="B468" s="148"/>
      <c r="C468" s="148"/>
      <c r="D468" s="156"/>
      <c r="E468" s="156"/>
      <c r="F468" s="50">
        <v>43466</v>
      </c>
      <c r="G468" s="50">
        <v>43646</v>
      </c>
      <c r="H468" s="168"/>
      <c r="I468" s="15" t="s">
        <v>23</v>
      </c>
      <c r="J468" s="15" t="s">
        <v>23</v>
      </c>
      <c r="K468" s="13">
        <v>39.26</v>
      </c>
      <c r="L468" s="13">
        <v>1189.6400000000001</v>
      </c>
      <c r="M468" s="196" t="s">
        <v>423</v>
      </c>
    </row>
    <row r="469" spans="1:20" ht="15" customHeight="1" outlineLevel="1" x14ac:dyDescent="0.25">
      <c r="A469" s="148"/>
      <c r="B469" s="148"/>
      <c r="C469" s="148"/>
      <c r="D469" s="156"/>
      <c r="E469" s="156"/>
      <c r="F469" s="50">
        <v>43647</v>
      </c>
      <c r="G469" s="50">
        <v>43830</v>
      </c>
      <c r="H469" s="168"/>
      <c r="I469" s="15" t="s">
        <v>23</v>
      </c>
      <c r="J469" s="15" t="s">
        <v>23</v>
      </c>
      <c r="K469" s="13">
        <v>40.049999999999997</v>
      </c>
      <c r="L469" s="13">
        <v>1213.43</v>
      </c>
      <c r="M469" s="198"/>
    </row>
    <row r="470" spans="1:20" ht="15" customHeight="1" outlineLevel="1" x14ac:dyDescent="0.25">
      <c r="A470" s="148"/>
      <c r="B470" s="148"/>
      <c r="C470" s="148"/>
      <c r="D470" s="156"/>
      <c r="E470" s="156"/>
      <c r="F470" s="50">
        <v>43466</v>
      </c>
      <c r="G470" s="50">
        <v>43646</v>
      </c>
      <c r="H470" s="168"/>
      <c r="I470" s="15" t="s">
        <v>23</v>
      </c>
      <c r="J470" s="15" t="s">
        <v>23</v>
      </c>
      <c r="K470" s="13">
        <v>39.26</v>
      </c>
      <c r="L470" s="13">
        <v>1243.72</v>
      </c>
      <c r="M470" s="196" t="s">
        <v>424</v>
      </c>
    </row>
    <row r="471" spans="1:20" ht="15" customHeight="1" outlineLevel="1" x14ac:dyDescent="0.25">
      <c r="A471" s="148"/>
      <c r="B471" s="148"/>
      <c r="C471" s="148"/>
      <c r="D471" s="156"/>
      <c r="E471" s="156"/>
      <c r="F471" s="50">
        <v>43647</v>
      </c>
      <c r="G471" s="50">
        <v>43830</v>
      </c>
      <c r="H471" s="168"/>
      <c r="I471" s="15" t="s">
        <v>23</v>
      </c>
      <c r="J471" s="15" t="s">
        <v>23</v>
      </c>
      <c r="K471" s="13">
        <v>40.049999999999997</v>
      </c>
      <c r="L471" s="13">
        <v>1268.5899999999999</v>
      </c>
      <c r="M471" s="198"/>
    </row>
    <row r="472" spans="1:20" ht="15" customHeight="1" outlineLevel="1" x14ac:dyDescent="0.25">
      <c r="A472" s="148"/>
      <c r="B472" s="148"/>
      <c r="C472" s="148"/>
      <c r="D472" s="156"/>
      <c r="E472" s="156"/>
      <c r="F472" s="50">
        <v>43466</v>
      </c>
      <c r="G472" s="50">
        <v>43646</v>
      </c>
      <c r="H472" s="168"/>
      <c r="I472" s="15" t="s">
        <v>23</v>
      </c>
      <c r="J472" s="15" t="s">
        <v>23</v>
      </c>
      <c r="K472" s="13">
        <v>39.26</v>
      </c>
      <c r="L472" s="13">
        <v>1345.66</v>
      </c>
      <c r="M472" s="196" t="s">
        <v>425</v>
      </c>
    </row>
    <row r="473" spans="1:20" ht="15" customHeight="1" outlineLevel="1" x14ac:dyDescent="0.25">
      <c r="A473" s="148"/>
      <c r="B473" s="148"/>
      <c r="C473" s="148"/>
      <c r="D473" s="156"/>
      <c r="E473" s="156"/>
      <c r="F473" s="50">
        <v>43647</v>
      </c>
      <c r="G473" s="50">
        <v>43830</v>
      </c>
      <c r="H473" s="168"/>
      <c r="I473" s="15" t="s">
        <v>23</v>
      </c>
      <c r="J473" s="15" t="s">
        <v>23</v>
      </c>
      <c r="K473" s="13">
        <v>40.049999999999997</v>
      </c>
      <c r="L473" s="13">
        <v>1372.57</v>
      </c>
      <c r="M473" s="198"/>
    </row>
    <row r="474" spans="1:20" ht="15" customHeight="1" outlineLevel="1" x14ac:dyDescent="0.25">
      <c r="A474" s="148"/>
      <c r="B474" s="148"/>
      <c r="C474" s="148"/>
      <c r="D474" s="156"/>
      <c r="E474" s="156"/>
      <c r="F474" s="50">
        <v>43466</v>
      </c>
      <c r="G474" s="50">
        <v>43646</v>
      </c>
      <c r="H474" s="168"/>
      <c r="I474" s="15" t="s">
        <v>23</v>
      </c>
      <c r="J474" s="15" t="s">
        <v>23</v>
      </c>
      <c r="K474" s="13">
        <v>39.26</v>
      </c>
      <c r="L474" s="13">
        <v>1140.07</v>
      </c>
      <c r="M474" s="196" t="s">
        <v>426</v>
      </c>
      <c r="N474" s="55">
        <f>K474/1.2</f>
        <v>32.716666666666669</v>
      </c>
      <c r="O474" s="55">
        <f>L474/1.2</f>
        <v>950.05833333333328</v>
      </c>
    </row>
    <row r="475" spans="1:20" ht="15" customHeight="1" outlineLevel="1" x14ac:dyDescent="0.25">
      <c r="A475" s="148"/>
      <c r="B475" s="148"/>
      <c r="C475" s="148"/>
      <c r="D475" s="156"/>
      <c r="E475" s="156"/>
      <c r="F475" s="50">
        <v>43647</v>
      </c>
      <c r="G475" s="50">
        <v>43830</v>
      </c>
      <c r="H475" s="168"/>
      <c r="I475" s="15" t="s">
        <v>23</v>
      </c>
      <c r="J475" s="15" t="s">
        <v>23</v>
      </c>
      <c r="K475" s="13">
        <v>40.049999999999997</v>
      </c>
      <c r="L475" s="13">
        <v>1162.8699999999999</v>
      </c>
      <c r="M475" s="198"/>
    </row>
    <row r="476" spans="1:20" ht="15" customHeight="1" outlineLevel="1" x14ac:dyDescent="0.25">
      <c r="A476" s="148"/>
      <c r="B476" s="148"/>
      <c r="C476" s="148"/>
      <c r="D476" s="156"/>
      <c r="E476" s="156"/>
      <c r="F476" s="50">
        <v>43466</v>
      </c>
      <c r="G476" s="50">
        <v>43646</v>
      </c>
      <c r="H476" s="168"/>
      <c r="I476" s="15" t="s">
        <v>23</v>
      </c>
      <c r="J476" s="15" t="s">
        <v>23</v>
      </c>
      <c r="K476" s="13">
        <v>39.26</v>
      </c>
      <c r="L476" s="13">
        <v>1243.72</v>
      </c>
      <c r="M476" s="196" t="s">
        <v>427</v>
      </c>
      <c r="N476" s="55">
        <f>K476/1.2</f>
        <v>32.716666666666669</v>
      </c>
      <c r="O476" s="55">
        <f>L476/1.2</f>
        <v>1036.4333333333334</v>
      </c>
      <c r="P476" s="122">
        <f>I460-N476</f>
        <v>37.463333333333338</v>
      </c>
      <c r="Q476" s="57">
        <f>J460-O476</f>
        <v>1792.8366666666666</v>
      </c>
      <c r="R476" s="57">
        <f>P476*157.434</f>
        <v>5898.0024200000007</v>
      </c>
      <c r="S476" s="58">
        <f>Q476*10.391</f>
        <v>18629.365803333334</v>
      </c>
      <c r="T476" s="55">
        <f>R476+S476</f>
        <v>24527.368223333335</v>
      </c>
    </row>
    <row r="477" spans="1:20" ht="15" customHeight="1" outlineLevel="1" x14ac:dyDescent="0.25">
      <c r="A477" s="147"/>
      <c r="B477" s="147"/>
      <c r="C477" s="147"/>
      <c r="D477" s="156"/>
      <c r="E477" s="156"/>
      <c r="F477" s="50">
        <v>43647</v>
      </c>
      <c r="G477" s="50">
        <v>43830</v>
      </c>
      <c r="H477" s="168"/>
      <c r="I477" s="15" t="s">
        <v>23</v>
      </c>
      <c r="J477" s="15" t="s">
        <v>23</v>
      </c>
      <c r="K477" s="13">
        <v>40.049999999999997</v>
      </c>
      <c r="L477" s="13">
        <v>1268.5899999999999</v>
      </c>
      <c r="M477" s="198"/>
    </row>
    <row r="478" spans="1:20" ht="15" customHeight="1" outlineLevel="1" x14ac:dyDescent="0.25">
      <c r="A478" s="146" t="s">
        <v>48</v>
      </c>
      <c r="B478" s="146" t="s">
        <v>340</v>
      </c>
      <c r="C478" s="146" t="s">
        <v>227</v>
      </c>
      <c r="D478" s="156">
        <f>D460</f>
        <v>43453</v>
      </c>
      <c r="E478" s="156" t="str">
        <f>E460</f>
        <v>461-п</v>
      </c>
      <c r="F478" s="12">
        <v>43466</v>
      </c>
      <c r="G478" s="12">
        <v>43646</v>
      </c>
      <c r="H478" s="168"/>
      <c r="I478" s="66">
        <f>I460</f>
        <v>70.180000000000007</v>
      </c>
      <c r="J478" s="66">
        <f>J460</f>
        <v>2829.27</v>
      </c>
      <c r="K478" s="15" t="s">
        <v>23</v>
      </c>
      <c r="L478" s="15" t="s">
        <v>23</v>
      </c>
      <c r="M478" s="183"/>
    </row>
    <row r="479" spans="1:20" ht="15" customHeight="1" outlineLevel="1" x14ac:dyDescent="0.25">
      <c r="A479" s="148"/>
      <c r="B479" s="148"/>
      <c r="C479" s="148"/>
      <c r="D479" s="156"/>
      <c r="E479" s="156"/>
      <c r="F479" s="12">
        <v>43647</v>
      </c>
      <c r="G479" s="12">
        <v>43830</v>
      </c>
      <c r="H479" s="168"/>
      <c r="I479" s="66">
        <f>I461</f>
        <v>74.349999999999994</v>
      </c>
      <c r="J479" s="66">
        <f>J461</f>
        <v>3231.67</v>
      </c>
      <c r="K479" s="15" t="s">
        <v>23</v>
      </c>
      <c r="L479" s="15" t="s">
        <v>23</v>
      </c>
      <c r="M479" s="183"/>
    </row>
    <row r="480" spans="1:20" ht="15" customHeight="1" outlineLevel="1" x14ac:dyDescent="0.25">
      <c r="A480" s="148"/>
      <c r="B480" s="148"/>
      <c r="C480" s="148"/>
      <c r="D480" s="156">
        <f>D462</f>
        <v>43454</v>
      </c>
      <c r="E480" s="156" t="str">
        <f>E462</f>
        <v>680-п</v>
      </c>
      <c r="F480" s="50">
        <v>43466</v>
      </c>
      <c r="G480" s="50">
        <v>43646</v>
      </c>
      <c r="H480" s="168"/>
      <c r="I480" s="15" t="s">
        <v>23</v>
      </c>
      <c r="J480" s="15" t="s">
        <v>23</v>
      </c>
      <c r="K480" s="13">
        <v>43.28</v>
      </c>
      <c r="L480" s="13">
        <v>1712.18</v>
      </c>
      <c r="M480" s="196" t="s">
        <v>420</v>
      </c>
    </row>
    <row r="481" spans="1:17" ht="15" customHeight="1" outlineLevel="1" x14ac:dyDescent="0.25">
      <c r="A481" s="148"/>
      <c r="B481" s="148"/>
      <c r="C481" s="148"/>
      <c r="D481" s="156"/>
      <c r="E481" s="156"/>
      <c r="F481" s="50">
        <v>43647</v>
      </c>
      <c r="G481" s="50">
        <v>43830</v>
      </c>
      <c r="H481" s="168"/>
      <c r="I481" s="15" t="s">
        <v>23</v>
      </c>
      <c r="J481" s="15" t="s">
        <v>23</v>
      </c>
      <c r="K481" s="13">
        <v>44.15</v>
      </c>
      <c r="L481" s="13">
        <v>1746.42</v>
      </c>
      <c r="M481" s="198"/>
    </row>
    <row r="482" spans="1:17" ht="15" customHeight="1" outlineLevel="1" x14ac:dyDescent="0.25">
      <c r="A482" s="148"/>
      <c r="B482" s="148"/>
      <c r="C482" s="148"/>
      <c r="D482" s="156"/>
      <c r="E482" s="156"/>
      <c r="F482" s="50">
        <v>43466</v>
      </c>
      <c r="G482" s="50">
        <v>43646</v>
      </c>
      <c r="H482" s="168"/>
      <c r="I482" s="15" t="s">
        <v>23</v>
      </c>
      <c r="J482" s="15" t="s">
        <v>23</v>
      </c>
      <c r="K482" s="13">
        <v>43.28</v>
      </c>
      <c r="L482" s="13">
        <v>1875.23</v>
      </c>
      <c r="M482" s="196" t="s">
        <v>421</v>
      </c>
    </row>
    <row r="483" spans="1:17" ht="15" customHeight="1" outlineLevel="1" x14ac:dyDescent="0.25">
      <c r="A483" s="148"/>
      <c r="B483" s="148"/>
      <c r="C483" s="148"/>
      <c r="D483" s="156"/>
      <c r="E483" s="156"/>
      <c r="F483" s="50">
        <v>43647</v>
      </c>
      <c r="G483" s="50">
        <v>43830</v>
      </c>
      <c r="H483" s="168"/>
      <c r="I483" s="15" t="s">
        <v>23</v>
      </c>
      <c r="J483" s="15" t="s">
        <v>23</v>
      </c>
      <c r="K483" s="13">
        <v>44.15</v>
      </c>
      <c r="L483" s="13">
        <v>1912.73</v>
      </c>
      <c r="M483" s="198"/>
    </row>
    <row r="484" spans="1:17" ht="15" customHeight="1" outlineLevel="1" x14ac:dyDescent="0.25">
      <c r="A484" s="148"/>
      <c r="B484" s="148"/>
      <c r="C484" s="148"/>
      <c r="D484" s="156"/>
      <c r="E484" s="156"/>
      <c r="F484" s="50">
        <v>43466</v>
      </c>
      <c r="G484" s="50">
        <v>43646</v>
      </c>
      <c r="H484" s="168"/>
      <c r="I484" s="15" t="s">
        <v>23</v>
      </c>
      <c r="J484" s="15" t="s">
        <v>23</v>
      </c>
      <c r="K484" s="13">
        <v>43.28</v>
      </c>
      <c r="L484" s="13">
        <v>1596.49</v>
      </c>
      <c r="M484" s="196" t="s">
        <v>422</v>
      </c>
    </row>
    <row r="485" spans="1:17" ht="15" customHeight="1" outlineLevel="1" x14ac:dyDescent="0.25">
      <c r="A485" s="148"/>
      <c r="B485" s="148"/>
      <c r="C485" s="148"/>
      <c r="D485" s="156"/>
      <c r="E485" s="156"/>
      <c r="F485" s="50">
        <v>43647</v>
      </c>
      <c r="G485" s="50">
        <v>43830</v>
      </c>
      <c r="H485" s="168"/>
      <c r="I485" s="15" t="s">
        <v>23</v>
      </c>
      <c r="J485" s="15" t="s">
        <v>23</v>
      </c>
      <c r="K485" s="13">
        <v>44.15</v>
      </c>
      <c r="L485" s="13">
        <v>1628.42</v>
      </c>
      <c r="M485" s="198"/>
    </row>
    <row r="486" spans="1:17" ht="15" customHeight="1" outlineLevel="1" x14ac:dyDescent="0.25">
      <c r="A486" s="148"/>
      <c r="B486" s="148"/>
      <c r="C486" s="148"/>
      <c r="D486" s="156"/>
      <c r="E486" s="156"/>
      <c r="F486" s="50">
        <v>43466</v>
      </c>
      <c r="G486" s="50">
        <v>43646</v>
      </c>
      <c r="H486" s="168"/>
      <c r="I486" s="15" t="s">
        <v>23</v>
      </c>
      <c r="J486" s="15" t="s">
        <v>23</v>
      </c>
      <c r="K486" s="13">
        <v>43.28</v>
      </c>
      <c r="L486" s="13">
        <v>1712.18</v>
      </c>
      <c r="M486" s="196" t="s">
        <v>423</v>
      </c>
    </row>
    <row r="487" spans="1:17" ht="15" customHeight="1" outlineLevel="1" x14ac:dyDescent="0.25">
      <c r="A487" s="148"/>
      <c r="B487" s="148"/>
      <c r="C487" s="148"/>
      <c r="D487" s="156"/>
      <c r="E487" s="156"/>
      <c r="F487" s="50">
        <v>43647</v>
      </c>
      <c r="G487" s="50">
        <v>43830</v>
      </c>
      <c r="H487" s="168"/>
      <c r="I487" s="15" t="s">
        <v>23</v>
      </c>
      <c r="J487" s="15" t="s">
        <v>23</v>
      </c>
      <c r="K487" s="13">
        <v>44.15</v>
      </c>
      <c r="L487" s="13">
        <v>1746.42</v>
      </c>
      <c r="M487" s="198"/>
    </row>
    <row r="488" spans="1:17" ht="15" customHeight="1" outlineLevel="1" x14ac:dyDescent="0.25">
      <c r="A488" s="148"/>
      <c r="B488" s="148"/>
      <c r="C488" s="148"/>
      <c r="D488" s="156"/>
      <c r="E488" s="156"/>
      <c r="F488" s="50">
        <v>43466</v>
      </c>
      <c r="G488" s="50">
        <v>43646</v>
      </c>
      <c r="H488" s="168"/>
      <c r="I488" s="15" t="s">
        <v>23</v>
      </c>
      <c r="J488" s="15" t="s">
        <v>23</v>
      </c>
      <c r="K488" s="13">
        <v>43.28</v>
      </c>
      <c r="L488" s="13">
        <v>1790</v>
      </c>
      <c r="M488" s="196" t="s">
        <v>424</v>
      </c>
    </row>
    <row r="489" spans="1:17" ht="15" customHeight="1" outlineLevel="1" x14ac:dyDescent="0.25">
      <c r="A489" s="148"/>
      <c r="B489" s="148"/>
      <c r="C489" s="148"/>
      <c r="D489" s="156"/>
      <c r="E489" s="156"/>
      <c r="F489" s="50">
        <v>43647</v>
      </c>
      <c r="G489" s="50">
        <v>43830</v>
      </c>
      <c r="H489" s="168"/>
      <c r="I489" s="15" t="s">
        <v>23</v>
      </c>
      <c r="J489" s="15" t="s">
        <v>23</v>
      </c>
      <c r="K489" s="13">
        <v>44.15</v>
      </c>
      <c r="L489" s="13">
        <v>1825.8</v>
      </c>
      <c r="M489" s="198"/>
    </row>
    <row r="490" spans="1:17" ht="15" customHeight="1" outlineLevel="1" x14ac:dyDescent="0.25">
      <c r="A490" s="148"/>
      <c r="B490" s="148"/>
      <c r="C490" s="148"/>
      <c r="D490" s="156"/>
      <c r="E490" s="156"/>
      <c r="F490" s="50">
        <v>43466</v>
      </c>
      <c r="G490" s="50">
        <v>43646</v>
      </c>
      <c r="H490" s="168"/>
      <c r="I490" s="15" t="s">
        <v>23</v>
      </c>
      <c r="J490" s="15" t="s">
        <v>23</v>
      </c>
      <c r="K490" s="13">
        <v>43.28</v>
      </c>
      <c r="L490" s="13">
        <v>1936.72</v>
      </c>
      <c r="M490" s="196" t="s">
        <v>425</v>
      </c>
    </row>
    <row r="491" spans="1:17" ht="15" customHeight="1" outlineLevel="1" x14ac:dyDescent="0.25">
      <c r="A491" s="148"/>
      <c r="B491" s="148"/>
      <c r="C491" s="148"/>
      <c r="D491" s="156"/>
      <c r="E491" s="156"/>
      <c r="F491" s="50">
        <v>43647</v>
      </c>
      <c r="G491" s="50">
        <v>43830</v>
      </c>
      <c r="H491" s="168"/>
      <c r="I491" s="15" t="s">
        <v>23</v>
      </c>
      <c r="J491" s="15" t="s">
        <v>23</v>
      </c>
      <c r="K491" s="13">
        <v>44.15</v>
      </c>
      <c r="L491" s="13">
        <v>1975.45</v>
      </c>
      <c r="M491" s="198"/>
    </row>
    <row r="492" spans="1:17" ht="15" customHeight="1" outlineLevel="1" x14ac:dyDescent="0.25">
      <c r="A492" s="148"/>
      <c r="B492" s="148"/>
      <c r="C492" s="148"/>
      <c r="D492" s="156"/>
      <c r="E492" s="156"/>
      <c r="F492" s="50">
        <v>43466</v>
      </c>
      <c r="G492" s="50">
        <v>43646</v>
      </c>
      <c r="H492" s="168"/>
      <c r="I492" s="15" t="s">
        <v>23</v>
      </c>
      <c r="J492" s="15" t="s">
        <v>23</v>
      </c>
      <c r="K492" s="13">
        <v>43.28</v>
      </c>
      <c r="L492" s="13">
        <v>1640.84</v>
      </c>
      <c r="M492" s="196" t="s">
        <v>426</v>
      </c>
      <c r="N492" s="55">
        <f>K492/1.2</f>
        <v>36.06666666666667</v>
      </c>
      <c r="O492" s="55">
        <f>L492/1.2</f>
        <v>1367.3666666666666</v>
      </c>
      <c r="P492" s="122">
        <f>I478-N492</f>
        <v>34.113333333333337</v>
      </c>
      <c r="Q492" s="57">
        <f>J478-O492</f>
        <v>1461.9033333333334</v>
      </c>
    </row>
    <row r="493" spans="1:17" ht="15" customHeight="1" outlineLevel="1" x14ac:dyDescent="0.25">
      <c r="A493" s="148"/>
      <c r="B493" s="148"/>
      <c r="C493" s="148"/>
      <c r="D493" s="156"/>
      <c r="E493" s="156"/>
      <c r="F493" s="50">
        <v>43647</v>
      </c>
      <c r="G493" s="50">
        <v>43830</v>
      </c>
      <c r="H493" s="168"/>
      <c r="I493" s="15" t="s">
        <v>23</v>
      </c>
      <c r="J493" s="15" t="s">
        <v>23</v>
      </c>
      <c r="K493" s="13">
        <v>44.15</v>
      </c>
      <c r="L493" s="13">
        <v>1673.66</v>
      </c>
      <c r="M493" s="198"/>
    </row>
    <row r="494" spans="1:17" ht="15" customHeight="1" outlineLevel="1" x14ac:dyDescent="0.25">
      <c r="A494" s="148"/>
      <c r="B494" s="148"/>
      <c r="C494" s="148"/>
      <c r="D494" s="156"/>
      <c r="E494" s="156"/>
      <c r="F494" s="50">
        <v>43466</v>
      </c>
      <c r="G494" s="50">
        <v>43646</v>
      </c>
      <c r="H494" s="168"/>
      <c r="I494" s="15" t="s">
        <v>23</v>
      </c>
      <c r="J494" s="15" t="s">
        <v>23</v>
      </c>
      <c r="K494" s="13">
        <v>43.28</v>
      </c>
      <c r="L494" s="13">
        <v>1790</v>
      </c>
      <c r="M494" s="196" t="s">
        <v>427</v>
      </c>
      <c r="N494" s="55">
        <f>K494/1.2</f>
        <v>36.06666666666667</v>
      </c>
      <c r="O494" s="55">
        <f>L494/1.2</f>
        <v>1491.6666666666667</v>
      </c>
      <c r="P494" s="122">
        <f>I478-N494</f>
        <v>34.113333333333337</v>
      </c>
      <c r="Q494" s="57">
        <f>J478-O494</f>
        <v>1337.6033333333332</v>
      </c>
    </row>
    <row r="495" spans="1:17" ht="15" customHeight="1" outlineLevel="1" x14ac:dyDescent="0.25">
      <c r="A495" s="147"/>
      <c r="B495" s="147"/>
      <c r="C495" s="147"/>
      <c r="D495" s="156"/>
      <c r="E495" s="156"/>
      <c r="F495" s="50">
        <v>43647</v>
      </c>
      <c r="G495" s="50">
        <v>43830</v>
      </c>
      <c r="H495" s="168"/>
      <c r="I495" s="15" t="s">
        <v>23</v>
      </c>
      <c r="J495" s="15" t="s">
        <v>23</v>
      </c>
      <c r="K495" s="13">
        <v>44.15</v>
      </c>
      <c r="L495" s="13">
        <v>1825.8</v>
      </c>
      <c r="M495" s="198"/>
    </row>
    <row r="496" spans="1:17" ht="15" customHeight="1" outlineLevel="1" x14ac:dyDescent="0.25">
      <c r="A496" s="146" t="s">
        <v>48</v>
      </c>
      <c r="B496" s="146" t="s">
        <v>245</v>
      </c>
      <c r="C496" s="146" t="s">
        <v>339</v>
      </c>
      <c r="D496" s="156">
        <f>D478</f>
        <v>43453</v>
      </c>
      <c r="E496" s="156" t="str">
        <f>E478</f>
        <v>461-п</v>
      </c>
      <c r="F496" s="12">
        <v>43466</v>
      </c>
      <c r="G496" s="12">
        <v>43646</v>
      </c>
      <c r="H496" s="168"/>
      <c r="I496" s="66">
        <v>35.340000000000003</v>
      </c>
      <c r="J496" s="13">
        <v>3374.66</v>
      </c>
      <c r="K496" s="15" t="s">
        <v>23</v>
      </c>
      <c r="L496" s="15" t="s">
        <v>23</v>
      </c>
      <c r="M496" s="183"/>
    </row>
    <row r="497" spans="1:20" ht="15" customHeight="1" outlineLevel="1" x14ac:dyDescent="0.25">
      <c r="A497" s="148"/>
      <c r="B497" s="148"/>
      <c r="C497" s="148"/>
      <c r="D497" s="156"/>
      <c r="E497" s="156"/>
      <c r="F497" s="12">
        <v>43647</v>
      </c>
      <c r="G497" s="12">
        <v>43830</v>
      </c>
      <c r="H497" s="168"/>
      <c r="I497" s="66">
        <v>37.79</v>
      </c>
      <c r="J497" s="13">
        <v>3716.05</v>
      </c>
      <c r="K497" s="15" t="s">
        <v>23</v>
      </c>
      <c r="L497" s="15" t="s">
        <v>23</v>
      </c>
      <c r="M497" s="183"/>
    </row>
    <row r="498" spans="1:20" ht="15" customHeight="1" outlineLevel="1" x14ac:dyDescent="0.25">
      <c r="A498" s="148"/>
      <c r="B498" s="148"/>
      <c r="C498" s="148"/>
      <c r="D498" s="156">
        <f>D480</f>
        <v>43454</v>
      </c>
      <c r="E498" s="156" t="str">
        <f>E480</f>
        <v>680-п</v>
      </c>
      <c r="F498" s="50">
        <v>43466</v>
      </c>
      <c r="G498" s="50">
        <v>43646</v>
      </c>
      <c r="H498" s="168"/>
      <c r="I498" s="15" t="s">
        <v>23</v>
      </c>
      <c r="J498" s="15" t="s">
        <v>23</v>
      </c>
      <c r="K498" s="13">
        <v>17.23</v>
      </c>
      <c r="L498" s="13">
        <v>1603.92</v>
      </c>
      <c r="M498" s="196" t="s">
        <v>420</v>
      </c>
    </row>
    <row r="499" spans="1:20" ht="15" customHeight="1" outlineLevel="1" x14ac:dyDescent="0.25">
      <c r="A499" s="148"/>
      <c r="B499" s="148"/>
      <c r="C499" s="148"/>
      <c r="D499" s="156"/>
      <c r="E499" s="156"/>
      <c r="F499" s="50">
        <v>43647</v>
      </c>
      <c r="G499" s="50">
        <v>43830</v>
      </c>
      <c r="H499" s="168"/>
      <c r="I499" s="15" t="s">
        <v>23</v>
      </c>
      <c r="J499" s="15" t="s">
        <v>23</v>
      </c>
      <c r="K499" s="13">
        <v>17.57</v>
      </c>
      <c r="L499" s="13">
        <v>1636</v>
      </c>
      <c r="M499" s="198"/>
    </row>
    <row r="500" spans="1:20" ht="15" customHeight="1" outlineLevel="1" x14ac:dyDescent="0.25">
      <c r="A500" s="148"/>
      <c r="B500" s="148"/>
      <c r="C500" s="148"/>
      <c r="D500" s="156"/>
      <c r="E500" s="156"/>
      <c r="F500" s="50">
        <v>43466</v>
      </c>
      <c r="G500" s="50">
        <v>43646</v>
      </c>
      <c r="H500" s="168"/>
      <c r="I500" s="15" t="s">
        <v>23</v>
      </c>
      <c r="J500" s="15" t="s">
        <v>23</v>
      </c>
      <c r="K500" s="13">
        <v>17.23</v>
      </c>
      <c r="L500" s="13">
        <v>1756.68</v>
      </c>
      <c r="M500" s="196" t="s">
        <v>421</v>
      </c>
    </row>
    <row r="501" spans="1:20" ht="15" customHeight="1" outlineLevel="1" x14ac:dyDescent="0.25">
      <c r="A501" s="148"/>
      <c r="B501" s="148"/>
      <c r="C501" s="148"/>
      <c r="D501" s="156"/>
      <c r="E501" s="156"/>
      <c r="F501" s="50">
        <v>43647</v>
      </c>
      <c r="G501" s="50">
        <v>43830</v>
      </c>
      <c r="H501" s="168"/>
      <c r="I501" s="15" t="s">
        <v>23</v>
      </c>
      <c r="J501" s="15" t="s">
        <v>23</v>
      </c>
      <c r="K501" s="13">
        <v>17.57</v>
      </c>
      <c r="L501" s="13">
        <v>1791.81</v>
      </c>
      <c r="M501" s="198"/>
    </row>
    <row r="502" spans="1:20" ht="15" customHeight="1" outlineLevel="1" x14ac:dyDescent="0.25">
      <c r="A502" s="148"/>
      <c r="B502" s="148"/>
      <c r="C502" s="148"/>
      <c r="D502" s="156"/>
      <c r="E502" s="156"/>
      <c r="F502" s="50">
        <v>43466</v>
      </c>
      <c r="G502" s="50">
        <v>43646</v>
      </c>
      <c r="H502" s="168"/>
      <c r="I502" s="15" t="s">
        <v>23</v>
      </c>
      <c r="J502" s="15" t="s">
        <v>23</v>
      </c>
      <c r="K502" s="13">
        <v>17.23</v>
      </c>
      <c r="L502" s="13">
        <v>1495.56</v>
      </c>
      <c r="M502" s="196" t="s">
        <v>422</v>
      </c>
    </row>
    <row r="503" spans="1:20" ht="15" customHeight="1" outlineLevel="1" x14ac:dyDescent="0.25">
      <c r="A503" s="148"/>
      <c r="B503" s="148"/>
      <c r="C503" s="148"/>
      <c r="D503" s="156"/>
      <c r="E503" s="156"/>
      <c r="F503" s="50">
        <v>43647</v>
      </c>
      <c r="G503" s="50">
        <v>43830</v>
      </c>
      <c r="H503" s="168"/>
      <c r="I503" s="15" t="s">
        <v>23</v>
      </c>
      <c r="J503" s="15" t="s">
        <v>23</v>
      </c>
      <c r="K503" s="13">
        <v>17.57</v>
      </c>
      <c r="L503" s="13">
        <v>1525.47</v>
      </c>
      <c r="M503" s="198"/>
    </row>
    <row r="504" spans="1:20" ht="15" customHeight="1" outlineLevel="1" x14ac:dyDescent="0.25">
      <c r="A504" s="148"/>
      <c r="B504" s="148"/>
      <c r="C504" s="148"/>
      <c r="D504" s="156"/>
      <c r="E504" s="156"/>
      <c r="F504" s="50">
        <v>43466</v>
      </c>
      <c r="G504" s="50">
        <v>43646</v>
      </c>
      <c r="H504" s="168"/>
      <c r="I504" s="15" t="s">
        <v>23</v>
      </c>
      <c r="J504" s="15" t="s">
        <v>23</v>
      </c>
      <c r="K504" s="13">
        <v>17.23</v>
      </c>
      <c r="L504" s="13">
        <v>1603.92</v>
      </c>
      <c r="M504" s="196" t="s">
        <v>423</v>
      </c>
    </row>
    <row r="505" spans="1:20" ht="15" customHeight="1" outlineLevel="1" x14ac:dyDescent="0.25">
      <c r="A505" s="148"/>
      <c r="B505" s="148"/>
      <c r="C505" s="148"/>
      <c r="D505" s="156"/>
      <c r="E505" s="156"/>
      <c r="F505" s="50">
        <v>43647</v>
      </c>
      <c r="G505" s="50">
        <v>43830</v>
      </c>
      <c r="H505" s="168"/>
      <c r="I505" s="15" t="s">
        <v>23</v>
      </c>
      <c r="J505" s="15" t="s">
        <v>23</v>
      </c>
      <c r="K505" s="13">
        <v>17.57</v>
      </c>
      <c r="L505" s="13">
        <v>1636</v>
      </c>
      <c r="M505" s="198"/>
    </row>
    <row r="506" spans="1:20" ht="15" customHeight="1" outlineLevel="1" x14ac:dyDescent="0.25">
      <c r="A506" s="148"/>
      <c r="B506" s="148"/>
      <c r="C506" s="148"/>
      <c r="D506" s="156"/>
      <c r="E506" s="156"/>
      <c r="F506" s="50">
        <v>43466</v>
      </c>
      <c r="G506" s="50">
        <v>43646</v>
      </c>
      <c r="H506" s="168"/>
      <c r="I506" s="15" t="s">
        <v>23</v>
      </c>
      <c r="J506" s="15" t="s">
        <v>23</v>
      </c>
      <c r="K506" s="13">
        <v>17.23</v>
      </c>
      <c r="L506" s="13">
        <v>1676.83</v>
      </c>
      <c r="M506" s="196" t="s">
        <v>424</v>
      </c>
    </row>
    <row r="507" spans="1:20" ht="15" customHeight="1" outlineLevel="1" x14ac:dyDescent="0.25">
      <c r="A507" s="148"/>
      <c r="B507" s="148"/>
      <c r="C507" s="148"/>
      <c r="D507" s="156"/>
      <c r="E507" s="156"/>
      <c r="F507" s="50">
        <v>43647</v>
      </c>
      <c r="G507" s="50">
        <v>43830</v>
      </c>
      <c r="H507" s="168"/>
      <c r="I507" s="15" t="s">
        <v>23</v>
      </c>
      <c r="J507" s="15" t="s">
        <v>23</v>
      </c>
      <c r="K507" s="13">
        <v>17.57</v>
      </c>
      <c r="L507" s="13">
        <v>1710.37</v>
      </c>
      <c r="M507" s="198"/>
    </row>
    <row r="508" spans="1:20" ht="15" customHeight="1" outlineLevel="1" x14ac:dyDescent="0.25">
      <c r="A508" s="148"/>
      <c r="B508" s="148"/>
      <c r="C508" s="148"/>
      <c r="D508" s="156"/>
      <c r="E508" s="156"/>
      <c r="F508" s="50">
        <v>43466</v>
      </c>
      <c r="G508" s="50">
        <v>43646</v>
      </c>
      <c r="H508" s="168"/>
      <c r="I508" s="15" t="s">
        <v>23</v>
      </c>
      <c r="J508" s="15" t="s">
        <v>23</v>
      </c>
      <c r="K508" s="13">
        <v>17.23</v>
      </c>
      <c r="L508" s="13">
        <v>1814.28</v>
      </c>
      <c r="M508" s="196" t="s">
        <v>425</v>
      </c>
    </row>
    <row r="509" spans="1:20" ht="15" customHeight="1" outlineLevel="1" x14ac:dyDescent="0.25">
      <c r="A509" s="148"/>
      <c r="B509" s="148"/>
      <c r="C509" s="148"/>
      <c r="D509" s="156"/>
      <c r="E509" s="156"/>
      <c r="F509" s="50">
        <v>43647</v>
      </c>
      <c r="G509" s="50">
        <v>43830</v>
      </c>
      <c r="H509" s="168"/>
      <c r="I509" s="15" t="s">
        <v>23</v>
      </c>
      <c r="J509" s="15" t="s">
        <v>23</v>
      </c>
      <c r="K509" s="13">
        <v>17.57</v>
      </c>
      <c r="L509" s="13">
        <v>1850.57</v>
      </c>
      <c r="M509" s="198"/>
    </row>
    <row r="510" spans="1:20" ht="15" customHeight="1" outlineLevel="1" x14ac:dyDescent="0.25">
      <c r="A510" s="148"/>
      <c r="B510" s="148"/>
      <c r="C510" s="148"/>
      <c r="D510" s="156"/>
      <c r="E510" s="156"/>
      <c r="F510" s="50">
        <v>43466</v>
      </c>
      <c r="G510" s="50">
        <v>43646</v>
      </c>
      <c r="H510" s="168"/>
      <c r="I510" s="15" t="s">
        <v>23</v>
      </c>
      <c r="J510" s="15" t="s">
        <v>23</v>
      </c>
      <c r="K510" s="13">
        <v>17.23</v>
      </c>
      <c r="L510" s="13">
        <v>1537.1</v>
      </c>
      <c r="M510" s="196" t="s">
        <v>426</v>
      </c>
      <c r="N510" s="55">
        <f>K510/1.2</f>
        <v>14.358333333333334</v>
      </c>
      <c r="O510" s="55">
        <f>L510/1.2</f>
        <v>1280.9166666666667</v>
      </c>
      <c r="P510" s="122">
        <f>$I$496-N510</f>
        <v>20.981666666666669</v>
      </c>
      <c r="Q510" s="57">
        <f>$J$496-O510</f>
        <v>2093.7433333333329</v>
      </c>
    </row>
    <row r="511" spans="1:20" ht="15" customHeight="1" outlineLevel="1" x14ac:dyDescent="0.25">
      <c r="A511" s="148"/>
      <c r="B511" s="148"/>
      <c r="C511" s="148"/>
      <c r="D511" s="156"/>
      <c r="E511" s="156"/>
      <c r="F511" s="50">
        <v>43647</v>
      </c>
      <c r="G511" s="50">
        <v>43830</v>
      </c>
      <c r="H511" s="168"/>
      <c r="I511" s="15" t="s">
        <v>23</v>
      </c>
      <c r="J511" s="15" t="s">
        <v>23</v>
      </c>
      <c r="K511" s="13">
        <v>17.57</v>
      </c>
      <c r="L511" s="13">
        <v>1567.84</v>
      </c>
      <c r="M511" s="198"/>
    </row>
    <row r="512" spans="1:20" ht="15" customHeight="1" outlineLevel="1" x14ac:dyDescent="0.25">
      <c r="A512" s="148"/>
      <c r="B512" s="148"/>
      <c r="C512" s="148"/>
      <c r="D512" s="156"/>
      <c r="E512" s="156"/>
      <c r="F512" s="50">
        <v>43466</v>
      </c>
      <c r="G512" s="50">
        <v>43646</v>
      </c>
      <c r="H512" s="168"/>
      <c r="I512" s="15" t="s">
        <v>23</v>
      </c>
      <c r="J512" s="15" t="s">
        <v>23</v>
      </c>
      <c r="K512" s="13">
        <v>17.23</v>
      </c>
      <c r="L512" s="13">
        <v>1676.83</v>
      </c>
      <c r="M512" s="196" t="s">
        <v>427</v>
      </c>
      <c r="N512" s="55">
        <f>K512/1.2</f>
        <v>14.358333333333334</v>
      </c>
      <c r="O512" s="55">
        <f>L512/1.2</f>
        <v>1397.3583333333333</v>
      </c>
      <c r="P512" s="56">
        <f>$I$496-N512</f>
        <v>20.981666666666669</v>
      </c>
      <c r="Q512" s="57">
        <f>$J$496-O512</f>
        <v>1977.3016666666665</v>
      </c>
      <c r="R512" s="57">
        <f>P512*1482.307</f>
        <v>31101.271371666669</v>
      </c>
      <c r="S512" s="58">
        <f>Q512*97.833</f>
        <v>193445.35395499997</v>
      </c>
      <c r="T512" s="55">
        <f>R512+S512</f>
        <v>224546.62532666663</v>
      </c>
    </row>
    <row r="513" spans="1:20" ht="15" customHeight="1" outlineLevel="1" x14ac:dyDescent="0.25">
      <c r="A513" s="147"/>
      <c r="B513" s="147"/>
      <c r="C513" s="147"/>
      <c r="D513" s="156"/>
      <c r="E513" s="156"/>
      <c r="F513" s="50">
        <v>43647</v>
      </c>
      <c r="G513" s="50">
        <v>43830</v>
      </c>
      <c r="H513" s="168"/>
      <c r="I513" s="15" t="s">
        <v>23</v>
      </c>
      <c r="J513" s="15" t="s">
        <v>23</v>
      </c>
      <c r="K513" s="13">
        <v>17.57</v>
      </c>
      <c r="L513" s="13">
        <v>1710.37</v>
      </c>
      <c r="M513" s="198"/>
    </row>
    <row r="514" spans="1:20" ht="15" customHeight="1" outlineLevel="1" x14ac:dyDescent="0.25">
      <c r="A514" s="146" t="s">
        <v>48</v>
      </c>
      <c r="B514" s="146" t="s">
        <v>245</v>
      </c>
      <c r="C514" s="146" t="s">
        <v>276</v>
      </c>
      <c r="D514" s="156">
        <f>D496</f>
        <v>43453</v>
      </c>
      <c r="E514" s="156" t="str">
        <f>E496</f>
        <v>461-п</v>
      </c>
      <c r="F514" s="12">
        <v>43466</v>
      </c>
      <c r="G514" s="12">
        <v>43646</v>
      </c>
      <c r="H514" s="168"/>
      <c r="I514" s="66">
        <v>102.99</v>
      </c>
      <c r="J514" s="13">
        <v>1957.46</v>
      </c>
      <c r="K514" s="15" t="s">
        <v>23</v>
      </c>
      <c r="L514" s="15" t="s">
        <v>23</v>
      </c>
      <c r="M514" s="183"/>
    </row>
    <row r="515" spans="1:20" ht="15" customHeight="1" outlineLevel="1" x14ac:dyDescent="0.25">
      <c r="A515" s="148"/>
      <c r="B515" s="148"/>
      <c r="C515" s="148"/>
      <c r="D515" s="156"/>
      <c r="E515" s="156"/>
      <c r="F515" s="12">
        <v>43647</v>
      </c>
      <c r="G515" s="12">
        <v>43830</v>
      </c>
      <c r="H515" s="168"/>
      <c r="I515" s="66">
        <v>105.05</v>
      </c>
      <c r="J515" s="13">
        <v>2153.2800000000002</v>
      </c>
      <c r="K515" s="15" t="s">
        <v>23</v>
      </c>
      <c r="L515" s="15" t="s">
        <v>23</v>
      </c>
      <c r="M515" s="183"/>
    </row>
    <row r="516" spans="1:20" ht="15" customHeight="1" outlineLevel="1" x14ac:dyDescent="0.25">
      <c r="A516" s="148"/>
      <c r="B516" s="148"/>
      <c r="C516" s="148"/>
      <c r="D516" s="156">
        <f>D498</f>
        <v>43454</v>
      </c>
      <c r="E516" s="156" t="str">
        <f>E498</f>
        <v>680-п</v>
      </c>
      <c r="F516" s="50">
        <v>43466</v>
      </c>
      <c r="G516" s="50">
        <v>43646</v>
      </c>
      <c r="H516" s="168"/>
      <c r="I516" s="15" t="s">
        <v>23</v>
      </c>
      <c r="J516" s="15" t="s">
        <v>23</v>
      </c>
      <c r="K516" s="13">
        <v>24.84</v>
      </c>
      <c r="L516" s="13">
        <v>1493.55</v>
      </c>
      <c r="M516" s="196" t="s">
        <v>420</v>
      </c>
    </row>
    <row r="517" spans="1:20" ht="15" customHeight="1" outlineLevel="1" x14ac:dyDescent="0.25">
      <c r="A517" s="148"/>
      <c r="B517" s="148"/>
      <c r="C517" s="148"/>
      <c r="D517" s="156"/>
      <c r="E517" s="156"/>
      <c r="F517" s="50">
        <v>43647</v>
      </c>
      <c r="G517" s="50">
        <v>43830</v>
      </c>
      <c r="H517" s="168"/>
      <c r="I517" s="15" t="s">
        <v>23</v>
      </c>
      <c r="J517" s="15" t="s">
        <v>23</v>
      </c>
      <c r="K517" s="13">
        <v>25.34</v>
      </c>
      <c r="L517" s="13">
        <v>1523.42</v>
      </c>
      <c r="M517" s="198"/>
    </row>
    <row r="518" spans="1:20" ht="15" customHeight="1" outlineLevel="1" x14ac:dyDescent="0.25">
      <c r="A518" s="148"/>
      <c r="B518" s="148"/>
      <c r="C518" s="148"/>
      <c r="D518" s="156"/>
      <c r="E518" s="156"/>
      <c r="F518" s="50">
        <v>43466</v>
      </c>
      <c r="G518" s="50">
        <v>43646</v>
      </c>
      <c r="H518" s="168"/>
      <c r="I518" s="15" t="s">
        <v>23</v>
      </c>
      <c r="J518" s="15" t="s">
        <v>23</v>
      </c>
      <c r="K518" s="13">
        <v>24.84</v>
      </c>
      <c r="L518" s="13">
        <v>1635.79</v>
      </c>
      <c r="M518" s="196" t="s">
        <v>421</v>
      </c>
    </row>
    <row r="519" spans="1:20" ht="15" customHeight="1" outlineLevel="1" x14ac:dyDescent="0.25">
      <c r="A519" s="148"/>
      <c r="B519" s="148"/>
      <c r="C519" s="148"/>
      <c r="D519" s="156"/>
      <c r="E519" s="156"/>
      <c r="F519" s="50">
        <v>43647</v>
      </c>
      <c r="G519" s="50">
        <v>43830</v>
      </c>
      <c r="H519" s="168"/>
      <c r="I519" s="15" t="s">
        <v>23</v>
      </c>
      <c r="J519" s="15" t="s">
        <v>23</v>
      </c>
      <c r="K519" s="13">
        <v>25.34</v>
      </c>
      <c r="L519" s="13">
        <v>1668.51</v>
      </c>
      <c r="M519" s="198"/>
    </row>
    <row r="520" spans="1:20" ht="15" customHeight="1" outlineLevel="1" x14ac:dyDescent="0.25">
      <c r="A520" s="148"/>
      <c r="B520" s="148"/>
      <c r="C520" s="148"/>
      <c r="D520" s="156"/>
      <c r="E520" s="156"/>
      <c r="F520" s="50">
        <v>43466</v>
      </c>
      <c r="G520" s="50">
        <v>43646</v>
      </c>
      <c r="H520" s="168"/>
      <c r="I520" s="15" t="s">
        <v>23</v>
      </c>
      <c r="J520" s="15" t="s">
        <v>23</v>
      </c>
      <c r="K520" s="13">
        <v>24.84</v>
      </c>
      <c r="L520" s="13">
        <v>1392.63</v>
      </c>
      <c r="M520" s="196" t="s">
        <v>422</v>
      </c>
    </row>
    <row r="521" spans="1:20" ht="15" customHeight="1" outlineLevel="1" x14ac:dyDescent="0.25">
      <c r="A521" s="148"/>
      <c r="B521" s="148"/>
      <c r="C521" s="148"/>
      <c r="D521" s="156"/>
      <c r="E521" s="156"/>
      <c r="F521" s="50">
        <v>43647</v>
      </c>
      <c r="G521" s="50">
        <v>43830</v>
      </c>
      <c r="H521" s="168"/>
      <c r="I521" s="15" t="s">
        <v>23</v>
      </c>
      <c r="J521" s="15" t="s">
        <v>23</v>
      </c>
      <c r="K521" s="13">
        <v>25.34</v>
      </c>
      <c r="L521" s="13">
        <v>1420.48</v>
      </c>
      <c r="M521" s="198"/>
    </row>
    <row r="522" spans="1:20" ht="15" customHeight="1" outlineLevel="1" x14ac:dyDescent="0.25">
      <c r="A522" s="148"/>
      <c r="B522" s="148"/>
      <c r="C522" s="148"/>
      <c r="D522" s="156"/>
      <c r="E522" s="156"/>
      <c r="F522" s="50">
        <v>43466</v>
      </c>
      <c r="G522" s="50">
        <v>43646</v>
      </c>
      <c r="H522" s="168"/>
      <c r="I522" s="15" t="s">
        <v>23</v>
      </c>
      <c r="J522" s="15" t="s">
        <v>23</v>
      </c>
      <c r="K522" s="13">
        <v>24.84</v>
      </c>
      <c r="L522" s="13">
        <v>1493.55</v>
      </c>
      <c r="M522" s="196" t="s">
        <v>423</v>
      </c>
    </row>
    <row r="523" spans="1:20" ht="15" customHeight="1" outlineLevel="1" x14ac:dyDescent="0.25">
      <c r="A523" s="148"/>
      <c r="B523" s="148"/>
      <c r="C523" s="148"/>
      <c r="D523" s="156"/>
      <c r="E523" s="156"/>
      <c r="F523" s="50">
        <v>43647</v>
      </c>
      <c r="G523" s="50">
        <v>43830</v>
      </c>
      <c r="H523" s="168"/>
      <c r="I523" s="15" t="s">
        <v>23</v>
      </c>
      <c r="J523" s="15" t="s">
        <v>23</v>
      </c>
      <c r="K523" s="13">
        <v>25.34</v>
      </c>
      <c r="L523" s="13">
        <v>1523.42</v>
      </c>
      <c r="M523" s="198"/>
    </row>
    <row r="524" spans="1:20" ht="15" customHeight="1" outlineLevel="1" x14ac:dyDescent="0.25">
      <c r="A524" s="148"/>
      <c r="B524" s="148"/>
      <c r="C524" s="148"/>
      <c r="D524" s="156"/>
      <c r="E524" s="156"/>
      <c r="F524" s="50">
        <v>43466</v>
      </c>
      <c r="G524" s="50">
        <v>43646</v>
      </c>
      <c r="H524" s="168"/>
      <c r="I524" s="15" t="s">
        <v>23</v>
      </c>
      <c r="J524" s="15" t="s">
        <v>23</v>
      </c>
      <c r="K524" s="13">
        <v>24.84</v>
      </c>
      <c r="L524" s="13">
        <v>1561.43</v>
      </c>
      <c r="M524" s="196" t="s">
        <v>424</v>
      </c>
    </row>
    <row r="525" spans="1:20" ht="15" customHeight="1" outlineLevel="1" x14ac:dyDescent="0.25">
      <c r="A525" s="148"/>
      <c r="B525" s="148"/>
      <c r="C525" s="148"/>
      <c r="D525" s="156"/>
      <c r="E525" s="156"/>
      <c r="F525" s="50">
        <v>43647</v>
      </c>
      <c r="G525" s="50">
        <v>43830</v>
      </c>
      <c r="H525" s="168"/>
      <c r="I525" s="15" t="s">
        <v>23</v>
      </c>
      <c r="J525" s="15" t="s">
        <v>23</v>
      </c>
      <c r="K525" s="13">
        <v>25.34</v>
      </c>
      <c r="L525" s="13">
        <v>1592.66</v>
      </c>
      <c r="M525" s="198"/>
    </row>
    <row r="526" spans="1:20" ht="15" customHeight="1" outlineLevel="1" x14ac:dyDescent="0.25">
      <c r="A526" s="148"/>
      <c r="B526" s="148"/>
      <c r="C526" s="148"/>
      <c r="D526" s="156"/>
      <c r="E526" s="156"/>
      <c r="F526" s="50">
        <v>43466</v>
      </c>
      <c r="G526" s="50">
        <v>43646</v>
      </c>
      <c r="H526" s="168"/>
      <c r="I526" s="15" t="s">
        <v>23</v>
      </c>
      <c r="J526" s="15" t="s">
        <v>23</v>
      </c>
      <c r="K526" s="13">
        <v>24.84</v>
      </c>
      <c r="L526" s="13">
        <v>1689.42</v>
      </c>
      <c r="M526" s="196" t="s">
        <v>425</v>
      </c>
    </row>
    <row r="527" spans="1:20" ht="15" customHeight="1" outlineLevel="1" x14ac:dyDescent="0.25">
      <c r="A527" s="148"/>
      <c r="B527" s="148"/>
      <c r="C527" s="148"/>
      <c r="D527" s="156"/>
      <c r="E527" s="156"/>
      <c r="F527" s="50">
        <v>43647</v>
      </c>
      <c r="G527" s="50">
        <v>43830</v>
      </c>
      <c r="H527" s="168"/>
      <c r="I527" s="15" t="s">
        <v>23</v>
      </c>
      <c r="J527" s="15" t="s">
        <v>23</v>
      </c>
      <c r="K527" s="13">
        <v>25.34</v>
      </c>
      <c r="L527" s="13">
        <v>1723.21</v>
      </c>
      <c r="M527" s="198"/>
    </row>
    <row r="528" spans="1:20" ht="15" customHeight="1" outlineLevel="1" x14ac:dyDescent="0.25">
      <c r="A528" s="148"/>
      <c r="B528" s="148"/>
      <c r="C528" s="148"/>
      <c r="D528" s="156"/>
      <c r="E528" s="156"/>
      <c r="F528" s="50">
        <v>43466</v>
      </c>
      <c r="G528" s="50">
        <v>43646</v>
      </c>
      <c r="H528" s="168"/>
      <c r="I528" s="15" t="s">
        <v>23</v>
      </c>
      <c r="J528" s="15" t="s">
        <v>23</v>
      </c>
      <c r="K528" s="13">
        <v>24.84</v>
      </c>
      <c r="L528" s="13">
        <v>1431.31</v>
      </c>
      <c r="M528" s="196" t="s">
        <v>426</v>
      </c>
      <c r="N528" s="55">
        <f>K528/1.2</f>
        <v>20.7</v>
      </c>
      <c r="O528" s="55">
        <f>L528/1.2</f>
        <v>1192.7583333333334</v>
      </c>
      <c r="P528" s="121">
        <f>$I$514-N528</f>
        <v>82.289999999999992</v>
      </c>
      <c r="Q528" s="57">
        <f>$J$514-O528</f>
        <v>764.7016666666666</v>
      </c>
      <c r="R528" s="57">
        <f>P528*5752.985</f>
        <v>473413.13564999995</v>
      </c>
      <c r="S528" s="58">
        <f>Q528*414.219</f>
        <v>316753.95966499997</v>
      </c>
      <c r="T528" s="55">
        <f>R528+S528</f>
        <v>790167.09531499993</v>
      </c>
    </row>
    <row r="529" spans="1:20" ht="15" customHeight="1" outlineLevel="1" x14ac:dyDescent="0.25">
      <c r="A529" s="148"/>
      <c r="B529" s="148"/>
      <c r="C529" s="148"/>
      <c r="D529" s="156"/>
      <c r="E529" s="156"/>
      <c r="F529" s="50">
        <v>43647</v>
      </c>
      <c r="G529" s="50">
        <v>43830</v>
      </c>
      <c r="H529" s="168"/>
      <c r="I529" s="15" t="s">
        <v>23</v>
      </c>
      <c r="J529" s="15" t="s">
        <v>23</v>
      </c>
      <c r="K529" s="13">
        <v>25.34</v>
      </c>
      <c r="L529" s="13">
        <v>1459.94</v>
      </c>
      <c r="M529" s="198"/>
    </row>
    <row r="530" spans="1:20" ht="15" customHeight="1" outlineLevel="1" x14ac:dyDescent="0.25">
      <c r="A530" s="148"/>
      <c r="B530" s="148"/>
      <c r="C530" s="148"/>
      <c r="D530" s="156"/>
      <c r="E530" s="156"/>
      <c r="F530" s="50">
        <v>43466</v>
      </c>
      <c r="G530" s="50">
        <v>43646</v>
      </c>
      <c r="H530" s="168"/>
      <c r="I530" s="15" t="s">
        <v>23</v>
      </c>
      <c r="J530" s="15" t="s">
        <v>23</v>
      </c>
      <c r="K530" s="13">
        <v>24.84</v>
      </c>
      <c r="L530" s="13">
        <v>1561.43</v>
      </c>
      <c r="M530" s="196" t="s">
        <v>427</v>
      </c>
      <c r="N530" s="55">
        <f>K530/1.2</f>
        <v>20.7</v>
      </c>
      <c r="O530" s="55">
        <f>L530/1.2</f>
        <v>1301.1916666666668</v>
      </c>
      <c r="P530" s="121">
        <f>I514-N530</f>
        <v>82.289999999999992</v>
      </c>
      <c r="Q530" s="57">
        <f>J514-O530</f>
        <v>656.2683333333332</v>
      </c>
      <c r="R530" s="57">
        <f>P530*117.256</f>
        <v>9648.9962399999986</v>
      </c>
      <c r="S530" s="58">
        <f>Q530*7.739</f>
        <v>5078.8606316666655</v>
      </c>
      <c r="T530" s="55">
        <f>R530+S530</f>
        <v>14727.856871666663</v>
      </c>
    </row>
    <row r="531" spans="1:20" ht="15" customHeight="1" outlineLevel="1" x14ac:dyDescent="0.25">
      <c r="A531" s="147"/>
      <c r="B531" s="147"/>
      <c r="C531" s="147"/>
      <c r="D531" s="156"/>
      <c r="E531" s="156"/>
      <c r="F531" s="50">
        <v>43647</v>
      </c>
      <c r="G531" s="50">
        <v>43830</v>
      </c>
      <c r="H531" s="168"/>
      <c r="I531" s="15" t="s">
        <v>23</v>
      </c>
      <c r="J531" s="15" t="s">
        <v>23</v>
      </c>
      <c r="K531" s="13">
        <v>25.34</v>
      </c>
      <c r="L531" s="13">
        <v>1592.66</v>
      </c>
      <c r="M531" s="198"/>
    </row>
    <row r="532" spans="1:20" ht="15" customHeight="1" outlineLevel="1" x14ac:dyDescent="0.25">
      <c r="A532" s="146" t="s">
        <v>48</v>
      </c>
      <c r="B532" s="146" t="s">
        <v>236</v>
      </c>
      <c r="C532" s="146" t="s">
        <v>227</v>
      </c>
      <c r="D532" s="156">
        <f>D514</f>
        <v>43453</v>
      </c>
      <c r="E532" s="156" t="str">
        <f>E514</f>
        <v>461-п</v>
      </c>
      <c r="F532" s="12">
        <v>43466</v>
      </c>
      <c r="G532" s="12">
        <v>43646</v>
      </c>
      <c r="H532" s="168"/>
      <c r="I532" s="66">
        <v>44.76</v>
      </c>
      <c r="J532" s="13">
        <v>4461.4799999999996</v>
      </c>
      <c r="K532" s="15" t="s">
        <v>23</v>
      </c>
      <c r="L532" s="15" t="s">
        <v>23</v>
      </c>
      <c r="M532" s="183"/>
    </row>
    <row r="533" spans="1:20" ht="15" customHeight="1" outlineLevel="1" x14ac:dyDescent="0.25">
      <c r="A533" s="148"/>
      <c r="B533" s="148"/>
      <c r="C533" s="148"/>
      <c r="D533" s="156"/>
      <c r="E533" s="156"/>
      <c r="F533" s="12">
        <v>43647</v>
      </c>
      <c r="G533" s="12">
        <v>43830</v>
      </c>
      <c r="H533" s="168"/>
      <c r="I533" s="66">
        <v>45.66</v>
      </c>
      <c r="J533" s="13">
        <v>5604.6</v>
      </c>
      <c r="K533" s="15" t="s">
        <v>23</v>
      </c>
      <c r="L533" s="15" t="s">
        <v>23</v>
      </c>
      <c r="M533" s="183"/>
    </row>
    <row r="534" spans="1:20" ht="15" customHeight="1" outlineLevel="1" x14ac:dyDescent="0.25">
      <c r="A534" s="148"/>
      <c r="B534" s="148"/>
      <c r="C534" s="148"/>
      <c r="D534" s="156">
        <f>D516</f>
        <v>43454</v>
      </c>
      <c r="E534" s="156" t="str">
        <f>E516</f>
        <v>680-п</v>
      </c>
      <c r="F534" s="50">
        <v>43466</v>
      </c>
      <c r="G534" s="50">
        <v>43646</v>
      </c>
      <c r="H534" s="168"/>
      <c r="I534" s="15" t="s">
        <v>23</v>
      </c>
      <c r="J534" s="15" t="s">
        <v>23</v>
      </c>
      <c r="K534" s="13">
        <v>13.32</v>
      </c>
      <c r="L534" s="13">
        <v>1834.28</v>
      </c>
      <c r="M534" s="196" t="s">
        <v>420</v>
      </c>
    </row>
    <row r="535" spans="1:20" ht="15" customHeight="1" outlineLevel="1" x14ac:dyDescent="0.25">
      <c r="A535" s="148"/>
      <c r="B535" s="148"/>
      <c r="C535" s="148"/>
      <c r="D535" s="156"/>
      <c r="E535" s="156"/>
      <c r="F535" s="50">
        <v>43647</v>
      </c>
      <c r="G535" s="50">
        <v>43830</v>
      </c>
      <c r="H535" s="168"/>
      <c r="I535" s="15" t="s">
        <v>23</v>
      </c>
      <c r="J535" s="15" t="s">
        <v>23</v>
      </c>
      <c r="K535" s="13">
        <v>13.59</v>
      </c>
      <c r="L535" s="13">
        <v>1870.97</v>
      </c>
      <c r="M535" s="198"/>
    </row>
    <row r="536" spans="1:20" ht="15" customHeight="1" outlineLevel="1" x14ac:dyDescent="0.25">
      <c r="A536" s="148"/>
      <c r="B536" s="148"/>
      <c r="C536" s="148"/>
      <c r="D536" s="156"/>
      <c r="E536" s="156"/>
      <c r="F536" s="50">
        <v>43466</v>
      </c>
      <c r="G536" s="50">
        <v>43646</v>
      </c>
      <c r="H536" s="168"/>
      <c r="I536" s="15" t="s">
        <v>23</v>
      </c>
      <c r="J536" s="15" t="s">
        <v>23</v>
      </c>
      <c r="K536" s="13">
        <v>13.32</v>
      </c>
      <c r="L536" s="13">
        <v>2008.97</v>
      </c>
      <c r="M536" s="196" t="s">
        <v>421</v>
      </c>
    </row>
    <row r="537" spans="1:20" ht="15" customHeight="1" outlineLevel="1" x14ac:dyDescent="0.25">
      <c r="A537" s="148"/>
      <c r="B537" s="148"/>
      <c r="C537" s="148"/>
      <c r="D537" s="156"/>
      <c r="E537" s="156"/>
      <c r="F537" s="50">
        <v>43647</v>
      </c>
      <c r="G537" s="50">
        <v>43830</v>
      </c>
      <c r="H537" s="168"/>
      <c r="I537" s="15" t="s">
        <v>23</v>
      </c>
      <c r="J537" s="15" t="s">
        <v>23</v>
      </c>
      <c r="K537" s="13">
        <v>13.59</v>
      </c>
      <c r="L537" s="13">
        <v>2049.15</v>
      </c>
      <c r="M537" s="198"/>
    </row>
    <row r="538" spans="1:20" ht="15" customHeight="1" outlineLevel="1" x14ac:dyDescent="0.25">
      <c r="A538" s="148"/>
      <c r="B538" s="148"/>
      <c r="C538" s="148"/>
      <c r="D538" s="156"/>
      <c r="E538" s="156"/>
      <c r="F538" s="50">
        <v>43466</v>
      </c>
      <c r="G538" s="50">
        <v>43646</v>
      </c>
      <c r="H538" s="168"/>
      <c r="I538" s="15" t="s">
        <v>23</v>
      </c>
      <c r="J538" s="15" t="s">
        <v>23</v>
      </c>
      <c r="K538" s="13">
        <v>13.32</v>
      </c>
      <c r="L538" s="13">
        <v>1710.35</v>
      </c>
      <c r="M538" s="196" t="s">
        <v>422</v>
      </c>
    </row>
    <row r="539" spans="1:20" ht="15" customHeight="1" outlineLevel="1" x14ac:dyDescent="0.25">
      <c r="A539" s="148"/>
      <c r="B539" s="148"/>
      <c r="C539" s="148"/>
      <c r="D539" s="156"/>
      <c r="E539" s="156"/>
      <c r="F539" s="50">
        <v>43647</v>
      </c>
      <c r="G539" s="50">
        <v>43830</v>
      </c>
      <c r="H539" s="168"/>
      <c r="I539" s="15" t="s">
        <v>23</v>
      </c>
      <c r="J539" s="15" t="s">
        <v>23</v>
      </c>
      <c r="K539" s="13">
        <v>13.59</v>
      </c>
      <c r="L539" s="13">
        <v>1744.56</v>
      </c>
      <c r="M539" s="198"/>
    </row>
    <row r="540" spans="1:20" ht="15" customHeight="1" outlineLevel="1" x14ac:dyDescent="0.25">
      <c r="A540" s="148"/>
      <c r="B540" s="148"/>
      <c r="C540" s="148"/>
      <c r="D540" s="156"/>
      <c r="E540" s="156"/>
      <c r="F540" s="50">
        <v>43466</v>
      </c>
      <c r="G540" s="50">
        <v>43646</v>
      </c>
      <c r="H540" s="168"/>
      <c r="I540" s="15" t="s">
        <v>23</v>
      </c>
      <c r="J540" s="15" t="s">
        <v>23</v>
      </c>
      <c r="K540" s="13">
        <v>13.32</v>
      </c>
      <c r="L540" s="13">
        <v>1834.28</v>
      </c>
      <c r="M540" s="196" t="s">
        <v>423</v>
      </c>
    </row>
    <row r="541" spans="1:20" ht="15" customHeight="1" outlineLevel="1" x14ac:dyDescent="0.25">
      <c r="A541" s="148"/>
      <c r="B541" s="148"/>
      <c r="C541" s="148"/>
      <c r="D541" s="156"/>
      <c r="E541" s="156"/>
      <c r="F541" s="50">
        <v>43647</v>
      </c>
      <c r="G541" s="50">
        <v>43830</v>
      </c>
      <c r="H541" s="168"/>
      <c r="I541" s="15" t="s">
        <v>23</v>
      </c>
      <c r="J541" s="15" t="s">
        <v>23</v>
      </c>
      <c r="K541" s="13">
        <v>13.59</v>
      </c>
      <c r="L541" s="13">
        <v>1870.97</v>
      </c>
      <c r="M541" s="198"/>
    </row>
    <row r="542" spans="1:20" ht="15" customHeight="1" outlineLevel="1" x14ac:dyDescent="0.25">
      <c r="A542" s="148"/>
      <c r="B542" s="148"/>
      <c r="C542" s="148"/>
      <c r="D542" s="156"/>
      <c r="E542" s="156"/>
      <c r="F542" s="50">
        <v>43466</v>
      </c>
      <c r="G542" s="50">
        <v>43646</v>
      </c>
      <c r="H542" s="168"/>
      <c r="I542" s="15" t="s">
        <v>23</v>
      </c>
      <c r="J542" s="15" t="s">
        <v>23</v>
      </c>
      <c r="K542" s="13">
        <v>13.32</v>
      </c>
      <c r="L542" s="13">
        <v>1917.66</v>
      </c>
      <c r="M542" s="196" t="s">
        <v>424</v>
      </c>
    </row>
    <row r="543" spans="1:20" ht="15" customHeight="1" outlineLevel="1" x14ac:dyDescent="0.25">
      <c r="A543" s="148"/>
      <c r="B543" s="148"/>
      <c r="C543" s="148"/>
      <c r="D543" s="156"/>
      <c r="E543" s="156"/>
      <c r="F543" s="50">
        <v>43647</v>
      </c>
      <c r="G543" s="50">
        <v>43830</v>
      </c>
      <c r="H543" s="168"/>
      <c r="I543" s="15" t="s">
        <v>23</v>
      </c>
      <c r="J543" s="15" t="s">
        <v>23</v>
      </c>
      <c r="K543" s="13">
        <v>13.59</v>
      </c>
      <c r="L543" s="13">
        <v>1956.01</v>
      </c>
      <c r="M543" s="198"/>
    </row>
    <row r="544" spans="1:20" ht="15" customHeight="1" outlineLevel="1" x14ac:dyDescent="0.25">
      <c r="A544" s="148"/>
      <c r="B544" s="148"/>
      <c r="C544" s="148"/>
      <c r="D544" s="156"/>
      <c r="E544" s="156"/>
      <c r="F544" s="50">
        <v>43466</v>
      </c>
      <c r="G544" s="50">
        <v>43646</v>
      </c>
      <c r="H544" s="168"/>
      <c r="I544" s="15" t="s">
        <v>23</v>
      </c>
      <c r="J544" s="15" t="s">
        <v>23</v>
      </c>
      <c r="K544" s="13">
        <v>13.32</v>
      </c>
      <c r="L544" s="13">
        <v>2074.84</v>
      </c>
      <c r="M544" s="196" t="s">
        <v>425</v>
      </c>
    </row>
    <row r="545" spans="1:20" ht="15" customHeight="1" outlineLevel="1" x14ac:dyDescent="0.25">
      <c r="A545" s="148"/>
      <c r="B545" s="148"/>
      <c r="C545" s="148"/>
      <c r="D545" s="156"/>
      <c r="E545" s="156"/>
      <c r="F545" s="50">
        <v>43647</v>
      </c>
      <c r="G545" s="50">
        <v>43830</v>
      </c>
      <c r="H545" s="168"/>
      <c r="I545" s="15" t="s">
        <v>23</v>
      </c>
      <c r="J545" s="15" t="s">
        <v>23</v>
      </c>
      <c r="K545" s="13">
        <v>13.59</v>
      </c>
      <c r="L545" s="13">
        <v>2116.34</v>
      </c>
      <c r="M545" s="198"/>
    </row>
    <row r="546" spans="1:20" ht="15" customHeight="1" outlineLevel="1" x14ac:dyDescent="0.25">
      <c r="A546" s="148"/>
      <c r="B546" s="148"/>
      <c r="C546" s="148"/>
      <c r="D546" s="156"/>
      <c r="E546" s="156"/>
      <c r="F546" s="50">
        <v>43466</v>
      </c>
      <c r="G546" s="50">
        <v>43646</v>
      </c>
      <c r="H546" s="168"/>
      <c r="I546" s="15" t="s">
        <v>23</v>
      </c>
      <c r="J546" s="15" t="s">
        <v>23</v>
      </c>
      <c r="K546" s="13">
        <v>13.32</v>
      </c>
      <c r="L546" s="13">
        <v>1757.85</v>
      </c>
      <c r="M546" s="196" t="s">
        <v>426</v>
      </c>
      <c r="N546" s="55">
        <f>K546/1.2</f>
        <v>11.100000000000001</v>
      </c>
      <c r="O546" s="55">
        <f>L546/1.2</f>
        <v>1464.875</v>
      </c>
      <c r="P546" s="122">
        <f>$I$532-N546</f>
        <v>33.659999999999997</v>
      </c>
      <c r="Q546" s="57">
        <f>$J$532-O546</f>
        <v>2996.6049999999996</v>
      </c>
      <c r="R546" s="57">
        <f>P546*713.407</f>
        <v>24013.279619999998</v>
      </c>
      <c r="S546" s="58">
        <f>Q546*51.365</f>
        <v>153920.61582499999</v>
      </c>
      <c r="T546" s="55">
        <f>R546+S546</f>
        <v>177933.89544499997</v>
      </c>
    </row>
    <row r="547" spans="1:20" ht="15" customHeight="1" outlineLevel="1" x14ac:dyDescent="0.25">
      <c r="A547" s="148"/>
      <c r="B547" s="148"/>
      <c r="C547" s="148"/>
      <c r="D547" s="156"/>
      <c r="E547" s="156"/>
      <c r="F547" s="50">
        <v>43647</v>
      </c>
      <c r="G547" s="50">
        <v>43830</v>
      </c>
      <c r="H547" s="168"/>
      <c r="I547" s="15" t="s">
        <v>23</v>
      </c>
      <c r="J547" s="15" t="s">
        <v>23</v>
      </c>
      <c r="K547" s="13">
        <v>13.59</v>
      </c>
      <c r="L547" s="13">
        <v>1793.01</v>
      </c>
      <c r="M547" s="198"/>
    </row>
    <row r="548" spans="1:20" ht="15" customHeight="1" outlineLevel="1" x14ac:dyDescent="0.25">
      <c r="A548" s="148"/>
      <c r="B548" s="148"/>
      <c r="C548" s="148"/>
      <c r="D548" s="156"/>
      <c r="E548" s="156"/>
      <c r="F548" s="50">
        <v>43466</v>
      </c>
      <c r="G548" s="50">
        <v>43646</v>
      </c>
      <c r="H548" s="168"/>
      <c r="I548" s="15" t="s">
        <v>23</v>
      </c>
      <c r="J548" s="15" t="s">
        <v>23</v>
      </c>
      <c r="K548" s="13">
        <v>13.32</v>
      </c>
      <c r="L548" s="13">
        <v>1917.66</v>
      </c>
      <c r="M548" s="196" t="s">
        <v>427</v>
      </c>
      <c r="N548" s="55">
        <f>K548/1.2</f>
        <v>11.100000000000001</v>
      </c>
      <c r="O548" s="55">
        <f>L548/1.2</f>
        <v>1598.0500000000002</v>
      </c>
      <c r="P548" s="122">
        <f>I532-N548</f>
        <v>33.659999999999997</v>
      </c>
      <c r="Q548" s="57">
        <f>J532-O548</f>
        <v>2863.4299999999994</v>
      </c>
      <c r="R548" s="57">
        <f>P548*459.21</f>
        <v>15457.008599999997</v>
      </c>
      <c r="S548" s="58">
        <f>Q548*30.307</f>
        <v>86781.973009999972</v>
      </c>
      <c r="T548" s="55">
        <f>R548+S548</f>
        <v>102238.98160999997</v>
      </c>
    </row>
    <row r="549" spans="1:20" ht="15" customHeight="1" outlineLevel="1" x14ac:dyDescent="0.25">
      <c r="A549" s="147"/>
      <c r="B549" s="147"/>
      <c r="C549" s="147"/>
      <c r="D549" s="156"/>
      <c r="E549" s="156"/>
      <c r="F549" s="50">
        <v>43647</v>
      </c>
      <c r="G549" s="50">
        <v>43830</v>
      </c>
      <c r="H549" s="168"/>
      <c r="I549" s="15" t="s">
        <v>23</v>
      </c>
      <c r="J549" s="15" t="s">
        <v>23</v>
      </c>
      <c r="K549" s="13">
        <v>13.59</v>
      </c>
      <c r="L549" s="13">
        <v>1956.01</v>
      </c>
      <c r="M549" s="198"/>
    </row>
    <row r="550" spans="1:20" ht="15" customHeight="1" outlineLevel="1" x14ac:dyDescent="0.25">
      <c r="A550" s="146" t="s">
        <v>48</v>
      </c>
      <c r="B550" s="146" t="s">
        <v>234</v>
      </c>
      <c r="C550" s="146" t="s">
        <v>564</v>
      </c>
      <c r="D550" s="156">
        <v>43087</v>
      </c>
      <c r="E550" s="156" t="s">
        <v>609</v>
      </c>
      <c r="F550" s="12">
        <v>43466</v>
      </c>
      <c r="G550" s="12">
        <v>43646</v>
      </c>
      <c r="H550" s="168" t="s">
        <v>834</v>
      </c>
      <c r="I550" s="66">
        <v>57.67</v>
      </c>
      <c r="J550" s="13">
        <v>1940.05</v>
      </c>
      <c r="K550" s="15" t="s">
        <v>23</v>
      </c>
      <c r="L550" s="15" t="s">
        <v>23</v>
      </c>
      <c r="M550" s="134"/>
    </row>
    <row r="551" spans="1:20" ht="31.5" customHeight="1" outlineLevel="1" x14ac:dyDescent="0.25">
      <c r="A551" s="148"/>
      <c r="B551" s="148"/>
      <c r="C551" s="148"/>
      <c r="D551" s="156"/>
      <c r="E551" s="156"/>
      <c r="F551" s="12">
        <v>43647</v>
      </c>
      <c r="G551" s="12">
        <v>43830</v>
      </c>
      <c r="H551" s="168"/>
      <c r="I551" s="66">
        <v>64.11</v>
      </c>
      <c r="J551" s="13">
        <v>2198.41</v>
      </c>
      <c r="K551" s="15" t="s">
        <v>23</v>
      </c>
      <c r="L551" s="15" t="s">
        <v>23</v>
      </c>
      <c r="M551" s="134" t="s">
        <v>835</v>
      </c>
    </row>
    <row r="552" spans="1:20" ht="15" customHeight="1" outlineLevel="1" x14ac:dyDescent="0.25">
      <c r="A552" s="148"/>
      <c r="B552" s="148"/>
      <c r="C552" s="148"/>
      <c r="D552" s="156">
        <v>43454</v>
      </c>
      <c r="E552" s="156" t="s">
        <v>606</v>
      </c>
      <c r="F552" s="50">
        <v>43466</v>
      </c>
      <c r="G552" s="50">
        <v>43646</v>
      </c>
      <c r="H552" s="168"/>
      <c r="I552" s="15" t="s">
        <v>23</v>
      </c>
      <c r="J552" s="15" t="s">
        <v>23</v>
      </c>
      <c r="K552" s="13">
        <v>39.29</v>
      </c>
      <c r="L552" s="13">
        <v>1365.942028985507</v>
      </c>
      <c r="M552" s="196" t="s">
        <v>420</v>
      </c>
    </row>
    <row r="553" spans="1:20" ht="15" customHeight="1" outlineLevel="1" x14ac:dyDescent="0.25">
      <c r="A553" s="148"/>
      <c r="B553" s="148"/>
      <c r="C553" s="148"/>
      <c r="D553" s="156"/>
      <c r="E553" s="156"/>
      <c r="F553" s="50">
        <v>43647</v>
      </c>
      <c r="G553" s="50">
        <v>43830</v>
      </c>
      <c r="H553" s="168"/>
      <c r="I553" s="15" t="s">
        <v>23</v>
      </c>
      <c r="J553" s="15" t="s">
        <v>23</v>
      </c>
      <c r="K553" s="13">
        <v>40.08</v>
      </c>
      <c r="L553" s="13">
        <v>1393.1884057971015</v>
      </c>
      <c r="M553" s="198"/>
    </row>
    <row r="554" spans="1:20" ht="15" customHeight="1" outlineLevel="1" x14ac:dyDescent="0.25">
      <c r="A554" s="148"/>
      <c r="B554" s="148"/>
      <c r="C554" s="148"/>
      <c r="D554" s="156"/>
      <c r="E554" s="156"/>
      <c r="F554" s="50">
        <v>43466</v>
      </c>
      <c r="G554" s="50">
        <v>43646</v>
      </c>
      <c r="H554" s="168"/>
      <c r="I554" s="15" t="s">
        <v>23</v>
      </c>
      <c r="J554" s="15" t="s">
        <v>23</v>
      </c>
      <c r="K554" s="13">
        <v>39.29</v>
      </c>
      <c r="L554" s="13">
        <v>1496.031746031746</v>
      </c>
      <c r="M554" s="196" t="s">
        <v>421</v>
      </c>
    </row>
    <row r="555" spans="1:20" ht="15" customHeight="1" outlineLevel="1" x14ac:dyDescent="0.25">
      <c r="A555" s="148"/>
      <c r="B555" s="148"/>
      <c r="C555" s="148"/>
      <c r="D555" s="156"/>
      <c r="E555" s="156"/>
      <c r="F555" s="50">
        <v>43647</v>
      </c>
      <c r="G555" s="50">
        <v>43830</v>
      </c>
      <c r="H555" s="168"/>
      <c r="I555" s="15" t="s">
        <v>23</v>
      </c>
      <c r="J555" s="15" t="s">
        <v>23</v>
      </c>
      <c r="K555" s="13">
        <v>40.08</v>
      </c>
      <c r="L555" s="13">
        <v>1525.8730158730161</v>
      </c>
      <c r="M555" s="198"/>
    </row>
    <row r="556" spans="1:20" ht="15" customHeight="1" outlineLevel="1" x14ac:dyDescent="0.25">
      <c r="A556" s="148"/>
      <c r="B556" s="148"/>
      <c r="C556" s="148"/>
      <c r="D556" s="156"/>
      <c r="E556" s="156"/>
      <c r="F556" s="50">
        <v>43466</v>
      </c>
      <c r="G556" s="50">
        <v>43646</v>
      </c>
      <c r="H556" s="168"/>
      <c r="I556" s="15" t="s">
        <v>23</v>
      </c>
      <c r="J556" s="15" t="s">
        <v>23</v>
      </c>
      <c r="K556" s="13">
        <v>39.29</v>
      </c>
      <c r="L556" s="13">
        <v>1273.6486486486488</v>
      </c>
      <c r="M556" s="196" t="s">
        <v>422</v>
      </c>
    </row>
    <row r="557" spans="1:20" ht="15" customHeight="1" outlineLevel="1" x14ac:dyDescent="0.25">
      <c r="A557" s="148"/>
      <c r="B557" s="148"/>
      <c r="C557" s="148"/>
      <c r="D557" s="156"/>
      <c r="E557" s="156"/>
      <c r="F557" s="50">
        <v>43647</v>
      </c>
      <c r="G557" s="50">
        <v>43830</v>
      </c>
      <c r="H557" s="168"/>
      <c r="I557" s="15" t="s">
        <v>23</v>
      </c>
      <c r="J557" s="15" t="s">
        <v>23</v>
      </c>
      <c r="K557" s="13">
        <v>40.08</v>
      </c>
      <c r="L557" s="13">
        <v>1299.0540540540542</v>
      </c>
      <c r="M557" s="198"/>
    </row>
    <row r="558" spans="1:20" ht="15" customHeight="1" outlineLevel="1" x14ac:dyDescent="0.25">
      <c r="A558" s="148"/>
      <c r="B558" s="148"/>
      <c r="C558" s="148"/>
      <c r="D558" s="156"/>
      <c r="E558" s="156"/>
      <c r="F558" s="50">
        <v>43466</v>
      </c>
      <c r="G558" s="50">
        <v>43646</v>
      </c>
      <c r="H558" s="168"/>
      <c r="I558" s="15" t="s">
        <v>23</v>
      </c>
      <c r="J558" s="15" t="s">
        <v>23</v>
      </c>
      <c r="K558" s="13">
        <v>39.29</v>
      </c>
      <c r="L558" s="13">
        <v>1365.942028985507</v>
      </c>
      <c r="M558" s="196" t="s">
        <v>423</v>
      </c>
    </row>
    <row r="559" spans="1:20" ht="15" customHeight="1" outlineLevel="1" x14ac:dyDescent="0.25">
      <c r="A559" s="148"/>
      <c r="B559" s="148"/>
      <c r="C559" s="148"/>
      <c r="D559" s="156"/>
      <c r="E559" s="156"/>
      <c r="F559" s="50">
        <v>43647</v>
      </c>
      <c r="G559" s="50">
        <v>43830</v>
      </c>
      <c r="H559" s="168"/>
      <c r="I559" s="15" t="s">
        <v>23</v>
      </c>
      <c r="J559" s="15" t="s">
        <v>23</v>
      </c>
      <c r="K559" s="13">
        <v>40.08</v>
      </c>
      <c r="L559" s="13">
        <v>1393.1884057971015</v>
      </c>
      <c r="M559" s="198"/>
    </row>
    <row r="560" spans="1:20" ht="15" customHeight="1" outlineLevel="1" x14ac:dyDescent="0.25">
      <c r="A560" s="148"/>
      <c r="B560" s="148"/>
      <c r="C560" s="148"/>
      <c r="D560" s="156"/>
      <c r="E560" s="156"/>
      <c r="F560" s="50">
        <v>43466</v>
      </c>
      <c r="G560" s="50">
        <v>43646</v>
      </c>
      <c r="H560" s="168"/>
      <c r="I560" s="15" t="s">
        <v>23</v>
      </c>
      <c r="J560" s="15" t="s">
        <v>23</v>
      </c>
      <c r="K560" s="13">
        <v>39.29</v>
      </c>
      <c r="L560" s="13">
        <v>1428.030303030303</v>
      </c>
      <c r="M560" s="196" t="s">
        <v>424</v>
      </c>
    </row>
    <row r="561" spans="1:13" ht="15" customHeight="1" outlineLevel="1" x14ac:dyDescent="0.25">
      <c r="A561" s="148"/>
      <c r="B561" s="148"/>
      <c r="C561" s="148"/>
      <c r="D561" s="156"/>
      <c r="E561" s="156"/>
      <c r="F561" s="50">
        <v>43647</v>
      </c>
      <c r="G561" s="50">
        <v>43830</v>
      </c>
      <c r="H561" s="168"/>
      <c r="I561" s="15" t="s">
        <v>23</v>
      </c>
      <c r="J561" s="15" t="s">
        <v>23</v>
      </c>
      <c r="K561" s="13">
        <v>40.08</v>
      </c>
      <c r="L561" s="13">
        <v>1456.5151515151515</v>
      </c>
      <c r="M561" s="198"/>
    </row>
    <row r="562" spans="1:13" ht="15" customHeight="1" outlineLevel="1" x14ac:dyDescent="0.25">
      <c r="A562" s="148"/>
      <c r="B562" s="148"/>
      <c r="C562" s="148"/>
      <c r="D562" s="156"/>
      <c r="E562" s="156"/>
      <c r="F562" s="50">
        <v>43466</v>
      </c>
      <c r="G562" s="50">
        <v>43646</v>
      </c>
      <c r="H562" s="168"/>
      <c r="I562" s="15" t="s">
        <v>23</v>
      </c>
      <c r="J562" s="15" t="s">
        <v>23</v>
      </c>
      <c r="K562" s="13">
        <v>39.29</v>
      </c>
      <c r="L562" s="13">
        <v>1545.0819672131147</v>
      </c>
      <c r="M562" s="196" t="s">
        <v>425</v>
      </c>
    </row>
    <row r="563" spans="1:13" ht="15" customHeight="1" outlineLevel="1" x14ac:dyDescent="0.25">
      <c r="A563" s="148"/>
      <c r="B563" s="148"/>
      <c r="C563" s="148"/>
      <c r="D563" s="156"/>
      <c r="E563" s="156"/>
      <c r="F563" s="50">
        <v>43647</v>
      </c>
      <c r="G563" s="50">
        <v>43830</v>
      </c>
      <c r="H563" s="168"/>
      <c r="I563" s="15" t="s">
        <v>23</v>
      </c>
      <c r="J563" s="15" t="s">
        <v>23</v>
      </c>
      <c r="K563" s="13">
        <v>40.08</v>
      </c>
      <c r="L563" s="13">
        <v>1575.9016393442625</v>
      </c>
      <c r="M563" s="198"/>
    </row>
    <row r="564" spans="1:13" ht="15" customHeight="1" outlineLevel="1" x14ac:dyDescent="0.25">
      <c r="A564" s="148"/>
      <c r="B564" s="148"/>
      <c r="C564" s="148"/>
      <c r="D564" s="156"/>
      <c r="E564" s="156"/>
      <c r="F564" s="50">
        <v>43466</v>
      </c>
      <c r="G564" s="50">
        <v>43646</v>
      </c>
      <c r="H564" s="168"/>
      <c r="I564" s="15" t="s">
        <v>23</v>
      </c>
      <c r="J564" s="15" t="s">
        <v>23</v>
      </c>
      <c r="K564" s="13">
        <v>39.29</v>
      </c>
      <c r="L564" s="13">
        <v>1309.0277777777778</v>
      </c>
      <c r="M564" s="196" t="s">
        <v>426</v>
      </c>
    </row>
    <row r="565" spans="1:13" ht="15" customHeight="1" outlineLevel="1" x14ac:dyDescent="0.25">
      <c r="A565" s="148"/>
      <c r="B565" s="148"/>
      <c r="C565" s="148"/>
      <c r="D565" s="156"/>
      <c r="E565" s="156"/>
      <c r="F565" s="50">
        <v>43647</v>
      </c>
      <c r="G565" s="50">
        <v>43830</v>
      </c>
      <c r="H565" s="168"/>
      <c r="I565" s="15" t="s">
        <v>23</v>
      </c>
      <c r="J565" s="15" t="s">
        <v>23</v>
      </c>
      <c r="K565" s="13">
        <v>40.08</v>
      </c>
      <c r="L565" s="13">
        <v>1335.1388888888891</v>
      </c>
      <c r="M565" s="198"/>
    </row>
    <row r="566" spans="1:13" ht="15" customHeight="1" outlineLevel="1" x14ac:dyDescent="0.25">
      <c r="A566" s="148"/>
      <c r="B566" s="148"/>
      <c r="C566" s="148"/>
      <c r="D566" s="156"/>
      <c r="E566" s="156"/>
      <c r="F566" s="50">
        <v>43466</v>
      </c>
      <c r="G566" s="50">
        <v>43646</v>
      </c>
      <c r="H566" s="168"/>
      <c r="I566" s="15" t="s">
        <v>23</v>
      </c>
      <c r="J566" s="15" t="s">
        <v>23</v>
      </c>
      <c r="K566" s="13">
        <v>39.29</v>
      </c>
      <c r="L566" s="13">
        <v>1428.030303030303</v>
      </c>
      <c r="M566" s="196" t="s">
        <v>427</v>
      </c>
    </row>
    <row r="567" spans="1:13" ht="15" customHeight="1" outlineLevel="1" x14ac:dyDescent="0.25">
      <c r="A567" s="147"/>
      <c r="B567" s="147"/>
      <c r="C567" s="147"/>
      <c r="D567" s="156"/>
      <c r="E567" s="156"/>
      <c r="F567" s="50">
        <v>43647</v>
      </c>
      <c r="G567" s="50">
        <v>43830</v>
      </c>
      <c r="H567" s="168"/>
      <c r="I567" s="15" t="s">
        <v>23</v>
      </c>
      <c r="J567" s="15" t="s">
        <v>23</v>
      </c>
      <c r="K567" s="13">
        <v>40.08</v>
      </c>
      <c r="L567" s="13">
        <v>1456.5151515151515</v>
      </c>
      <c r="M567" s="198"/>
    </row>
    <row r="568" spans="1:13" ht="15" customHeight="1" outlineLevel="1" x14ac:dyDescent="0.25">
      <c r="A568" s="146" t="s">
        <v>48</v>
      </c>
      <c r="B568" s="146" t="s">
        <v>234</v>
      </c>
      <c r="C568" s="146" t="s">
        <v>565</v>
      </c>
      <c r="D568" s="156">
        <v>43087</v>
      </c>
      <c r="E568" s="156" t="s">
        <v>610</v>
      </c>
      <c r="F568" s="12">
        <v>43466</v>
      </c>
      <c r="G568" s="12">
        <v>43646</v>
      </c>
      <c r="H568" s="168" t="s">
        <v>611</v>
      </c>
      <c r="I568" s="66">
        <v>57.67</v>
      </c>
      <c r="J568" s="13">
        <v>1891.63</v>
      </c>
      <c r="K568" s="15" t="s">
        <v>23</v>
      </c>
      <c r="L568" s="15" t="s">
        <v>23</v>
      </c>
      <c r="M568" s="183"/>
    </row>
    <row r="569" spans="1:13" ht="15" customHeight="1" outlineLevel="1" x14ac:dyDescent="0.25">
      <c r="A569" s="148"/>
      <c r="B569" s="148"/>
      <c r="C569" s="148"/>
      <c r="D569" s="156"/>
      <c r="E569" s="156"/>
      <c r="F569" s="12">
        <v>43647</v>
      </c>
      <c r="G569" s="12">
        <v>43830</v>
      </c>
      <c r="H569" s="168"/>
      <c r="I569" s="66">
        <v>64.11</v>
      </c>
      <c r="J569" s="13">
        <v>1971.73</v>
      </c>
      <c r="K569" s="15" t="s">
        <v>23</v>
      </c>
      <c r="L569" s="15" t="s">
        <v>23</v>
      </c>
      <c r="M569" s="183"/>
    </row>
    <row r="570" spans="1:13" ht="15" customHeight="1" outlineLevel="1" x14ac:dyDescent="0.25">
      <c r="A570" s="148"/>
      <c r="B570" s="148"/>
      <c r="C570" s="148"/>
      <c r="D570" s="156"/>
      <c r="E570" s="156"/>
      <c r="F570" s="50">
        <v>43466</v>
      </c>
      <c r="G570" s="50">
        <v>43646</v>
      </c>
      <c r="H570" s="168"/>
      <c r="I570" s="15" t="s">
        <v>23</v>
      </c>
      <c r="J570" s="15" t="s">
        <v>23</v>
      </c>
      <c r="K570" s="13">
        <v>39.29</v>
      </c>
      <c r="L570" s="13">
        <v>1365.942028985507</v>
      </c>
      <c r="M570" s="196" t="s">
        <v>420</v>
      </c>
    </row>
    <row r="571" spans="1:13" ht="15" customHeight="1" outlineLevel="1" x14ac:dyDescent="0.25">
      <c r="A571" s="148"/>
      <c r="B571" s="148"/>
      <c r="C571" s="148"/>
      <c r="D571" s="156"/>
      <c r="E571" s="156"/>
      <c r="F571" s="50">
        <v>43647</v>
      </c>
      <c r="G571" s="50">
        <v>43830</v>
      </c>
      <c r="H571" s="168"/>
      <c r="I571" s="15" t="s">
        <v>23</v>
      </c>
      <c r="J571" s="15" t="s">
        <v>23</v>
      </c>
      <c r="K571" s="13">
        <v>40.08</v>
      </c>
      <c r="L571" s="13">
        <v>1393.1884057971015</v>
      </c>
      <c r="M571" s="198"/>
    </row>
    <row r="572" spans="1:13" ht="15" customHeight="1" outlineLevel="1" x14ac:dyDescent="0.25">
      <c r="A572" s="148"/>
      <c r="B572" s="148"/>
      <c r="C572" s="148"/>
      <c r="D572" s="156"/>
      <c r="E572" s="156"/>
      <c r="F572" s="50">
        <v>43466</v>
      </c>
      <c r="G572" s="50">
        <v>43646</v>
      </c>
      <c r="H572" s="168"/>
      <c r="I572" s="15" t="s">
        <v>23</v>
      </c>
      <c r="J572" s="15" t="s">
        <v>23</v>
      </c>
      <c r="K572" s="13">
        <v>39.29</v>
      </c>
      <c r="L572" s="13">
        <v>1496.031746031746</v>
      </c>
      <c r="M572" s="196" t="s">
        <v>421</v>
      </c>
    </row>
    <row r="573" spans="1:13" ht="15" customHeight="1" outlineLevel="1" x14ac:dyDescent="0.25">
      <c r="A573" s="148"/>
      <c r="B573" s="148"/>
      <c r="C573" s="148"/>
      <c r="D573" s="156"/>
      <c r="E573" s="156"/>
      <c r="F573" s="50">
        <v>43647</v>
      </c>
      <c r="G573" s="50">
        <v>43830</v>
      </c>
      <c r="H573" s="168"/>
      <c r="I573" s="15" t="s">
        <v>23</v>
      </c>
      <c r="J573" s="15" t="s">
        <v>23</v>
      </c>
      <c r="K573" s="13">
        <v>40.08</v>
      </c>
      <c r="L573" s="13">
        <v>1525.8730158730161</v>
      </c>
      <c r="M573" s="198"/>
    </row>
    <row r="574" spans="1:13" ht="15" customHeight="1" outlineLevel="1" x14ac:dyDescent="0.25">
      <c r="A574" s="148"/>
      <c r="B574" s="148"/>
      <c r="C574" s="148"/>
      <c r="D574" s="156"/>
      <c r="E574" s="156"/>
      <c r="F574" s="50">
        <v>43466</v>
      </c>
      <c r="G574" s="50">
        <v>43646</v>
      </c>
      <c r="H574" s="168"/>
      <c r="I574" s="15" t="s">
        <v>23</v>
      </c>
      <c r="J574" s="15" t="s">
        <v>23</v>
      </c>
      <c r="K574" s="13">
        <v>39.29</v>
      </c>
      <c r="L574" s="13">
        <v>1273.6486486486488</v>
      </c>
      <c r="M574" s="196" t="s">
        <v>422</v>
      </c>
    </row>
    <row r="575" spans="1:13" ht="15" customHeight="1" outlineLevel="1" x14ac:dyDescent="0.25">
      <c r="A575" s="148"/>
      <c r="B575" s="148"/>
      <c r="C575" s="148"/>
      <c r="D575" s="156"/>
      <c r="E575" s="156"/>
      <c r="F575" s="50">
        <v>43647</v>
      </c>
      <c r="G575" s="50">
        <v>43830</v>
      </c>
      <c r="H575" s="168"/>
      <c r="I575" s="15" t="s">
        <v>23</v>
      </c>
      <c r="J575" s="15" t="s">
        <v>23</v>
      </c>
      <c r="K575" s="13">
        <v>40.08</v>
      </c>
      <c r="L575" s="13">
        <v>1299.0540540540542</v>
      </c>
      <c r="M575" s="198"/>
    </row>
    <row r="576" spans="1:13" ht="15" customHeight="1" outlineLevel="1" x14ac:dyDescent="0.25">
      <c r="A576" s="148"/>
      <c r="B576" s="148"/>
      <c r="C576" s="148"/>
      <c r="D576" s="156"/>
      <c r="E576" s="156"/>
      <c r="F576" s="50">
        <v>43466</v>
      </c>
      <c r="G576" s="50">
        <v>43646</v>
      </c>
      <c r="H576" s="168"/>
      <c r="I576" s="15" t="s">
        <v>23</v>
      </c>
      <c r="J576" s="15" t="s">
        <v>23</v>
      </c>
      <c r="K576" s="13">
        <v>39.29</v>
      </c>
      <c r="L576" s="13">
        <v>1365.942028985507</v>
      </c>
      <c r="M576" s="196" t="s">
        <v>423</v>
      </c>
    </row>
    <row r="577" spans="1:13" ht="15" customHeight="1" outlineLevel="1" x14ac:dyDescent="0.25">
      <c r="A577" s="148"/>
      <c r="B577" s="148"/>
      <c r="C577" s="148"/>
      <c r="D577" s="156"/>
      <c r="E577" s="156"/>
      <c r="F577" s="50">
        <v>43647</v>
      </c>
      <c r="G577" s="50">
        <v>43830</v>
      </c>
      <c r="H577" s="168"/>
      <c r="I577" s="15" t="s">
        <v>23</v>
      </c>
      <c r="J577" s="15" t="s">
        <v>23</v>
      </c>
      <c r="K577" s="13">
        <v>40.08</v>
      </c>
      <c r="L577" s="13">
        <v>1393.1884057971015</v>
      </c>
      <c r="M577" s="198"/>
    </row>
    <row r="578" spans="1:13" ht="15" customHeight="1" outlineLevel="1" x14ac:dyDescent="0.25">
      <c r="A578" s="148"/>
      <c r="B578" s="148"/>
      <c r="C578" s="148"/>
      <c r="D578" s="156"/>
      <c r="E578" s="156"/>
      <c r="F578" s="50">
        <v>43466</v>
      </c>
      <c r="G578" s="50">
        <v>43646</v>
      </c>
      <c r="H578" s="168"/>
      <c r="I578" s="15" t="s">
        <v>23</v>
      </c>
      <c r="J578" s="15" t="s">
        <v>23</v>
      </c>
      <c r="K578" s="13">
        <v>39.29</v>
      </c>
      <c r="L578" s="13">
        <v>1428.030303030303</v>
      </c>
      <c r="M578" s="196" t="s">
        <v>424</v>
      </c>
    </row>
    <row r="579" spans="1:13" ht="15" customHeight="1" outlineLevel="1" x14ac:dyDescent="0.25">
      <c r="A579" s="148"/>
      <c r="B579" s="148"/>
      <c r="C579" s="148"/>
      <c r="D579" s="156"/>
      <c r="E579" s="156"/>
      <c r="F579" s="50">
        <v>43647</v>
      </c>
      <c r="G579" s="50">
        <v>43830</v>
      </c>
      <c r="H579" s="168"/>
      <c r="I579" s="15" t="s">
        <v>23</v>
      </c>
      <c r="J579" s="15" t="s">
        <v>23</v>
      </c>
      <c r="K579" s="13">
        <v>40.08</v>
      </c>
      <c r="L579" s="13">
        <v>1456.5151515151515</v>
      </c>
      <c r="M579" s="198"/>
    </row>
    <row r="580" spans="1:13" ht="15" customHeight="1" outlineLevel="1" x14ac:dyDescent="0.25">
      <c r="A580" s="148"/>
      <c r="B580" s="148"/>
      <c r="C580" s="148"/>
      <c r="D580" s="156"/>
      <c r="E580" s="156"/>
      <c r="F580" s="50">
        <v>43466</v>
      </c>
      <c r="G580" s="50">
        <v>43646</v>
      </c>
      <c r="H580" s="168"/>
      <c r="I580" s="15" t="s">
        <v>23</v>
      </c>
      <c r="J580" s="15" t="s">
        <v>23</v>
      </c>
      <c r="K580" s="13">
        <v>39.29</v>
      </c>
      <c r="L580" s="13">
        <v>1545.0819672131147</v>
      </c>
      <c r="M580" s="196" t="s">
        <v>425</v>
      </c>
    </row>
    <row r="581" spans="1:13" ht="15" customHeight="1" outlineLevel="1" x14ac:dyDescent="0.25">
      <c r="A581" s="148"/>
      <c r="B581" s="148"/>
      <c r="C581" s="148"/>
      <c r="D581" s="156"/>
      <c r="E581" s="156"/>
      <c r="F581" s="50">
        <v>43647</v>
      </c>
      <c r="G581" s="50">
        <v>43830</v>
      </c>
      <c r="H581" s="168"/>
      <c r="I581" s="15" t="s">
        <v>23</v>
      </c>
      <c r="J581" s="15" t="s">
        <v>23</v>
      </c>
      <c r="K581" s="13">
        <v>40.08</v>
      </c>
      <c r="L581" s="13">
        <v>1575.9016393442625</v>
      </c>
      <c r="M581" s="198"/>
    </row>
    <row r="582" spans="1:13" ht="15" customHeight="1" outlineLevel="1" x14ac:dyDescent="0.25">
      <c r="A582" s="148"/>
      <c r="B582" s="148"/>
      <c r="C582" s="148"/>
      <c r="D582" s="156"/>
      <c r="E582" s="156"/>
      <c r="F582" s="50">
        <v>43466</v>
      </c>
      <c r="G582" s="50">
        <v>43646</v>
      </c>
      <c r="H582" s="168"/>
      <c r="I582" s="15" t="s">
        <v>23</v>
      </c>
      <c r="J582" s="15" t="s">
        <v>23</v>
      </c>
      <c r="K582" s="13">
        <v>39.29</v>
      </c>
      <c r="L582" s="13">
        <v>1309.0277777777778</v>
      </c>
      <c r="M582" s="196" t="s">
        <v>426</v>
      </c>
    </row>
    <row r="583" spans="1:13" ht="15" customHeight="1" outlineLevel="1" x14ac:dyDescent="0.25">
      <c r="A583" s="148"/>
      <c r="B583" s="148"/>
      <c r="C583" s="148"/>
      <c r="D583" s="156"/>
      <c r="E583" s="156"/>
      <c r="F583" s="50">
        <v>43647</v>
      </c>
      <c r="G583" s="50">
        <v>43830</v>
      </c>
      <c r="H583" s="168"/>
      <c r="I583" s="15" t="s">
        <v>23</v>
      </c>
      <c r="J583" s="15" t="s">
        <v>23</v>
      </c>
      <c r="K583" s="13">
        <v>40.08</v>
      </c>
      <c r="L583" s="13">
        <v>1335.1388888888891</v>
      </c>
      <c r="M583" s="198"/>
    </row>
    <row r="584" spans="1:13" ht="15" customHeight="1" outlineLevel="1" x14ac:dyDescent="0.25">
      <c r="A584" s="148"/>
      <c r="B584" s="148"/>
      <c r="C584" s="148"/>
      <c r="D584" s="156"/>
      <c r="E584" s="156"/>
      <c r="F584" s="50">
        <v>43466</v>
      </c>
      <c r="G584" s="50">
        <v>43646</v>
      </c>
      <c r="H584" s="168"/>
      <c r="I584" s="15" t="s">
        <v>23</v>
      </c>
      <c r="J584" s="15" t="s">
        <v>23</v>
      </c>
      <c r="K584" s="13">
        <v>39.29</v>
      </c>
      <c r="L584" s="13">
        <v>1428.030303030303</v>
      </c>
      <c r="M584" s="196" t="s">
        <v>427</v>
      </c>
    </row>
    <row r="585" spans="1:13" ht="15" customHeight="1" outlineLevel="1" x14ac:dyDescent="0.25">
      <c r="A585" s="147"/>
      <c r="B585" s="147"/>
      <c r="C585" s="147"/>
      <c r="D585" s="156"/>
      <c r="E585" s="156"/>
      <c r="F585" s="50">
        <v>43647</v>
      </c>
      <c r="G585" s="50">
        <v>43830</v>
      </c>
      <c r="H585" s="168"/>
      <c r="I585" s="15" t="s">
        <v>23</v>
      </c>
      <c r="J585" s="15" t="s">
        <v>23</v>
      </c>
      <c r="K585" s="13">
        <v>40.08</v>
      </c>
      <c r="L585" s="13">
        <v>1456.5151515151515</v>
      </c>
      <c r="M585" s="198"/>
    </row>
    <row r="586" spans="1:13" ht="15" customHeight="1" outlineLevel="1" x14ac:dyDescent="0.25">
      <c r="A586" s="146" t="s">
        <v>48</v>
      </c>
      <c r="B586" s="146" t="s">
        <v>191</v>
      </c>
      <c r="C586" s="146" t="s">
        <v>125</v>
      </c>
      <c r="D586" s="137">
        <f>[1]Тепло!D118</f>
        <v>43453</v>
      </c>
      <c r="E586" s="137" t="str">
        <f>[1]Тепло!E118</f>
        <v>473-п</v>
      </c>
      <c r="F586" s="12">
        <v>43466</v>
      </c>
      <c r="G586" s="12">
        <v>43646</v>
      </c>
      <c r="H586" s="90"/>
      <c r="I586" s="66">
        <v>36.11</v>
      </c>
      <c r="J586" s="13">
        <v>1717.85</v>
      </c>
      <c r="K586" s="91" t="s">
        <v>23</v>
      </c>
      <c r="L586" s="91" t="s">
        <v>23</v>
      </c>
      <c r="M586" s="183"/>
    </row>
    <row r="587" spans="1:13" ht="15" customHeight="1" outlineLevel="1" x14ac:dyDescent="0.25">
      <c r="A587" s="148"/>
      <c r="B587" s="147"/>
      <c r="C587" s="148"/>
      <c r="D587" s="141"/>
      <c r="E587" s="141"/>
      <c r="F587" s="12">
        <v>43647</v>
      </c>
      <c r="G587" s="12">
        <v>43830</v>
      </c>
      <c r="H587" s="90"/>
      <c r="I587" s="66">
        <v>36.11</v>
      </c>
      <c r="J587" s="13">
        <v>1745.09</v>
      </c>
      <c r="K587" s="91" t="s">
        <v>23</v>
      </c>
      <c r="L587" s="91" t="s">
        <v>23</v>
      </c>
      <c r="M587" s="183"/>
    </row>
    <row r="588" spans="1:13" ht="15" customHeight="1" outlineLevel="1" x14ac:dyDescent="0.25">
      <c r="A588" s="148"/>
      <c r="B588" s="146" t="s">
        <v>192</v>
      </c>
      <c r="C588" s="148"/>
      <c r="D588" s="156">
        <f>[1]Тепло!D120</f>
        <v>43453</v>
      </c>
      <c r="E588" s="156" t="str">
        <f>[1]Тепло!E120</f>
        <v>473-п</v>
      </c>
      <c r="F588" s="12">
        <v>43466</v>
      </c>
      <c r="G588" s="12">
        <v>43646</v>
      </c>
      <c r="H588" s="168"/>
      <c r="I588" s="66">
        <v>36.11</v>
      </c>
      <c r="J588" s="13">
        <v>1717.85</v>
      </c>
      <c r="K588" s="91" t="s">
        <v>23</v>
      </c>
      <c r="L588" s="91" t="s">
        <v>23</v>
      </c>
      <c r="M588" s="183"/>
    </row>
    <row r="589" spans="1:13" ht="15" customHeight="1" outlineLevel="1" x14ac:dyDescent="0.25">
      <c r="A589" s="148"/>
      <c r="B589" s="148"/>
      <c r="C589" s="148"/>
      <c r="D589" s="156"/>
      <c r="E589" s="156"/>
      <c r="F589" s="12">
        <v>43647</v>
      </c>
      <c r="G589" s="12">
        <v>43830</v>
      </c>
      <c r="H589" s="168"/>
      <c r="I589" s="66">
        <v>36.11</v>
      </c>
      <c r="J589" s="13">
        <v>1745.09</v>
      </c>
      <c r="K589" s="91" t="s">
        <v>23</v>
      </c>
      <c r="L589" s="91" t="s">
        <v>23</v>
      </c>
      <c r="M589" s="183"/>
    </row>
    <row r="590" spans="1:13" ht="15" customHeight="1" outlineLevel="1" x14ac:dyDescent="0.25">
      <c r="A590" s="148"/>
      <c r="B590" s="148"/>
      <c r="C590" s="148"/>
      <c r="D590" s="137">
        <f>[1]Тепло!D122</f>
        <v>43454</v>
      </c>
      <c r="E590" s="156" t="str">
        <f>[1]Тепло!E122</f>
        <v>680-п</v>
      </c>
      <c r="F590" s="50">
        <v>43466</v>
      </c>
      <c r="G590" s="50">
        <v>43646</v>
      </c>
      <c r="H590" s="168"/>
      <c r="I590" s="91" t="s">
        <v>23</v>
      </c>
      <c r="J590" s="91" t="s">
        <v>23</v>
      </c>
      <c r="K590" s="13">
        <v>34.01</v>
      </c>
      <c r="L590" s="13">
        <v>1723.21</v>
      </c>
      <c r="M590" s="196" t="s">
        <v>420</v>
      </c>
    </row>
    <row r="591" spans="1:13" ht="15" customHeight="1" outlineLevel="1" x14ac:dyDescent="0.25">
      <c r="A591" s="148"/>
      <c r="B591" s="148"/>
      <c r="C591" s="148"/>
      <c r="D591" s="138"/>
      <c r="E591" s="156"/>
      <c r="F591" s="50">
        <v>43647</v>
      </c>
      <c r="G591" s="50">
        <v>43830</v>
      </c>
      <c r="H591" s="168"/>
      <c r="I591" s="91" t="s">
        <v>23</v>
      </c>
      <c r="J591" s="91" t="s">
        <v>23</v>
      </c>
      <c r="K591" s="13">
        <v>34.69</v>
      </c>
      <c r="L591" s="13">
        <v>1757.68</v>
      </c>
      <c r="M591" s="198"/>
    </row>
    <row r="592" spans="1:13" ht="15" customHeight="1" outlineLevel="1" x14ac:dyDescent="0.25">
      <c r="A592" s="148"/>
      <c r="B592" s="148"/>
      <c r="C592" s="148"/>
      <c r="D592" s="138"/>
      <c r="E592" s="156"/>
      <c r="F592" s="50">
        <v>43466</v>
      </c>
      <c r="G592" s="50">
        <v>43646</v>
      </c>
      <c r="H592" s="168"/>
      <c r="I592" s="91" t="s">
        <v>23</v>
      </c>
      <c r="J592" s="91" t="s">
        <v>23</v>
      </c>
      <c r="K592" s="13">
        <v>34.01</v>
      </c>
      <c r="L592" s="13">
        <v>1887.33</v>
      </c>
      <c r="M592" s="196" t="s">
        <v>421</v>
      </c>
    </row>
    <row r="593" spans="1:15" ht="15" customHeight="1" outlineLevel="1" x14ac:dyDescent="0.25">
      <c r="A593" s="148"/>
      <c r="B593" s="148"/>
      <c r="C593" s="148"/>
      <c r="D593" s="138"/>
      <c r="E593" s="156"/>
      <c r="F593" s="50">
        <v>43647</v>
      </c>
      <c r="G593" s="50">
        <v>43830</v>
      </c>
      <c r="H593" s="168"/>
      <c r="I593" s="91" t="s">
        <v>23</v>
      </c>
      <c r="J593" s="91" t="s">
        <v>23</v>
      </c>
      <c r="K593" s="13">
        <v>34.69</v>
      </c>
      <c r="L593" s="13">
        <v>1925.08</v>
      </c>
      <c r="M593" s="198"/>
    </row>
    <row r="594" spans="1:15" ht="15" customHeight="1" outlineLevel="1" x14ac:dyDescent="0.25">
      <c r="A594" s="148"/>
      <c r="B594" s="148"/>
      <c r="C594" s="148"/>
      <c r="D594" s="138"/>
      <c r="E594" s="156"/>
      <c r="F594" s="50">
        <v>43466</v>
      </c>
      <c r="G594" s="50">
        <v>43646</v>
      </c>
      <c r="H594" s="168"/>
      <c r="I594" s="91" t="s">
        <v>23</v>
      </c>
      <c r="J594" s="91" t="s">
        <v>23</v>
      </c>
      <c r="K594" s="13">
        <v>34.01</v>
      </c>
      <c r="L594" s="13">
        <v>1606.78</v>
      </c>
      <c r="M594" s="196" t="s">
        <v>422</v>
      </c>
    </row>
    <row r="595" spans="1:15" ht="15" customHeight="1" outlineLevel="1" x14ac:dyDescent="0.25">
      <c r="A595" s="148"/>
      <c r="B595" s="148"/>
      <c r="C595" s="148"/>
      <c r="D595" s="138"/>
      <c r="E595" s="156"/>
      <c r="F595" s="50">
        <v>43647</v>
      </c>
      <c r="G595" s="50">
        <v>43830</v>
      </c>
      <c r="H595" s="168"/>
      <c r="I595" s="91" t="s">
        <v>23</v>
      </c>
      <c r="J595" s="91" t="s">
        <v>23</v>
      </c>
      <c r="K595" s="13">
        <v>34.69</v>
      </c>
      <c r="L595" s="13">
        <v>1638.92</v>
      </c>
      <c r="M595" s="198"/>
    </row>
    <row r="596" spans="1:15" ht="15" customHeight="1" outlineLevel="1" x14ac:dyDescent="0.25">
      <c r="A596" s="148"/>
      <c r="B596" s="148"/>
      <c r="C596" s="148"/>
      <c r="D596" s="138"/>
      <c r="E596" s="156"/>
      <c r="F596" s="50">
        <v>43466</v>
      </c>
      <c r="G596" s="50">
        <v>43646</v>
      </c>
      <c r="H596" s="168"/>
      <c r="I596" s="91" t="s">
        <v>23</v>
      </c>
      <c r="J596" s="91" t="s">
        <v>23</v>
      </c>
      <c r="K596" s="13">
        <v>34.01</v>
      </c>
      <c r="L596" s="13">
        <v>1723.21</v>
      </c>
      <c r="M596" s="196" t="s">
        <v>423</v>
      </c>
    </row>
    <row r="597" spans="1:15" ht="15" customHeight="1" outlineLevel="1" x14ac:dyDescent="0.25">
      <c r="A597" s="148"/>
      <c r="B597" s="148"/>
      <c r="C597" s="148"/>
      <c r="D597" s="138"/>
      <c r="E597" s="156"/>
      <c r="F597" s="50">
        <v>43647</v>
      </c>
      <c r="G597" s="50">
        <v>43830</v>
      </c>
      <c r="H597" s="168"/>
      <c r="I597" s="91" t="s">
        <v>23</v>
      </c>
      <c r="J597" s="91" t="s">
        <v>23</v>
      </c>
      <c r="K597" s="13">
        <v>34.69</v>
      </c>
      <c r="L597" s="13">
        <v>1757.68</v>
      </c>
      <c r="M597" s="198"/>
    </row>
    <row r="598" spans="1:15" ht="15" customHeight="1" outlineLevel="1" x14ac:dyDescent="0.25">
      <c r="A598" s="148"/>
      <c r="B598" s="148"/>
      <c r="C598" s="148"/>
      <c r="D598" s="138"/>
      <c r="E598" s="156"/>
      <c r="F598" s="50">
        <v>43466</v>
      </c>
      <c r="G598" s="50">
        <v>43646</v>
      </c>
      <c r="H598" s="168"/>
      <c r="I598" s="91" t="s">
        <v>23</v>
      </c>
      <c r="J598" s="91" t="s">
        <v>23</v>
      </c>
      <c r="K598" s="13">
        <v>34.01</v>
      </c>
      <c r="L598" s="13">
        <v>1801.54</v>
      </c>
      <c r="M598" s="196" t="s">
        <v>424</v>
      </c>
    </row>
    <row r="599" spans="1:15" ht="15" customHeight="1" outlineLevel="1" x14ac:dyDescent="0.25">
      <c r="A599" s="148"/>
      <c r="B599" s="148"/>
      <c r="C599" s="148"/>
      <c r="D599" s="138"/>
      <c r="E599" s="156"/>
      <c r="F599" s="50">
        <v>43647</v>
      </c>
      <c r="G599" s="50">
        <v>43830</v>
      </c>
      <c r="H599" s="168"/>
      <c r="I599" s="91" t="s">
        <v>23</v>
      </c>
      <c r="J599" s="91" t="s">
        <v>23</v>
      </c>
      <c r="K599" s="13">
        <v>34.69</v>
      </c>
      <c r="L599" s="13">
        <v>1837.57</v>
      </c>
      <c r="M599" s="198"/>
    </row>
    <row r="600" spans="1:15" ht="15" customHeight="1" outlineLevel="1" x14ac:dyDescent="0.25">
      <c r="A600" s="148"/>
      <c r="B600" s="148"/>
      <c r="C600" s="148"/>
      <c r="D600" s="138"/>
      <c r="E600" s="156"/>
      <c r="F600" s="50">
        <v>43466</v>
      </c>
      <c r="G600" s="50">
        <v>43646</v>
      </c>
      <c r="H600" s="168"/>
      <c r="I600" s="91" t="s">
        <v>23</v>
      </c>
      <c r="J600" s="91" t="s">
        <v>23</v>
      </c>
      <c r="K600" s="13">
        <v>34.01</v>
      </c>
      <c r="L600" s="13">
        <v>1949.21</v>
      </c>
      <c r="M600" s="196" t="s">
        <v>425</v>
      </c>
    </row>
    <row r="601" spans="1:15" ht="15" customHeight="1" outlineLevel="1" x14ac:dyDescent="0.25">
      <c r="A601" s="148"/>
      <c r="B601" s="148"/>
      <c r="C601" s="148"/>
      <c r="D601" s="138"/>
      <c r="E601" s="156"/>
      <c r="F601" s="50">
        <v>43647</v>
      </c>
      <c r="G601" s="50">
        <v>43830</v>
      </c>
      <c r="H601" s="168"/>
      <c r="I601" s="91" t="s">
        <v>23</v>
      </c>
      <c r="J601" s="91" t="s">
        <v>23</v>
      </c>
      <c r="K601" s="13">
        <v>34.69</v>
      </c>
      <c r="L601" s="13">
        <v>1988.19</v>
      </c>
      <c r="M601" s="198"/>
    </row>
    <row r="602" spans="1:15" ht="15" customHeight="1" outlineLevel="1" x14ac:dyDescent="0.25">
      <c r="A602" s="148"/>
      <c r="B602" s="148"/>
      <c r="C602" s="148"/>
      <c r="D602" s="138"/>
      <c r="E602" s="156"/>
      <c r="F602" s="50">
        <v>43466</v>
      </c>
      <c r="G602" s="50">
        <v>43646</v>
      </c>
      <c r="H602" s="168"/>
      <c r="I602" s="91" t="s">
        <v>23</v>
      </c>
      <c r="J602" s="91" t="s">
        <v>23</v>
      </c>
      <c r="K602" s="13">
        <v>34.01</v>
      </c>
      <c r="L602" s="13">
        <v>1651.41</v>
      </c>
      <c r="M602" s="196" t="s">
        <v>426</v>
      </c>
    </row>
    <row r="603" spans="1:15" ht="15" customHeight="1" outlineLevel="1" x14ac:dyDescent="0.25">
      <c r="A603" s="148"/>
      <c r="B603" s="148"/>
      <c r="C603" s="148"/>
      <c r="D603" s="138"/>
      <c r="E603" s="156"/>
      <c r="F603" s="50">
        <v>43647</v>
      </c>
      <c r="G603" s="50">
        <v>43830</v>
      </c>
      <c r="H603" s="168"/>
      <c r="I603" s="91" t="s">
        <v>23</v>
      </c>
      <c r="J603" s="91" t="s">
        <v>23</v>
      </c>
      <c r="K603" s="13">
        <v>34.69</v>
      </c>
      <c r="L603" s="13">
        <v>1684.44</v>
      </c>
      <c r="M603" s="198"/>
    </row>
    <row r="604" spans="1:15" ht="15" customHeight="1" outlineLevel="1" x14ac:dyDescent="0.25">
      <c r="A604" s="148"/>
      <c r="B604" s="148"/>
      <c r="C604" s="148"/>
      <c r="D604" s="138"/>
      <c r="E604" s="156"/>
      <c r="F604" s="50">
        <v>43466</v>
      </c>
      <c r="G604" s="50">
        <v>43646</v>
      </c>
      <c r="H604" s="168"/>
      <c r="I604" s="91" t="s">
        <v>23</v>
      </c>
      <c r="J604" s="91" t="s">
        <v>23</v>
      </c>
      <c r="K604" s="13">
        <v>34.01</v>
      </c>
      <c r="L604" s="13">
        <v>1801.54</v>
      </c>
      <c r="M604" s="196" t="s">
        <v>427</v>
      </c>
    </row>
    <row r="605" spans="1:15" ht="15" customHeight="1" outlineLevel="1" x14ac:dyDescent="0.25">
      <c r="A605" s="147"/>
      <c r="B605" s="147"/>
      <c r="C605" s="147"/>
      <c r="D605" s="141"/>
      <c r="E605" s="156"/>
      <c r="F605" s="50">
        <v>43647</v>
      </c>
      <c r="G605" s="50">
        <v>43830</v>
      </c>
      <c r="H605" s="168"/>
      <c r="I605" s="91" t="s">
        <v>23</v>
      </c>
      <c r="J605" s="91" t="s">
        <v>23</v>
      </c>
      <c r="K605" s="13">
        <v>34.69</v>
      </c>
      <c r="L605" s="13">
        <v>1837.57</v>
      </c>
      <c r="M605" s="198"/>
    </row>
    <row r="606" spans="1:15" ht="15" customHeight="1" outlineLevel="1" x14ac:dyDescent="0.25">
      <c r="A606" s="146" t="s">
        <v>48</v>
      </c>
      <c r="B606" s="146" t="s">
        <v>277</v>
      </c>
      <c r="C606" s="146" t="s">
        <v>225</v>
      </c>
      <c r="D606" s="137">
        <v>42723</v>
      </c>
      <c r="E606" s="137" t="s">
        <v>767</v>
      </c>
      <c r="F606" s="12">
        <v>43466</v>
      </c>
      <c r="G606" s="12">
        <v>43646</v>
      </c>
      <c r="H606" s="142" t="s">
        <v>782</v>
      </c>
      <c r="I606" s="66">
        <v>54.37</v>
      </c>
      <c r="J606" s="13">
        <v>2486.63</v>
      </c>
      <c r="K606" s="15" t="s">
        <v>23</v>
      </c>
      <c r="L606" s="15" t="s">
        <v>23</v>
      </c>
      <c r="M606" s="183"/>
    </row>
    <row r="607" spans="1:15" ht="15" customHeight="1" outlineLevel="1" x14ac:dyDescent="0.25">
      <c r="A607" s="148"/>
      <c r="B607" s="148"/>
      <c r="C607" s="148"/>
      <c r="D607" s="141"/>
      <c r="E607" s="141"/>
      <c r="F607" s="12">
        <v>43647</v>
      </c>
      <c r="G607" s="12">
        <v>43830</v>
      </c>
      <c r="H607" s="143"/>
      <c r="I607" s="66">
        <v>81.22</v>
      </c>
      <c r="J607" s="13">
        <v>2343.14</v>
      </c>
      <c r="K607" s="15" t="s">
        <v>23</v>
      </c>
      <c r="L607" s="15" t="s">
        <v>23</v>
      </c>
      <c r="M607" s="183"/>
    </row>
    <row r="608" spans="1:15" ht="15" customHeight="1" outlineLevel="1" x14ac:dyDescent="0.25">
      <c r="A608" s="148"/>
      <c r="B608" s="148"/>
      <c r="C608" s="148"/>
      <c r="D608" s="156">
        <v>43454</v>
      </c>
      <c r="E608" s="156" t="s">
        <v>606</v>
      </c>
      <c r="F608" s="50">
        <v>43466</v>
      </c>
      <c r="G608" s="50">
        <v>43646</v>
      </c>
      <c r="H608" s="168"/>
      <c r="I608" s="15" t="s">
        <v>23</v>
      </c>
      <c r="J608" s="15" t="s">
        <v>23</v>
      </c>
      <c r="K608" s="13">
        <v>20.298305084745767</v>
      </c>
      <c r="L608" s="13">
        <v>1870.5966101694917</v>
      </c>
      <c r="M608" s="196" t="s">
        <v>420</v>
      </c>
      <c r="N608" s="55">
        <f>K608/1.2</f>
        <v>16.915254237288138</v>
      </c>
      <c r="O608" s="55">
        <f>L608/1.2</f>
        <v>1558.8305084745764</v>
      </c>
    </row>
    <row r="609" spans="1:19" ht="15" customHeight="1" outlineLevel="1" x14ac:dyDescent="0.25">
      <c r="A609" s="148"/>
      <c r="B609" s="148"/>
      <c r="C609" s="148"/>
      <c r="D609" s="156"/>
      <c r="E609" s="156"/>
      <c r="F609" s="50">
        <v>43647</v>
      </c>
      <c r="G609" s="50">
        <v>43830</v>
      </c>
      <c r="H609" s="168"/>
      <c r="I609" s="15" t="s">
        <v>23</v>
      </c>
      <c r="J609" s="15" t="s">
        <v>23</v>
      </c>
      <c r="K609" s="13">
        <v>20.704271186440682</v>
      </c>
      <c r="L609" s="13">
        <v>1908.0085423728815</v>
      </c>
      <c r="M609" s="198"/>
      <c r="N609" s="55">
        <f t="shared" ref="N609:O623" si="4">K609/1.2</f>
        <v>17.253559322033901</v>
      </c>
      <c r="O609" s="55">
        <f t="shared" si="4"/>
        <v>1590.007118644068</v>
      </c>
    </row>
    <row r="610" spans="1:19" ht="15" customHeight="1" outlineLevel="1" x14ac:dyDescent="0.25">
      <c r="A610" s="148"/>
      <c r="B610" s="148"/>
      <c r="C610" s="148"/>
      <c r="D610" s="156"/>
      <c r="E610" s="156"/>
      <c r="F610" s="50">
        <v>43466</v>
      </c>
      <c r="G610" s="50">
        <v>43646</v>
      </c>
      <c r="H610" s="168"/>
      <c r="I610" s="15" t="s">
        <v>23</v>
      </c>
      <c r="J610" s="15" t="s">
        <v>23</v>
      </c>
      <c r="K610" s="13">
        <v>20.298305084745767</v>
      </c>
      <c r="L610" s="13">
        <v>2048.7457627118642</v>
      </c>
      <c r="M610" s="196" t="s">
        <v>421</v>
      </c>
      <c r="N610" s="55">
        <f t="shared" si="4"/>
        <v>16.915254237288138</v>
      </c>
      <c r="O610" s="55">
        <f t="shared" si="4"/>
        <v>1707.2881355932202</v>
      </c>
    </row>
    <row r="611" spans="1:19" ht="15" customHeight="1" outlineLevel="1" x14ac:dyDescent="0.25">
      <c r="A611" s="148"/>
      <c r="B611" s="148"/>
      <c r="C611" s="148"/>
      <c r="D611" s="156"/>
      <c r="E611" s="156"/>
      <c r="F611" s="50">
        <v>43647</v>
      </c>
      <c r="G611" s="50">
        <v>43830</v>
      </c>
      <c r="H611" s="168"/>
      <c r="I611" s="15" t="s">
        <v>23</v>
      </c>
      <c r="J611" s="15" t="s">
        <v>23</v>
      </c>
      <c r="K611" s="13">
        <v>20.704271186440682</v>
      </c>
      <c r="L611" s="13">
        <v>2089.7206779661014</v>
      </c>
      <c r="M611" s="198"/>
      <c r="N611" s="55">
        <f t="shared" si="4"/>
        <v>17.253559322033901</v>
      </c>
      <c r="O611" s="55">
        <f t="shared" si="4"/>
        <v>1741.4338983050845</v>
      </c>
    </row>
    <row r="612" spans="1:19" ht="15" customHeight="1" outlineLevel="1" x14ac:dyDescent="0.25">
      <c r="A612" s="148"/>
      <c r="B612" s="148"/>
      <c r="C612" s="148"/>
      <c r="D612" s="156"/>
      <c r="E612" s="156"/>
      <c r="F612" s="50">
        <v>43466</v>
      </c>
      <c r="G612" s="50">
        <v>43646</v>
      </c>
      <c r="H612" s="168"/>
      <c r="I612" s="15" t="s">
        <v>23</v>
      </c>
      <c r="J612" s="15" t="s">
        <v>23</v>
      </c>
      <c r="K612" s="13">
        <v>20.298305084745767</v>
      </c>
      <c r="L612" s="13">
        <v>1744.2101694915254</v>
      </c>
      <c r="M612" s="196" t="s">
        <v>422</v>
      </c>
      <c r="N612" s="55">
        <f t="shared" si="4"/>
        <v>16.915254237288138</v>
      </c>
      <c r="O612" s="55">
        <f t="shared" si="4"/>
        <v>1453.5084745762713</v>
      </c>
    </row>
    <row r="613" spans="1:19" ht="15" customHeight="1" outlineLevel="1" x14ac:dyDescent="0.25">
      <c r="A613" s="148"/>
      <c r="B613" s="148"/>
      <c r="C613" s="148"/>
      <c r="D613" s="156"/>
      <c r="E613" s="156"/>
      <c r="F613" s="50">
        <v>43647</v>
      </c>
      <c r="G613" s="50">
        <v>43830</v>
      </c>
      <c r="H613" s="168"/>
      <c r="I613" s="15" t="s">
        <v>23</v>
      </c>
      <c r="J613" s="15" t="s">
        <v>23</v>
      </c>
      <c r="K613" s="13">
        <v>20.704271186440682</v>
      </c>
      <c r="L613" s="13">
        <v>1779.0943728813561</v>
      </c>
      <c r="M613" s="198"/>
      <c r="N613" s="55">
        <f t="shared" si="4"/>
        <v>17.253559322033901</v>
      </c>
      <c r="O613" s="55">
        <f t="shared" si="4"/>
        <v>1482.5786440677969</v>
      </c>
    </row>
    <row r="614" spans="1:19" ht="15" customHeight="1" outlineLevel="1" x14ac:dyDescent="0.25">
      <c r="A614" s="148"/>
      <c r="B614" s="148"/>
      <c r="C614" s="148"/>
      <c r="D614" s="156"/>
      <c r="E614" s="156"/>
      <c r="F614" s="50">
        <v>43466</v>
      </c>
      <c r="G614" s="50">
        <v>43646</v>
      </c>
      <c r="H614" s="168"/>
      <c r="I614" s="15" t="s">
        <v>23</v>
      </c>
      <c r="J614" s="15" t="s">
        <v>23</v>
      </c>
      <c r="K614" s="13">
        <v>20.298305084745767</v>
      </c>
      <c r="L614" s="13">
        <v>1870.5966101694917</v>
      </c>
      <c r="M614" s="196" t="s">
        <v>423</v>
      </c>
      <c r="N614" s="55">
        <f t="shared" si="4"/>
        <v>16.915254237288138</v>
      </c>
      <c r="O614" s="55">
        <f t="shared" si="4"/>
        <v>1558.8305084745764</v>
      </c>
    </row>
    <row r="615" spans="1:19" ht="15" customHeight="1" outlineLevel="1" x14ac:dyDescent="0.25">
      <c r="A615" s="148"/>
      <c r="B615" s="148"/>
      <c r="C615" s="148"/>
      <c r="D615" s="156"/>
      <c r="E615" s="156"/>
      <c r="F615" s="50">
        <v>43647</v>
      </c>
      <c r="G615" s="50">
        <v>43830</v>
      </c>
      <c r="H615" s="168"/>
      <c r="I615" s="15" t="s">
        <v>23</v>
      </c>
      <c r="J615" s="15" t="s">
        <v>23</v>
      </c>
      <c r="K615" s="13">
        <v>20.704271186440682</v>
      </c>
      <c r="L615" s="13">
        <v>1908.0085423728815</v>
      </c>
      <c r="M615" s="198"/>
      <c r="N615" s="55">
        <f t="shared" si="4"/>
        <v>17.253559322033901</v>
      </c>
      <c r="O615" s="55">
        <f t="shared" si="4"/>
        <v>1590.007118644068</v>
      </c>
    </row>
    <row r="616" spans="1:19" ht="15" customHeight="1" outlineLevel="1" x14ac:dyDescent="0.25">
      <c r="A616" s="148"/>
      <c r="B616" s="148"/>
      <c r="C616" s="148"/>
      <c r="D616" s="156"/>
      <c r="E616" s="156"/>
      <c r="F616" s="50">
        <v>43466</v>
      </c>
      <c r="G616" s="50">
        <v>43646</v>
      </c>
      <c r="H616" s="168"/>
      <c r="I616" s="15" t="s">
        <v>23</v>
      </c>
      <c r="J616" s="15" t="s">
        <v>23</v>
      </c>
      <c r="K616" s="13">
        <v>20.298305084745767</v>
      </c>
      <c r="L616" s="13">
        <v>1955.6237288135594</v>
      </c>
      <c r="M616" s="196" t="s">
        <v>424</v>
      </c>
      <c r="N616" s="55">
        <f t="shared" si="4"/>
        <v>16.915254237288138</v>
      </c>
      <c r="O616" s="55">
        <f t="shared" si="4"/>
        <v>1629.6864406779662</v>
      </c>
      <c r="P616" s="121">
        <f>I606-N616</f>
        <v>37.454745762711859</v>
      </c>
      <c r="Q616" s="57">
        <f>J606-O616</f>
        <v>856.94355932203393</v>
      </c>
    </row>
    <row r="617" spans="1:19" ht="15" customHeight="1" outlineLevel="1" x14ac:dyDescent="0.25">
      <c r="A617" s="148"/>
      <c r="B617" s="148"/>
      <c r="C617" s="148"/>
      <c r="D617" s="156"/>
      <c r="E617" s="156"/>
      <c r="F617" s="50">
        <v>43647</v>
      </c>
      <c r="G617" s="50">
        <v>43830</v>
      </c>
      <c r="H617" s="168"/>
      <c r="I617" s="15" t="s">
        <v>23</v>
      </c>
      <c r="J617" s="15" t="s">
        <v>23</v>
      </c>
      <c r="K617" s="13">
        <v>20.704271186440682</v>
      </c>
      <c r="L617" s="13">
        <v>1994.7362033898307</v>
      </c>
      <c r="M617" s="198"/>
      <c r="N617" s="55">
        <f t="shared" si="4"/>
        <v>17.253559322033901</v>
      </c>
      <c r="O617" s="55">
        <f t="shared" si="4"/>
        <v>1662.2801694915256</v>
      </c>
    </row>
    <row r="618" spans="1:19" ht="15" customHeight="1" outlineLevel="1" x14ac:dyDescent="0.25">
      <c r="A618" s="148"/>
      <c r="B618" s="148"/>
      <c r="C618" s="148"/>
      <c r="D618" s="156"/>
      <c r="E618" s="156"/>
      <c r="F618" s="50">
        <v>43466</v>
      </c>
      <c r="G618" s="50">
        <v>43646</v>
      </c>
      <c r="H618" s="168"/>
      <c r="I618" s="15" t="s">
        <v>23</v>
      </c>
      <c r="J618" s="15" t="s">
        <v>23</v>
      </c>
      <c r="K618" s="13">
        <v>20.298305084745767</v>
      </c>
      <c r="L618" s="13">
        <v>2115.9254237288133</v>
      </c>
      <c r="M618" s="196" t="s">
        <v>425</v>
      </c>
      <c r="N618" s="55">
        <f t="shared" si="4"/>
        <v>16.915254237288138</v>
      </c>
      <c r="O618" s="55">
        <f t="shared" si="4"/>
        <v>1763.2711864406779</v>
      </c>
      <c r="P618" s="121">
        <f>I606-N618</f>
        <v>37.454745762711859</v>
      </c>
      <c r="Q618" s="57">
        <f>J606-O618</f>
        <v>723.35881355932224</v>
      </c>
    </row>
    <row r="619" spans="1:19" ht="15" customHeight="1" outlineLevel="1" x14ac:dyDescent="0.25">
      <c r="A619" s="148"/>
      <c r="B619" s="148"/>
      <c r="C619" s="148"/>
      <c r="D619" s="156"/>
      <c r="E619" s="156"/>
      <c r="F619" s="50">
        <v>43647</v>
      </c>
      <c r="G619" s="50">
        <v>43830</v>
      </c>
      <c r="H619" s="168"/>
      <c r="I619" s="15" t="s">
        <v>23</v>
      </c>
      <c r="J619" s="15" t="s">
        <v>23</v>
      </c>
      <c r="K619" s="13">
        <v>20.704271186440682</v>
      </c>
      <c r="L619" s="13">
        <v>2158.2439322033897</v>
      </c>
      <c r="M619" s="198"/>
      <c r="N619" s="55">
        <f t="shared" si="4"/>
        <v>17.253559322033901</v>
      </c>
      <c r="O619" s="55">
        <f t="shared" si="4"/>
        <v>1798.5366101694915</v>
      </c>
    </row>
    <row r="620" spans="1:19" ht="15" customHeight="1" outlineLevel="1" x14ac:dyDescent="0.25">
      <c r="A620" s="148"/>
      <c r="B620" s="148"/>
      <c r="C620" s="148"/>
      <c r="D620" s="156"/>
      <c r="E620" s="156"/>
      <c r="F620" s="50">
        <v>43466</v>
      </c>
      <c r="G620" s="50">
        <v>43646</v>
      </c>
      <c r="H620" s="168"/>
      <c r="I620" s="15" t="s">
        <v>23</v>
      </c>
      <c r="J620" s="15" t="s">
        <v>23</v>
      </c>
      <c r="K620" s="13">
        <v>20.298305084745767</v>
      </c>
      <c r="L620" s="13">
        <v>1792.6576271186441</v>
      </c>
      <c r="M620" s="196" t="s">
        <v>426</v>
      </c>
      <c r="N620" s="55">
        <f t="shared" si="4"/>
        <v>16.915254237288138</v>
      </c>
      <c r="O620" s="55">
        <f t="shared" si="4"/>
        <v>1493.8813559322034</v>
      </c>
      <c r="P620" s="121">
        <f>I606-N620</f>
        <v>37.454745762711859</v>
      </c>
      <c r="Q620" s="57">
        <f>J606-O620</f>
        <v>992.7486440677967</v>
      </c>
    </row>
    <row r="621" spans="1:19" ht="15" customHeight="1" outlineLevel="1" x14ac:dyDescent="0.25">
      <c r="A621" s="148"/>
      <c r="B621" s="148"/>
      <c r="C621" s="148"/>
      <c r="D621" s="156"/>
      <c r="E621" s="156"/>
      <c r="F621" s="50">
        <v>43647</v>
      </c>
      <c r="G621" s="50">
        <v>43830</v>
      </c>
      <c r="H621" s="168"/>
      <c r="I621" s="15" t="s">
        <v>23</v>
      </c>
      <c r="J621" s="15" t="s">
        <v>23</v>
      </c>
      <c r="K621" s="13">
        <v>20.704271186440682</v>
      </c>
      <c r="L621" s="13">
        <v>1828.5107796610171</v>
      </c>
      <c r="M621" s="198"/>
      <c r="N621" s="55">
        <f t="shared" si="4"/>
        <v>17.253559322033901</v>
      </c>
      <c r="O621" s="55">
        <f t="shared" si="4"/>
        <v>1523.7589830508475</v>
      </c>
    </row>
    <row r="622" spans="1:19" ht="15" customHeight="1" outlineLevel="1" x14ac:dyDescent="0.25">
      <c r="A622" s="148"/>
      <c r="B622" s="148"/>
      <c r="C622" s="148"/>
      <c r="D622" s="156"/>
      <c r="E622" s="156"/>
      <c r="F622" s="50">
        <v>43466</v>
      </c>
      <c r="G622" s="50">
        <v>43646</v>
      </c>
      <c r="H622" s="168"/>
      <c r="I622" s="15" t="s">
        <v>23</v>
      </c>
      <c r="J622" s="15" t="s">
        <v>23</v>
      </c>
      <c r="K622" s="13">
        <v>20.298305084745767</v>
      </c>
      <c r="L622" s="13">
        <v>1955.6237288135594</v>
      </c>
      <c r="M622" s="196" t="s">
        <v>427</v>
      </c>
      <c r="N622" s="55">
        <f t="shared" si="4"/>
        <v>16.915254237288138</v>
      </c>
      <c r="O622" s="55">
        <f t="shared" si="4"/>
        <v>1629.6864406779662</v>
      </c>
      <c r="P622" s="121">
        <f>I606-N622</f>
        <v>37.454745762711859</v>
      </c>
      <c r="Q622" s="57">
        <f>J606-O622</f>
        <v>856.94355932203393</v>
      </c>
      <c r="R622" s="57">
        <f>P622*3515.127</f>
        <v>131658.18810864404</v>
      </c>
      <c r="S622" s="58">
        <f>Q622*231.998</f>
        <v>198809.19187559321</v>
      </c>
    </row>
    <row r="623" spans="1:19" ht="15" customHeight="1" outlineLevel="1" x14ac:dyDescent="0.25">
      <c r="A623" s="147"/>
      <c r="B623" s="147"/>
      <c r="C623" s="147"/>
      <c r="D623" s="156"/>
      <c r="E623" s="156"/>
      <c r="F623" s="50">
        <v>43647</v>
      </c>
      <c r="G623" s="50">
        <v>43830</v>
      </c>
      <c r="H623" s="168"/>
      <c r="I623" s="15" t="s">
        <v>23</v>
      </c>
      <c r="J623" s="15" t="s">
        <v>23</v>
      </c>
      <c r="K623" s="13">
        <v>20.704271186440682</v>
      </c>
      <c r="L623" s="13">
        <v>1994.7362033898307</v>
      </c>
      <c r="M623" s="198"/>
      <c r="N623" s="55">
        <f t="shared" si="4"/>
        <v>17.253559322033901</v>
      </c>
      <c r="O623" s="55">
        <f t="shared" si="4"/>
        <v>1662.2801694915256</v>
      </c>
    </row>
    <row r="624" spans="1:19" ht="15" customHeight="1" outlineLevel="1" x14ac:dyDescent="0.25">
      <c r="A624" s="146" t="s">
        <v>48</v>
      </c>
      <c r="B624" s="146" t="s">
        <v>231</v>
      </c>
      <c r="C624" s="146" t="s">
        <v>232</v>
      </c>
      <c r="D624" s="156">
        <f>[1]Тепло!D229</f>
        <v>43453</v>
      </c>
      <c r="E624" s="156" t="str">
        <f>[1]Тепло!E229</f>
        <v>469-п</v>
      </c>
      <c r="F624" s="12">
        <v>43466</v>
      </c>
      <c r="G624" s="12">
        <v>43646</v>
      </c>
      <c r="H624" s="168"/>
      <c r="I624" s="66">
        <v>28.45</v>
      </c>
      <c r="J624" s="13">
        <v>2195.2199999999998</v>
      </c>
      <c r="K624" s="15" t="s">
        <v>23</v>
      </c>
      <c r="L624" s="15" t="s">
        <v>23</v>
      </c>
      <c r="M624" s="183"/>
    </row>
    <row r="625" spans="1:13" ht="15" customHeight="1" outlineLevel="1" x14ac:dyDescent="0.25">
      <c r="A625" s="148"/>
      <c r="B625" s="148"/>
      <c r="C625" s="148"/>
      <c r="D625" s="156"/>
      <c r="E625" s="156"/>
      <c r="F625" s="12">
        <v>43647</v>
      </c>
      <c r="G625" s="12">
        <v>43830</v>
      </c>
      <c r="H625" s="168"/>
      <c r="I625" s="66">
        <v>28.45</v>
      </c>
      <c r="J625" s="13">
        <v>2218.0100000000002</v>
      </c>
      <c r="K625" s="15" t="s">
        <v>23</v>
      </c>
      <c r="L625" s="15" t="s">
        <v>23</v>
      </c>
      <c r="M625" s="183"/>
    </row>
    <row r="626" spans="1:13" ht="15" customHeight="1" outlineLevel="1" x14ac:dyDescent="0.25">
      <c r="A626" s="148"/>
      <c r="B626" s="148"/>
      <c r="C626" s="148"/>
      <c r="D626" s="156">
        <f>[1]Тепло!D231</f>
        <v>43454</v>
      </c>
      <c r="E626" s="156" t="str">
        <f>[1]Тепло!E231</f>
        <v>680-п</v>
      </c>
      <c r="F626" s="50">
        <v>43466</v>
      </c>
      <c r="G626" s="50">
        <v>43646</v>
      </c>
      <c r="H626" s="168"/>
      <c r="I626" s="15" t="s">
        <v>23</v>
      </c>
      <c r="J626" s="15" t="s">
        <v>23</v>
      </c>
      <c r="K626" s="13">
        <v>22.69</v>
      </c>
      <c r="L626" s="13">
        <v>1666.04</v>
      </c>
      <c r="M626" s="196" t="s">
        <v>420</v>
      </c>
    </row>
    <row r="627" spans="1:13" ht="15" customHeight="1" outlineLevel="1" x14ac:dyDescent="0.25">
      <c r="A627" s="148"/>
      <c r="B627" s="148"/>
      <c r="C627" s="148"/>
      <c r="D627" s="156"/>
      <c r="E627" s="156"/>
      <c r="F627" s="50">
        <v>43647</v>
      </c>
      <c r="G627" s="50">
        <v>43830</v>
      </c>
      <c r="H627" s="168"/>
      <c r="I627" s="15" t="s">
        <v>23</v>
      </c>
      <c r="J627" s="15" t="s">
        <v>23</v>
      </c>
      <c r="K627" s="13">
        <v>23.14</v>
      </c>
      <c r="L627" s="13">
        <v>1699.36</v>
      </c>
      <c r="M627" s="198"/>
    </row>
    <row r="628" spans="1:13" ht="15" customHeight="1" outlineLevel="1" x14ac:dyDescent="0.25">
      <c r="A628" s="148"/>
      <c r="B628" s="148"/>
      <c r="C628" s="148"/>
      <c r="D628" s="156"/>
      <c r="E628" s="156"/>
      <c r="F628" s="50">
        <v>43466</v>
      </c>
      <c r="G628" s="50">
        <v>43646</v>
      </c>
      <c r="H628" s="168"/>
      <c r="I628" s="15" t="s">
        <v>23</v>
      </c>
      <c r="J628" s="15" t="s">
        <v>23</v>
      </c>
      <c r="K628" s="13">
        <v>22.69</v>
      </c>
      <c r="L628" s="13">
        <v>1824.71</v>
      </c>
      <c r="M628" s="196" t="s">
        <v>421</v>
      </c>
    </row>
    <row r="629" spans="1:13" ht="15" customHeight="1" outlineLevel="1" x14ac:dyDescent="0.25">
      <c r="A629" s="148"/>
      <c r="B629" s="148"/>
      <c r="C629" s="148"/>
      <c r="D629" s="156"/>
      <c r="E629" s="156"/>
      <c r="F629" s="50">
        <v>43647</v>
      </c>
      <c r="G629" s="50">
        <v>43830</v>
      </c>
      <c r="H629" s="168"/>
      <c r="I629" s="15" t="s">
        <v>23</v>
      </c>
      <c r="J629" s="15" t="s">
        <v>23</v>
      </c>
      <c r="K629" s="13">
        <v>23.14</v>
      </c>
      <c r="L629" s="13">
        <v>1861.21</v>
      </c>
      <c r="M629" s="198"/>
    </row>
    <row r="630" spans="1:13" ht="15" customHeight="1" outlineLevel="1" x14ac:dyDescent="0.25">
      <c r="A630" s="148"/>
      <c r="B630" s="148"/>
      <c r="C630" s="148"/>
      <c r="D630" s="156"/>
      <c r="E630" s="156"/>
      <c r="F630" s="50">
        <v>43466</v>
      </c>
      <c r="G630" s="50">
        <v>43646</v>
      </c>
      <c r="H630" s="168"/>
      <c r="I630" s="15" t="s">
        <v>23</v>
      </c>
      <c r="J630" s="15" t="s">
        <v>23</v>
      </c>
      <c r="K630" s="13">
        <v>22.69</v>
      </c>
      <c r="L630" s="13">
        <v>1553.47</v>
      </c>
      <c r="M630" s="196" t="s">
        <v>422</v>
      </c>
    </row>
    <row r="631" spans="1:13" ht="15" customHeight="1" outlineLevel="1" x14ac:dyDescent="0.25">
      <c r="A631" s="148"/>
      <c r="B631" s="148"/>
      <c r="C631" s="148"/>
      <c r="D631" s="156"/>
      <c r="E631" s="156"/>
      <c r="F631" s="50">
        <v>43647</v>
      </c>
      <c r="G631" s="50">
        <v>43830</v>
      </c>
      <c r="H631" s="168"/>
      <c r="I631" s="15" t="s">
        <v>23</v>
      </c>
      <c r="J631" s="15" t="s">
        <v>23</v>
      </c>
      <c r="K631" s="13">
        <v>23.14</v>
      </c>
      <c r="L631" s="13">
        <v>1584.54</v>
      </c>
      <c r="M631" s="198"/>
    </row>
    <row r="632" spans="1:13" ht="15" customHeight="1" outlineLevel="1" x14ac:dyDescent="0.25">
      <c r="A632" s="148"/>
      <c r="B632" s="148"/>
      <c r="C632" s="148"/>
      <c r="D632" s="156"/>
      <c r="E632" s="156"/>
      <c r="F632" s="50">
        <v>43466</v>
      </c>
      <c r="G632" s="50">
        <v>43646</v>
      </c>
      <c r="H632" s="168"/>
      <c r="I632" s="15" t="s">
        <v>23</v>
      </c>
      <c r="J632" s="15" t="s">
        <v>23</v>
      </c>
      <c r="K632" s="13">
        <v>22.69</v>
      </c>
      <c r="L632" s="13">
        <v>1666.04</v>
      </c>
      <c r="M632" s="196" t="s">
        <v>423</v>
      </c>
    </row>
    <row r="633" spans="1:13" ht="15" customHeight="1" outlineLevel="1" x14ac:dyDescent="0.25">
      <c r="A633" s="148"/>
      <c r="B633" s="148"/>
      <c r="C633" s="148"/>
      <c r="D633" s="156"/>
      <c r="E633" s="156"/>
      <c r="F633" s="50">
        <v>43647</v>
      </c>
      <c r="G633" s="50">
        <v>43830</v>
      </c>
      <c r="H633" s="168"/>
      <c r="I633" s="15" t="s">
        <v>23</v>
      </c>
      <c r="J633" s="15" t="s">
        <v>23</v>
      </c>
      <c r="K633" s="13">
        <v>23.14</v>
      </c>
      <c r="L633" s="13">
        <v>1699.36</v>
      </c>
      <c r="M633" s="198"/>
    </row>
    <row r="634" spans="1:13" ht="15" customHeight="1" outlineLevel="1" x14ac:dyDescent="0.25">
      <c r="A634" s="148"/>
      <c r="B634" s="148"/>
      <c r="C634" s="148"/>
      <c r="D634" s="156"/>
      <c r="E634" s="156"/>
      <c r="F634" s="50">
        <v>43466</v>
      </c>
      <c r="G634" s="50">
        <v>43646</v>
      </c>
      <c r="H634" s="168"/>
      <c r="I634" s="15" t="s">
        <v>23</v>
      </c>
      <c r="J634" s="15" t="s">
        <v>23</v>
      </c>
      <c r="K634" s="13">
        <v>22.69</v>
      </c>
      <c r="L634" s="13">
        <v>1741.77</v>
      </c>
      <c r="M634" s="196" t="s">
        <v>424</v>
      </c>
    </row>
    <row r="635" spans="1:13" ht="15" customHeight="1" outlineLevel="1" x14ac:dyDescent="0.25">
      <c r="A635" s="148"/>
      <c r="B635" s="148"/>
      <c r="C635" s="148"/>
      <c r="D635" s="156"/>
      <c r="E635" s="156"/>
      <c r="F635" s="50">
        <v>43647</v>
      </c>
      <c r="G635" s="50">
        <v>43830</v>
      </c>
      <c r="H635" s="168"/>
      <c r="I635" s="15" t="s">
        <v>23</v>
      </c>
      <c r="J635" s="15" t="s">
        <v>23</v>
      </c>
      <c r="K635" s="13">
        <v>23.14</v>
      </c>
      <c r="L635" s="13">
        <v>1776.61</v>
      </c>
      <c r="M635" s="198"/>
    </row>
    <row r="636" spans="1:13" ht="15" customHeight="1" outlineLevel="1" x14ac:dyDescent="0.25">
      <c r="A636" s="148"/>
      <c r="B636" s="148"/>
      <c r="C636" s="148"/>
      <c r="D636" s="156"/>
      <c r="E636" s="156"/>
      <c r="F636" s="50">
        <v>43466</v>
      </c>
      <c r="G636" s="50">
        <v>43646</v>
      </c>
      <c r="H636" s="168"/>
      <c r="I636" s="15" t="s">
        <v>23</v>
      </c>
      <c r="J636" s="15" t="s">
        <v>23</v>
      </c>
      <c r="K636" s="13">
        <v>22.69</v>
      </c>
      <c r="L636" s="13">
        <v>1884.54</v>
      </c>
      <c r="M636" s="196" t="s">
        <v>425</v>
      </c>
    </row>
    <row r="637" spans="1:13" ht="15" customHeight="1" outlineLevel="1" x14ac:dyDescent="0.25">
      <c r="A637" s="148"/>
      <c r="B637" s="148"/>
      <c r="C637" s="148"/>
      <c r="D637" s="156"/>
      <c r="E637" s="156"/>
      <c r="F637" s="50">
        <v>43647</v>
      </c>
      <c r="G637" s="50">
        <v>43830</v>
      </c>
      <c r="H637" s="168"/>
      <c r="I637" s="15" t="s">
        <v>23</v>
      </c>
      <c r="J637" s="15" t="s">
        <v>23</v>
      </c>
      <c r="K637" s="13">
        <v>23.14</v>
      </c>
      <c r="L637" s="13">
        <v>1922.23</v>
      </c>
      <c r="M637" s="198"/>
    </row>
    <row r="638" spans="1:13" ht="15" customHeight="1" outlineLevel="1" x14ac:dyDescent="0.25">
      <c r="A638" s="148"/>
      <c r="B638" s="148"/>
      <c r="C638" s="148"/>
      <c r="D638" s="156"/>
      <c r="E638" s="156"/>
      <c r="F638" s="50">
        <v>43466</v>
      </c>
      <c r="G638" s="50">
        <v>43646</v>
      </c>
      <c r="H638" s="168"/>
      <c r="I638" s="15" t="s">
        <v>23</v>
      </c>
      <c r="J638" s="15" t="s">
        <v>23</v>
      </c>
      <c r="K638" s="13">
        <v>22.69</v>
      </c>
      <c r="L638" s="13">
        <v>1596.62</v>
      </c>
      <c r="M638" s="196" t="s">
        <v>426</v>
      </c>
    </row>
    <row r="639" spans="1:13" ht="15" customHeight="1" outlineLevel="1" x14ac:dyDescent="0.25">
      <c r="A639" s="148"/>
      <c r="B639" s="148"/>
      <c r="C639" s="148"/>
      <c r="D639" s="156"/>
      <c r="E639" s="156"/>
      <c r="F639" s="50">
        <v>43647</v>
      </c>
      <c r="G639" s="50">
        <v>43830</v>
      </c>
      <c r="H639" s="168"/>
      <c r="I639" s="15" t="s">
        <v>23</v>
      </c>
      <c r="J639" s="15" t="s">
        <v>23</v>
      </c>
      <c r="K639" s="13">
        <v>23.14</v>
      </c>
      <c r="L639" s="13">
        <v>1628.56</v>
      </c>
      <c r="M639" s="198"/>
    </row>
    <row r="640" spans="1:13" ht="15" customHeight="1" outlineLevel="1" x14ac:dyDescent="0.25">
      <c r="A640" s="148"/>
      <c r="B640" s="148"/>
      <c r="C640" s="148"/>
      <c r="D640" s="156"/>
      <c r="E640" s="156"/>
      <c r="F640" s="50">
        <v>43466</v>
      </c>
      <c r="G640" s="50">
        <v>43646</v>
      </c>
      <c r="H640" s="168"/>
      <c r="I640" s="15" t="s">
        <v>23</v>
      </c>
      <c r="J640" s="15" t="s">
        <v>23</v>
      </c>
      <c r="K640" s="13">
        <v>22.69</v>
      </c>
      <c r="L640" s="13">
        <v>1741.77</v>
      </c>
      <c r="M640" s="196" t="s">
        <v>427</v>
      </c>
    </row>
    <row r="641" spans="1:13" ht="15" customHeight="1" outlineLevel="1" x14ac:dyDescent="0.25">
      <c r="A641" s="147"/>
      <c r="B641" s="147"/>
      <c r="C641" s="147"/>
      <c r="D641" s="156"/>
      <c r="E641" s="156"/>
      <c r="F641" s="50">
        <v>43647</v>
      </c>
      <c r="G641" s="50">
        <v>43830</v>
      </c>
      <c r="H641" s="168"/>
      <c r="I641" s="15" t="s">
        <v>23</v>
      </c>
      <c r="J641" s="15" t="s">
        <v>23</v>
      </c>
      <c r="K641" s="13">
        <v>23.14</v>
      </c>
      <c r="L641" s="13">
        <v>1776.61</v>
      </c>
      <c r="M641" s="198"/>
    </row>
    <row r="642" spans="1:13" ht="15" customHeight="1" outlineLevel="1" x14ac:dyDescent="0.25">
      <c r="A642" s="146" t="s">
        <v>48</v>
      </c>
      <c r="B642" s="146" t="s">
        <v>192</v>
      </c>
      <c r="C642" s="146" t="s">
        <v>205</v>
      </c>
      <c r="D642" s="156">
        <f>[1]Тепло!D130</f>
        <v>43441</v>
      </c>
      <c r="E642" s="156" t="str">
        <f>[1]Тепло!E130</f>
        <v>325-п</v>
      </c>
      <c r="F642" s="12">
        <v>43466</v>
      </c>
      <c r="G642" s="12">
        <v>43646</v>
      </c>
      <c r="H642" s="168"/>
      <c r="I642" s="66">
        <v>35.47</v>
      </c>
      <c r="J642" s="13">
        <v>1751.13</v>
      </c>
      <c r="K642" s="15" t="s">
        <v>23</v>
      </c>
      <c r="L642" s="15" t="s">
        <v>23</v>
      </c>
      <c r="M642" s="183"/>
    </row>
    <row r="643" spans="1:13" ht="15" customHeight="1" outlineLevel="1" x14ac:dyDescent="0.25">
      <c r="A643" s="148"/>
      <c r="B643" s="148"/>
      <c r="C643" s="148"/>
      <c r="D643" s="156"/>
      <c r="E643" s="156"/>
      <c r="F643" s="12">
        <v>43647</v>
      </c>
      <c r="G643" s="12">
        <v>43830</v>
      </c>
      <c r="H643" s="168"/>
      <c r="I643" s="66">
        <v>36.29</v>
      </c>
      <c r="J643" s="13">
        <v>1784.64</v>
      </c>
      <c r="K643" s="15" t="s">
        <v>23</v>
      </c>
      <c r="L643" s="15" t="s">
        <v>23</v>
      </c>
      <c r="M643" s="183"/>
    </row>
    <row r="644" spans="1:13" ht="15" customHeight="1" outlineLevel="1" x14ac:dyDescent="0.25">
      <c r="A644" s="148"/>
      <c r="B644" s="148"/>
      <c r="C644" s="148"/>
      <c r="D644" s="156">
        <f>[1]Тепло!D132</f>
        <v>43454</v>
      </c>
      <c r="E644" s="156" t="str">
        <f>[1]Тепло!E132</f>
        <v>680-п</v>
      </c>
      <c r="F644" s="50">
        <v>43466</v>
      </c>
      <c r="G644" s="50">
        <v>43646</v>
      </c>
      <c r="H644" s="168"/>
      <c r="I644" s="15" t="s">
        <v>23</v>
      </c>
      <c r="J644" s="15" t="s">
        <v>23</v>
      </c>
      <c r="K644" s="13">
        <v>27.95</v>
      </c>
      <c r="L644" s="13">
        <v>1501.84</v>
      </c>
      <c r="M644" s="196" t="s">
        <v>420</v>
      </c>
    </row>
    <row r="645" spans="1:13" ht="15" customHeight="1" outlineLevel="1" x14ac:dyDescent="0.25">
      <c r="A645" s="148"/>
      <c r="B645" s="148"/>
      <c r="C645" s="148"/>
      <c r="D645" s="156"/>
      <c r="E645" s="156"/>
      <c r="F645" s="50">
        <v>43647</v>
      </c>
      <c r="G645" s="50">
        <v>43830</v>
      </c>
      <c r="H645" s="168"/>
      <c r="I645" s="15" t="s">
        <v>23</v>
      </c>
      <c r="J645" s="15" t="s">
        <v>23</v>
      </c>
      <c r="K645" s="13">
        <v>28.5</v>
      </c>
      <c r="L645" s="13">
        <v>1531.88</v>
      </c>
      <c r="M645" s="198"/>
    </row>
    <row r="646" spans="1:13" ht="15" customHeight="1" outlineLevel="1" x14ac:dyDescent="0.25">
      <c r="A646" s="148"/>
      <c r="B646" s="148"/>
      <c r="C646" s="148"/>
      <c r="D646" s="156"/>
      <c r="E646" s="156"/>
      <c r="F646" s="50">
        <v>43466</v>
      </c>
      <c r="G646" s="50">
        <v>43646</v>
      </c>
      <c r="H646" s="168"/>
      <c r="I646" s="15" t="s">
        <v>23</v>
      </c>
      <c r="J646" s="15" t="s">
        <v>23</v>
      </c>
      <c r="K646" s="13">
        <v>27.95</v>
      </c>
      <c r="L646" s="13">
        <v>1644.87</v>
      </c>
      <c r="M646" s="196" t="s">
        <v>421</v>
      </c>
    </row>
    <row r="647" spans="1:13" ht="15" customHeight="1" outlineLevel="1" x14ac:dyDescent="0.25">
      <c r="A647" s="148"/>
      <c r="B647" s="148"/>
      <c r="C647" s="148"/>
      <c r="D647" s="156"/>
      <c r="E647" s="156"/>
      <c r="F647" s="50">
        <v>43647</v>
      </c>
      <c r="G647" s="50">
        <v>43830</v>
      </c>
      <c r="H647" s="168"/>
      <c r="I647" s="15" t="s">
        <v>23</v>
      </c>
      <c r="J647" s="15" t="s">
        <v>23</v>
      </c>
      <c r="K647" s="13">
        <v>28.5</v>
      </c>
      <c r="L647" s="13">
        <v>1677.77</v>
      </c>
      <c r="M647" s="198"/>
    </row>
    <row r="648" spans="1:13" ht="15" customHeight="1" outlineLevel="1" x14ac:dyDescent="0.25">
      <c r="A648" s="148"/>
      <c r="B648" s="148"/>
      <c r="C648" s="148"/>
      <c r="D648" s="156"/>
      <c r="E648" s="156"/>
      <c r="F648" s="50">
        <v>43466</v>
      </c>
      <c r="G648" s="50">
        <v>43646</v>
      </c>
      <c r="H648" s="168"/>
      <c r="I648" s="15" t="s">
        <v>23</v>
      </c>
      <c r="J648" s="15" t="s">
        <v>23</v>
      </c>
      <c r="K648" s="13">
        <v>27.95</v>
      </c>
      <c r="L648" s="13">
        <v>1400.37</v>
      </c>
      <c r="M648" s="196" t="s">
        <v>422</v>
      </c>
    </row>
    <row r="649" spans="1:13" ht="15" customHeight="1" outlineLevel="1" x14ac:dyDescent="0.25">
      <c r="A649" s="148"/>
      <c r="B649" s="148"/>
      <c r="C649" s="148"/>
      <c r="D649" s="156"/>
      <c r="E649" s="156"/>
      <c r="F649" s="50">
        <v>43647</v>
      </c>
      <c r="G649" s="50">
        <v>43830</v>
      </c>
      <c r="H649" s="168"/>
      <c r="I649" s="15" t="s">
        <v>23</v>
      </c>
      <c r="J649" s="15" t="s">
        <v>23</v>
      </c>
      <c r="K649" s="13">
        <v>28.5</v>
      </c>
      <c r="L649" s="13">
        <v>1428.37</v>
      </c>
      <c r="M649" s="198"/>
    </row>
    <row r="650" spans="1:13" ht="15" customHeight="1" outlineLevel="1" x14ac:dyDescent="0.25">
      <c r="A650" s="148"/>
      <c r="B650" s="148"/>
      <c r="C650" s="148"/>
      <c r="D650" s="156"/>
      <c r="E650" s="156"/>
      <c r="F650" s="50">
        <v>43466</v>
      </c>
      <c r="G650" s="50">
        <v>43646</v>
      </c>
      <c r="H650" s="168"/>
      <c r="I650" s="15" t="s">
        <v>23</v>
      </c>
      <c r="J650" s="15" t="s">
        <v>23</v>
      </c>
      <c r="K650" s="13">
        <v>27.95</v>
      </c>
      <c r="L650" s="13">
        <v>1501.84</v>
      </c>
      <c r="M650" s="196" t="s">
        <v>423</v>
      </c>
    </row>
    <row r="651" spans="1:13" ht="15" customHeight="1" outlineLevel="1" x14ac:dyDescent="0.25">
      <c r="A651" s="148"/>
      <c r="B651" s="148"/>
      <c r="C651" s="148"/>
      <c r="D651" s="156"/>
      <c r="E651" s="156"/>
      <c r="F651" s="50">
        <v>43647</v>
      </c>
      <c r="G651" s="50">
        <v>43830</v>
      </c>
      <c r="H651" s="168"/>
      <c r="I651" s="15" t="s">
        <v>23</v>
      </c>
      <c r="J651" s="15" t="s">
        <v>23</v>
      </c>
      <c r="K651" s="13">
        <v>28.5</v>
      </c>
      <c r="L651" s="13">
        <v>1531.88</v>
      </c>
      <c r="M651" s="198"/>
    </row>
    <row r="652" spans="1:13" ht="15" customHeight="1" outlineLevel="1" x14ac:dyDescent="0.25">
      <c r="A652" s="148"/>
      <c r="B652" s="148"/>
      <c r="C652" s="148"/>
      <c r="D652" s="156"/>
      <c r="E652" s="156"/>
      <c r="F652" s="50">
        <v>43466</v>
      </c>
      <c r="G652" s="50">
        <v>43646</v>
      </c>
      <c r="H652" s="168"/>
      <c r="I652" s="15" t="s">
        <v>23</v>
      </c>
      <c r="J652" s="15" t="s">
        <v>23</v>
      </c>
      <c r="K652" s="13">
        <v>27.95</v>
      </c>
      <c r="L652" s="13">
        <v>1570.11</v>
      </c>
      <c r="M652" s="196" t="s">
        <v>424</v>
      </c>
    </row>
    <row r="653" spans="1:13" ht="15" customHeight="1" outlineLevel="1" x14ac:dyDescent="0.25">
      <c r="A653" s="148"/>
      <c r="B653" s="148"/>
      <c r="C653" s="148"/>
      <c r="D653" s="156"/>
      <c r="E653" s="156"/>
      <c r="F653" s="50">
        <v>43647</v>
      </c>
      <c r="G653" s="50">
        <v>43830</v>
      </c>
      <c r="H653" s="168"/>
      <c r="I653" s="15" t="s">
        <v>23</v>
      </c>
      <c r="J653" s="15" t="s">
        <v>23</v>
      </c>
      <c r="K653" s="13">
        <v>28.5</v>
      </c>
      <c r="L653" s="13">
        <v>1601.51</v>
      </c>
      <c r="M653" s="198"/>
    </row>
    <row r="654" spans="1:13" ht="15" customHeight="1" outlineLevel="1" x14ac:dyDescent="0.25">
      <c r="A654" s="148"/>
      <c r="B654" s="148"/>
      <c r="C654" s="148"/>
      <c r="D654" s="156"/>
      <c r="E654" s="156"/>
      <c r="F654" s="50">
        <v>43466</v>
      </c>
      <c r="G654" s="50">
        <v>43646</v>
      </c>
      <c r="H654" s="168"/>
      <c r="I654" s="15" t="s">
        <v>23</v>
      </c>
      <c r="J654" s="15" t="s">
        <v>23</v>
      </c>
      <c r="K654" s="13">
        <v>27.95</v>
      </c>
      <c r="L654" s="13">
        <v>1698.81</v>
      </c>
      <c r="M654" s="196" t="s">
        <v>425</v>
      </c>
    </row>
    <row r="655" spans="1:13" ht="15" customHeight="1" outlineLevel="1" x14ac:dyDescent="0.25">
      <c r="A655" s="148"/>
      <c r="B655" s="148"/>
      <c r="C655" s="148"/>
      <c r="D655" s="156"/>
      <c r="E655" s="156"/>
      <c r="F655" s="50">
        <v>43647</v>
      </c>
      <c r="G655" s="50">
        <v>43830</v>
      </c>
      <c r="H655" s="168"/>
      <c r="I655" s="15" t="s">
        <v>23</v>
      </c>
      <c r="J655" s="15" t="s">
        <v>23</v>
      </c>
      <c r="K655" s="13">
        <v>28.5</v>
      </c>
      <c r="L655" s="13">
        <v>1732.78</v>
      </c>
      <c r="M655" s="198"/>
    </row>
    <row r="656" spans="1:13" ht="15" customHeight="1" outlineLevel="1" x14ac:dyDescent="0.25">
      <c r="A656" s="148"/>
      <c r="B656" s="148"/>
      <c r="C656" s="148"/>
      <c r="D656" s="156"/>
      <c r="E656" s="156"/>
      <c r="F656" s="50">
        <v>43466</v>
      </c>
      <c r="G656" s="50">
        <v>43646</v>
      </c>
      <c r="H656" s="168"/>
      <c r="I656" s="15" t="s">
        <v>23</v>
      </c>
      <c r="J656" s="15" t="s">
        <v>23</v>
      </c>
      <c r="K656" s="13">
        <v>27.95</v>
      </c>
      <c r="L656" s="13">
        <v>1439.27</v>
      </c>
      <c r="M656" s="196" t="s">
        <v>426</v>
      </c>
    </row>
    <row r="657" spans="1:13" ht="15" customHeight="1" outlineLevel="1" x14ac:dyDescent="0.25">
      <c r="A657" s="148"/>
      <c r="B657" s="148"/>
      <c r="C657" s="148"/>
      <c r="D657" s="156"/>
      <c r="E657" s="156"/>
      <c r="F657" s="50">
        <v>43647</v>
      </c>
      <c r="G657" s="50">
        <v>43830</v>
      </c>
      <c r="H657" s="168"/>
      <c r="I657" s="15" t="s">
        <v>23</v>
      </c>
      <c r="J657" s="15" t="s">
        <v>23</v>
      </c>
      <c r="K657" s="13">
        <v>28.5</v>
      </c>
      <c r="L657" s="13">
        <v>1468.05</v>
      </c>
      <c r="M657" s="198"/>
    </row>
    <row r="658" spans="1:13" ht="15" customHeight="1" outlineLevel="1" x14ac:dyDescent="0.25">
      <c r="A658" s="148"/>
      <c r="B658" s="148"/>
      <c r="C658" s="148"/>
      <c r="D658" s="156"/>
      <c r="E658" s="156"/>
      <c r="F658" s="50">
        <v>43466</v>
      </c>
      <c r="G658" s="50">
        <v>43646</v>
      </c>
      <c r="H658" s="168"/>
      <c r="I658" s="15" t="s">
        <v>23</v>
      </c>
      <c r="J658" s="15" t="s">
        <v>23</v>
      </c>
      <c r="K658" s="13">
        <v>27.95</v>
      </c>
      <c r="L658" s="13">
        <v>1570.11</v>
      </c>
      <c r="M658" s="196" t="s">
        <v>427</v>
      </c>
    </row>
    <row r="659" spans="1:13" ht="15" customHeight="1" outlineLevel="1" x14ac:dyDescent="0.25">
      <c r="A659" s="147"/>
      <c r="B659" s="147"/>
      <c r="C659" s="147"/>
      <c r="D659" s="156"/>
      <c r="E659" s="156"/>
      <c r="F659" s="50">
        <v>43647</v>
      </c>
      <c r="G659" s="50">
        <v>43830</v>
      </c>
      <c r="H659" s="168"/>
      <c r="I659" s="15" t="s">
        <v>23</v>
      </c>
      <c r="J659" s="15" t="s">
        <v>23</v>
      </c>
      <c r="K659" s="13">
        <v>28.5</v>
      </c>
      <c r="L659" s="13">
        <v>1601.51</v>
      </c>
      <c r="M659" s="198"/>
    </row>
    <row r="660" spans="1:13" ht="15" customHeight="1" outlineLevel="1" x14ac:dyDescent="0.25">
      <c r="A660" s="146" t="s">
        <v>48</v>
      </c>
      <c r="B660" s="146" t="s">
        <v>274</v>
      </c>
      <c r="C660" s="146" t="s">
        <v>567</v>
      </c>
      <c r="D660" s="156">
        <f>[1]Тепло!D293</f>
        <v>43454</v>
      </c>
      <c r="E660" s="156" t="str">
        <f>[1]Тепло!E293</f>
        <v>535-п</v>
      </c>
      <c r="F660" s="12">
        <v>43466</v>
      </c>
      <c r="G660" s="12">
        <v>43646</v>
      </c>
      <c r="H660" s="168"/>
      <c r="I660" s="66">
        <v>85.24</v>
      </c>
      <c r="J660" s="13">
        <v>1793.14</v>
      </c>
      <c r="K660" s="15" t="s">
        <v>23</v>
      </c>
      <c r="L660" s="15" t="s">
        <v>23</v>
      </c>
      <c r="M660" s="183"/>
    </row>
    <row r="661" spans="1:13" ht="15" customHeight="1" outlineLevel="1" x14ac:dyDescent="0.25">
      <c r="A661" s="148"/>
      <c r="B661" s="148"/>
      <c r="C661" s="148"/>
      <c r="D661" s="156"/>
      <c r="E661" s="156"/>
      <c r="F661" s="12">
        <v>43647</v>
      </c>
      <c r="G661" s="12">
        <v>43830</v>
      </c>
      <c r="H661" s="168"/>
      <c r="I661" s="66">
        <v>89.73</v>
      </c>
      <c r="J661" s="13">
        <v>2009.11</v>
      </c>
      <c r="K661" s="15" t="s">
        <v>23</v>
      </c>
      <c r="L661" s="15" t="s">
        <v>23</v>
      </c>
      <c r="M661" s="183"/>
    </row>
    <row r="662" spans="1:13" ht="15" customHeight="1" outlineLevel="1" x14ac:dyDescent="0.25">
      <c r="A662" s="148"/>
      <c r="B662" s="148"/>
      <c r="C662" s="148"/>
      <c r="D662" s="156">
        <f>[1]Тепло!D295</f>
        <v>43454</v>
      </c>
      <c r="E662" s="156" t="str">
        <f>[1]Тепло!E295</f>
        <v>680-п</v>
      </c>
      <c r="F662" s="50">
        <v>43466</v>
      </c>
      <c r="G662" s="50">
        <v>43646</v>
      </c>
      <c r="H662" s="168"/>
      <c r="I662" s="15" t="s">
        <v>23</v>
      </c>
      <c r="J662" s="15" t="s">
        <v>23</v>
      </c>
      <c r="K662" s="13">
        <v>42.98</v>
      </c>
      <c r="L662" s="13">
        <v>1366.54</v>
      </c>
      <c r="M662" s="196" t="s">
        <v>420</v>
      </c>
    </row>
    <row r="663" spans="1:13" ht="15" customHeight="1" outlineLevel="1" x14ac:dyDescent="0.25">
      <c r="A663" s="148"/>
      <c r="B663" s="148"/>
      <c r="C663" s="148"/>
      <c r="D663" s="156"/>
      <c r="E663" s="156"/>
      <c r="F663" s="50">
        <v>43647</v>
      </c>
      <c r="G663" s="50">
        <v>43830</v>
      </c>
      <c r="H663" s="168"/>
      <c r="I663" s="15" t="s">
        <v>23</v>
      </c>
      <c r="J663" s="15" t="s">
        <v>23</v>
      </c>
      <c r="K663" s="13">
        <v>43.84</v>
      </c>
      <c r="L663" s="13">
        <v>1393.87</v>
      </c>
      <c r="M663" s="198"/>
    </row>
    <row r="664" spans="1:13" ht="15" customHeight="1" outlineLevel="1" x14ac:dyDescent="0.25">
      <c r="A664" s="148"/>
      <c r="B664" s="148"/>
      <c r="C664" s="148"/>
      <c r="D664" s="156"/>
      <c r="E664" s="156"/>
      <c r="F664" s="50">
        <v>43466</v>
      </c>
      <c r="G664" s="50">
        <v>43646</v>
      </c>
      <c r="H664" s="168"/>
      <c r="I664" s="15" t="s">
        <v>23</v>
      </c>
      <c r="J664" s="15" t="s">
        <v>23</v>
      </c>
      <c r="K664" s="13">
        <v>42.98</v>
      </c>
      <c r="L664" s="13">
        <v>1496.69</v>
      </c>
      <c r="M664" s="196" t="s">
        <v>421</v>
      </c>
    </row>
    <row r="665" spans="1:13" ht="15" customHeight="1" outlineLevel="1" x14ac:dyDescent="0.25">
      <c r="A665" s="148"/>
      <c r="B665" s="148"/>
      <c r="C665" s="148"/>
      <c r="D665" s="156"/>
      <c r="E665" s="156"/>
      <c r="F665" s="50">
        <v>43647</v>
      </c>
      <c r="G665" s="50">
        <v>43830</v>
      </c>
      <c r="H665" s="168"/>
      <c r="I665" s="15" t="s">
        <v>23</v>
      </c>
      <c r="J665" s="15" t="s">
        <v>23</v>
      </c>
      <c r="K665" s="13">
        <v>43.84</v>
      </c>
      <c r="L665" s="13">
        <v>1526.62</v>
      </c>
      <c r="M665" s="198"/>
    </row>
    <row r="666" spans="1:13" ht="15" customHeight="1" outlineLevel="1" x14ac:dyDescent="0.25">
      <c r="A666" s="148"/>
      <c r="B666" s="148"/>
      <c r="C666" s="148"/>
      <c r="D666" s="156"/>
      <c r="E666" s="156"/>
      <c r="F666" s="50">
        <v>43466</v>
      </c>
      <c r="G666" s="50">
        <v>43646</v>
      </c>
      <c r="H666" s="168"/>
      <c r="I666" s="15" t="s">
        <v>23</v>
      </c>
      <c r="J666" s="15" t="s">
        <v>23</v>
      </c>
      <c r="K666" s="13">
        <v>42.98</v>
      </c>
      <c r="L666" s="13">
        <v>1274.21</v>
      </c>
      <c r="M666" s="196" t="s">
        <v>422</v>
      </c>
    </row>
    <row r="667" spans="1:13" ht="15" customHeight="1" outlineLevel="1" x14ac:dyDescent="0.25">
      <c r="A667" s="148"/>
      <c r="B667" s="148"/>
      <c r="C667" s="148"/>
      <c r="D667" s="156"/>
      <c r="E667" s="156"/>
      <c r="F667" s="50">
        <v>43647</v>
      </c>
      <c r="G667" s="50">
        <v>43830</v>
      </c>
      <c r="H667" s="168"/>
      <c r="I667" s="15" t="s">
        <v>23</v>
      </c>
      <c r="J667" s="15" t="s">
        <v>23</v>
      </c>
      <c r="K667" s="13">
        <v>43.84</v>
      </c>
      <c r="L667" s="13">
        <v>1299.69</v>
      </c>
      <c r="M667" s="198"/>
    </row>
    <row r="668" spans="1:13" ht="15" customHeight="1" outlineLevel="1" x14ac:dyDescent="0.25">
      <c r="A668" s="148"/>
      <c r="B668" s="148"/>
      <c r="C668" s="148"/>
      <c r="D668" s="156"/>
      <c r="E668" s="156"/>
      <c r="F668" s="50">
        <v>43466</v>
      </c>
      <c r="G668" s="50">
        <v>43646</v>
      </c>
      <c r="H668" s="168"/>
      <c r="I668" s="15" t="s">
        <v>23</v>
      </c>
      <c r="J668" s="15" t="s">
        <v>23</v>
      </c>
      <c r="K668" s="13">
        <v>42.98</v>
      </c>
      <c r="L668" s="13">
        <v>1366.54</v>
      </c>
      <c r="M668" s="196" t="s">
        <v>423</v>
      </c>
    </row>
    <row r="669" spans="1:13" ht="15" customHeight="1" outlineLevel="1" x14ac:dyDescent="0.25">
      <c r="A669" s="148"/>
      <c r="B669" s="148"/>
      <c r="C669" s="148"/>
      <c r="D669" s="156"/>
      <c r="E669" s="156"/>
      <c r="F669" s="50">
        <v>43647</v>
      </c>
      <c r="G669" s="50">
        <v>43830</v>
      </c>
      <c r="H669" s="168"/>
      <c r="I669" s="15" t="s">
        <v>23</v>
      </c>
      <c r="J669" s="15" t="s">
        <v>23</v>
      </c>
      <c r="K669" s="13">
        <v>43.84</v>
      </c>
      <c r="L669" s="13">
        <v>1393.87</v>
      </c>
      <c r="M669" s="198"/>
    </row>
    <row r="670" spans="1:13" ht="15" customHeight="1" outlineLevel="1" x14ac:dyDescent="0.25">
      <c r="A670" s="148"/>
      <c r="B670" s="148"/>
      <c r="C670" s="148"/>
      <c r="D670" s="156"/>
      <c r="E670" s="156"/>
      <c r="F670" s="50">
        <v>43466</v>
      </c>
      <c r="G670" s="50">
        <v>43646</v>
      </c>
      <c r="H670" s="168"/>
      <c r="I670" s="15" t="s">
        <v>23</v>
      </c>
      <c r="J670" s="15" t="s">
        <v>23</v>
      </c>
      <c r="K670" s="13">
        <v>42.98</v>
      </c>
      <c r="L670" s="13">
        <v>1428.66</v>
      </c>
      <c r="M670" s="196" t="s">
        <v>424</v>
      </c>
    </row>
    <row r="671" spans="1:13" ht="15" customHeight="1" outlineLevel="1" x14ac:dyDescent="0.25">
      <c r="A671" s="148"/>
      <c r="B671" s="148"/>
      <c r="C671" s="148"/>
      <c r="D671" s="156"/>
      <c r="E671" s="156"/>
      <c r="F671" s="50">
        <v>43647</v>
      </c>
      <c r="G671" s="50">
        <v>43830</v>
      </c>
      <c r="H671" s="168"/>
      <c r="I671" s="15" t="s">
        <v>23</v>
      </c>
      <c r="J671" s="15" t="s">
        <v>23</v>
      </c>
      <c r="K671" s="13">
        <v>43.84</v>
      </c>
      <c r="L671" s="13">
        <v>1457.23</v>
      </c>
      <c r="M671" s="198"/>
    </row>
    <row r="672" spans="1:13" ht="15" customHeight="1" outlineLevel="1" x14ac:dyDescent="0.25">
      <c r="A672" s="148"/>
      <c r="B672" s="148"/>
      <c r="C672" s="148"/>
      <c r="D672" s="156"/>
      <c r="E672" s="156"/>
      <c r="F672" s="50">
        <v>43466</v>
      </c>
      <c r="G672" s="50">
        <v>43646</v>
      </c>
      <c r="H672" s="168"/>
      <c r="I672" s="15" t="s">
        <v>23</v>
      </c>
      <c r="J672" s="15" t="s">
        <v>23</v>
      </c>
      <c r="K672" s="13">
        <v>42.98</v>
      </c>
      <c r="L672" s="13">
        <v>1545.76</v>
      </c>
      <c r="M672" s="196" t="s">
        <v>425</v>
      </c>
    </row>
    <row r="673" spans="1:13" ht="15" customHeight="1" outlineLevel="1" x14ac:dyDescent="0.25">
      <c r="A673" s="148"/>
      <c r="B673" s="148"/>
      <c r="C673" s="148"/>
      <c r="D673" s="156"/>
      <c r="E673" s="156"/>
      <c r="F673" s="50">
        <v>43647</v>
      </c>
      <c r="G673" s="50">
        <v>43830</v>
      </c>
      <c r="H673" s="168"/>
      <c r="I673" s="15" t="s">
        <v>23</v>
      </c>
      <c r="J673" s="15" t="s">
        <v>23</v>
      </c>
      <c r="K673" s="13">
        <v>43.84</v>
      </c>
      <c r="L673" s="13">
        <v>1576.68</v>
      </c>
      <c r="M673" s="198"/>
    </row>
    <row r="674" spans="1:13" ht="15" customHeight="1" outlineLevel="1" x14ac:dyDescent="0.25">
      <c r="A674" s="148"/>
      <c r="B674" s="148"/>
      <c r="C674" s="148"/>
      <c r="D674" s="156"/>
      <c r="E674" s="156"/>
      <c r="F674" s="50">
        <v>43466</v>
      </c>
      <c r="G674" s="50">
        <v>43646</v>
      </c>
      <c r="H674" s="168"/>
      <c r="I674" s="15" t="s">
        <v>23</v>
      </c>
      <c r="J674" s="15" t="s">
        <v>23</v>
      </c>
      <c r="K674" s="13">
        <v>42.98</v>
      </c>
      <c r="L674" s="13">
        <v>1309.5999999999999</v>
      </c>
      <c r="M674" s="196" t="s">
        <v>426</v>
      </c>
    </row>
    <row r="675" spans="1:13" ht="15" customHeight="1" outlineLevel="1" x14ac:dyDescent="0.25">
      <c r="A675" s="148"/>
      <c r="B675" s="148"/>
      <c r="C675" s="148"/>
      <c r="D675" s="156"/>
      <c r="E675" s="156"/>
      <c r="F675" s="50">
        <v>43647</v>
      </c>
      <c r="G675" s="50">
        <v>43830</v>
      </c>
      <c r="H675" s="168"/>
      <c r="I675" s="15" t="s">
        <v>23</v>
      </c>
      <c r="J675" s="15" t="s">
        <v>23</v>
      </c>
      <c r="K675" s="13">
        <v>43.84</v>
      </c>
      <c r="L675" s="13">
        <v>1335.8</v>
      </c>
      <c r="M675" s="198"/>
    </row>
    <row r="676" spans="1:13" ht="15" customHeight="1" outlineLevel="1" x14ac:dyDescent="0.25">
      <c r="A676" s="148"/>
      <c r="B676" s="148"/>
      <c r="C676" s="148"/>
      <c r="D676" s="156"/>
      <c r="E676" s="156"/>
      <c r="F676" s="50">
        <v>43466</v>
      </c>
      <c r="G676" s="50">
        <v>43646</v>
      </c>
      <c r="H676" s="168"/>
      <c r="I676" s="15" t="s">
        <v>23</v>
      </c>
      <c r="J676" s="15" t="s">
        <v>23</v>
      </c>
      <c r="K676" s="13">
        <v>42.98</v>
      </c>
      <c r="L676" s="13">
        <v>1428.66</v>
      </c>
      <c r="M676" s="196" t="s">
        <v>427</v>
      </c>
    </row>
    <row r="677" spans="1:13" ht="15" customHeight="1" outlineLevel="1" x14ac:dyDescent="0.25">
      <c r="A677" s="147"/>
      <c r="B677" s="147"/>
      <c r="C677" s="147"/>
      <c r="D677" s="156"/>
      <c r="E677" s="156"/>
      <c r="F677" s="50">
        <v>43647</v>
      </c>
      <c r="G677" s="50">
        <v>43830</v>
      </c>
      <c r="H677" s="168"/>
      <c r="I677" s="15" t="s">
        <v>23</v>
      </c>
      <c r="J677" s="15" t="s">
        <v>23</v>
      </c>
      <c r="K677" s="13">
        <v>43.84</v>
      </c>
      <c r="L677" s="13">
        <v>1457.23</v>
      </c>
      <c r="M677" s="198"/>
    </row>
    <row r="678" spans="1:13" ht="15" customHeight="1" outlineLevel="1" x14ac:dyDescent="0.25">
      <c r="A678" s="146" t="s">
        <v>48</v>
      </c>
      <c r="B678" s="146" t="s">
        <v>191</v>
      </c>
      <c r="C678" s="146" t="s">
        <v>111</v>
      </c>
      <c r="D678" s="137">
        <v>42723</v>
      </c>
      <c r="E678" s="137" t="s">
        <v>637</v>
      </c>
      <c r="F678" s="51">
        <v>43466</v>
      </c>
      <c r="G678" s="51">
        <v>43646</v>
      </c>
      <c r="H678" s="142" t="s">
        <v>636</v>
      </c>
      <c r="I678" s="66">
        <v>13.63</v>
      </c>
      <c r="J678" s="13">
        <v>1871.72</v>
      </c>
      <c r="K678" s="15" t="s">
        <v>23</v>
      </c>
      <c r="L678" s="15" t="s">
        <v>23</v>
      </c>
      <c r="M678" s="183"/>
    </row>
    <row r="679" spans="1:13" ht="15" customHeight="1" outlineLevel="1" x14ac:dyDescent="0.25">
      <c r="A679" s="147"/>
      <c r="B679" s="147"/>
      <c r="C679" s="147"/>
      <c r="D679" s="141"/>
      <c r="E679" s="141"/>
      <c r="F679" s="51">
        <v>43647</v>
      </c>
      <c r="G679" s="51">
        <v>43830</v>
      </c>
      <c r="H679" s="143"/>
      <c r="I679" s="66">
        <v>134.99</v>
      </c>
      <c r="J679" s="13">
        <v>1933.59</v>
      </c>
      <c r="K679" s="15" t="s">
        <v>23</v>
      </c>
      <c r="L679" s="15" t="s">
        <v>23</v>
      </c>
      <c r="M679" s="183"/>
    </row>
    <row r="680" spans="1:13" ht="15" customHeight="1" outlineLevel="1" x14ac:dyDescent="0.25">
      <c r="A680" s="146" t="s">
        <v>48</v>
      </c>
      <c r="B680" s="146" t="s">
        <v>216</v>
      </c>
      <c r="C680" s="146" t="s">
        <v>111</v>
      </c>
      <c r="D680" s="137">
        <v>42723</v>
      </c>
      <c r="E680" s="137" t="s">
        <v>637</v>
      </c>
      <c r="F680" s="12">
        <v>43466</v>
      </c>
      <c r="G680" s="12">
        <v>43646</v>
      </c>
      <c r="H680" s="142" t="s">
        <v>636</v>
      </c>
      <c r="I680" s="66">
        <v>13.63</v>
      </c>
      <c r="J680" s="13">
        <v>1871.72</v>
      </c>
      <c r="K680" s="15" t="s">
        <v>23</v>
      </c>
      <c r="L680" s="15" t="s">
        <v>23</v>
      </c>
      <c r="M680" s="183"/>
    </row>
    <row r="681" spans="1:13" ht="15" customHeight="1" outlineLevel="1" x14ac:dyDescent="0.25">
      <c r="A681" s="148"/>
      <c r="B681" s="148"/>
      <c r="C681" s="148"/>
      <c r="D681" s="141"/>
      <c r="E681" s="141"/>
      <c r="F681" s="12">
        <v>43647</v>
      </c>
      <c r="G681" s="12">
        <v>43830</v>
      </c>
      <c r="H681" s="143"/>
      <c r="I681" s="66">
        <v>134.99</v>
      </c>
      <c r="J681" s="13">
        <v>1933.59</v>
      </c>
      <c r="K681" s="15" t="s">
        <v>23</v>
      </c>
      <c r="L681" s="15" t="s">
        <v>23</v>
      </c>
      <c r="M681" s="183"/>
    </row>
    <row r="682" spans="1:13" ht="15" customHeight="1" outlineLevel="1" x14ac:dyDescent="0.25">
      <c r="A682" s="146" t="s">
        <v>48</v>
      </c>
      <c r="B682" s="146" t="s">
        <v>206</v>
      </c>
      <c r="C682" s="146" t="s">
        <v>316</v>
      </c>
      <c r="D682" s="156">
        <f>[1]Тепло!D303</f>
        <v>43453</v>
      </c>
      <c r="E682" s="156" t="str">
        <f>[1]Тепло!E303</f>
        <v>497-п</v>
      </c>
      <c r="F682" s="12">
        <v>43466</v>
      </c>
      <c r="G682" s="12">
        <v>43646</v>
      </c>
      <c r="H682" s="168" t="str">
        <f>[1]Тепло!H303</f>
        <v>19.12.2018 №448-п</v>
      </c>
      <c r="I682" s="66">
        <v>56.92</v>
      </c>
      <c r="J682" s="13">
        <v>2697.89</v>
      </c>
      <c r="K682" s="91" t="s">
        <v>23</v>
      </c>
      <c r="L682" s="91" t="s">
        <v>23</v>
      </c>
      <c r="M682" s="183"/>
    </row>
    <row r="683" spans="1:13" ht="15" customHeight="1" outlineLevel="1" x14ac:dyDescent="0.25">
      <c r="A683" s="148"/>
      <c r="B683" s="148"/>
      <c r="C683" s="148"/>
      <c r="D683" s="156"/>
      <c r="E683" s="156"/>
      <c r="F683" s="12">
        <v>43647</v>
      </c>
      <c r="G683" s="12">
        <v>43830</v>
      </c>
      <c r="H683" s="168"/>
      <c r="I683" s="66">
        <v>105.67</v>
      </c>
      <c r="J683" s="13">
        <v>2748.72</v>
      </c>
      <c r="K683" s="91" t="s">
        <v>23</v>
      </c>
      <c r="L683" s="91" t="s">
        <v>23</v>
      </c>
      <c r="M683" s="183"/>
    </row>
    <row r="684" spans="1:13" ht="15" customHeight="1" outlineLevel="1" x14ac:dyDescent="0.25">
      <c r="A684" s="148"/>
      <c r="B684" s="148"/>
      <c r="C684" s="148"/>
      <c r="D684" s="156">
        <f>[1]Тепло!D305</f>
        <v>43454</v>
      </c>
      <c r="E684" s="156" t="str">
        <f>[1]Тепло!E305</f>
        <v>680-п</v>
      </c>
      <c r="F684" s="50">
        <v>43466</v>
      </c>
      <c r="G684" s="50">
        <v>43646</v>
      </c>
      <c r="H684" s="168"/>
      <c r="I684" s="91" t="s">
        <v>23</v>
      </c>
      <c r="J684" s="91" t="s">
        <v>23</v>
      </c>
      <c r="K684" s="13">
        <v>30.69</v>
      </c>
      <c r="L684" s="13">
        <v>1553.33</v>
      </c>
      <c r="M684" s="196" t="s">
        <v>420</v>
      </c>
    </row>
    <row r="685" spans="1:13" ht="15" customHeight="1" outlineLevel="1" x14ac:dyDescent="0.25">
      <c r="A685" s="148"/>
      <c r="B685" s="148"/>
      <c r="C685" s="148"/>
      <c r="D685" s="156"/>
      <c r="E685" s="156"/>
      <c r="F685" s="50">
        <v>43647</v>
      </c>
      <c r="G685" s="50">
        <v>43830</v>
      </c>
      <c r="H685" s="168"/>
      <c r="I685" s="91" t="s">
        <v>23</v>
      </c>
      <c r="J685" s="91" t="s">
        <v>23</v>
      </c>
      <c r="K685" s="13">
        <v>31.3</v>
      </c>
      <c r="L685" s="13">
        <v>1584.4</v>
      </c>
      <c r="M685" s="198"/>
    </row>
    <row r="686" spans="1:13" ht="15" customHeight="1" outlineLevel="1" x14ac:dyDescent="0.25">
      <c r="A686" s="148"/>
      <c r="B686" s="148"/>
      <c r="C686" s="148"/>
      <c r="D686" s="156"/>
      <c r="E686" s="156"/>
      <c r="F686" s="50">
        <v>43466</v>
      </c>
      <c r="G686" s="50">
        <v>43646</v>
      </c>
      <c r="H686" s="168"/>
      <c r="I686" s="91" t="s">
        <v>23</v>
      </c>
      <c r="J686" s="91" t="s">
        <v>23</v>
      </c>
      <c r="K686" s="13">
        <v>30.69</v>
      </c>
      <c r="L686" s="13">
        <v>1701.27</v>
      </c>
      <c r="M686" s="196" t="s">
        <v>421</v>
      </c>
    </row>
    <row r="687" spans="1:13" ht="15" customHeight="1" outlineLevel="1" x14ac:dyDescent="0.25">
      <c r="A687" s="148"/>
      <c r="B687" s="148"/>
      <c r="C687" s="148"/>
      <c r="D687" s="156"/>
      <c r="E687" s="156"/>
      <c r="F687" s="50">
        <v>43647</v>
      </c>
      <c r="G687" s="50">
        <v>43830</v>
      </c>
      <c r="H687" s="168"/>
      <c r="I687" s="91" t="s">
        <v>23</v>
      </c>
      <c r="J687" s="91" t="s">
        <v>23</v>
      </c>
      <c r="K687" s="13">
        <v>31.3</v>
      </c>
      <c r="L687" s="13">
        <v>1735.3</v>
      </c>
      <c r="M687" s="198"/>
    </row>
    <row r="688" spans="1:13" ht="15" customHeight="1" outlineLevel="1" x14ac:dyDescent="0.25">
      <c r="A688" s="148"/>
      <c r="B688" s="148"/>
      <c r="C688" s="148"/>
      <c r="D688" s="156"/>
      <c r="E688" s="156"/>
      <c r="F688" s="50">
        <v>43466</v>
      </c>
      <c r="G688" s="50">
        <v>43646</v>
      </c>
      <c r="H688" s="168"/>
      <c r="I688" s="91" t="s">
        <v>23</v>
      </c>
      <c r="J688" s="91" t="s">
        <v>23</v>
      </c>
      <c r="K688" s="13">
        <v>30.69</v>
      </c>
      <c r="L688" s="13">
        <v>1448.38</v>
      </c>
      <c r="M688" s="196" t="s">
        <v>422</v>
      </c>
    </row>
    <row r="689" spans="1:13" ht="15" customHeight="1" outlineLevel="1" x14ac:dyDescent="0.25">
      <c r="A689" s="148"/>
      <c r="B689" s="148"/>
      <c r="C689" s="148"/>
      <c r="D689" s="156"/>
      <c r="E689" s="156"/>
      <c r="F689" s="50">
        <v>43647</v>
      </c>
      <c r="G689" s="50">
        <v>43830</v>
      </c>
      <c r="H689" s="168"/>
      <c r="I689" s="91" t="s">
        <v>23</v>
      </c>
      <c r="J689" s="91" t="s">
        <v>23</v>
      </c>
      <c r="K689" s="13">
        <v>31.3</v>
      </c>
      <c r="L689" s="13">
        <v>1477.35</v>
      </c>
      <c r="M689" s="198"/>
    </row>
    <row r="690" spans="1:13" ht="15" customHeight="1" outlineLevel="1" x14ac:dyDescent="0.25">
      <c r="A690" s="148"/>
      <c r="B690" s="148"/>
      <c r="C690" s="148"/>
      <c r="D690" s="156"/>
      <c r="E690" s="156"/>
      <c r="F690" s="50">
        <v>43466</v>
      </c>
      <c r="G690" s="50">
        <v>43646</v>
      </c>
      <c r="H690" s="168"/>
      <c r="I690" s="91" t="s">
        <v>23</v>
      </c>
      <c r="J690" s="91" t="s">
        <v>23</v>
      </c>
      <c r="K690" s="13">
        <v>30.69</v>
      </c>
      <c r="L690" s="13">
        <v>1553.33</v>
      </c>
      <c r="M690" s="196" t="s">
        <v>423</v>
      </c>
    </row>
    <row r="691" spans="1:13" ht="15" customHeight="1" outlineLevel="1" x14ac:dyDescent="0.25">
      <c r="A691" s="148"/>
      <c r="B691" s="148"/>
      <c r="C691" s="148"/>
      <c r="D691" s="156"/>
      <c r="E691" s="156"/>
      <c r="F691" s="50">
        <v>43647</v>
      </c>
      <c r="G691" s="50">
        <v>43830</v>
      </c>
      <c r="H691" s="168"/>
      <c r="I691" s="91" t="s">
        <v>23</v>
      </c>
      <c r="J691" s="91" t="s">
        <v>23</v>
      </c>
      <c r="K691" s="13">
        <v>31.3</v>
      </c>
      <c r="L691" s="13">
        <v>1584.4</v>
      </c>
      <c r="M691" s="198"/>
    </row>
    <row r="692" spans="1:13" ht="15" customHeight="1" outlineLevel="1" x14ac:dyDescent="0.25">
      <c r="A692" s="148"/>
      <c r="B692" s="148"/>
      <c r="C692" s="148"/>
      <c r="D692" s="156"/>
      <c r="E692" s="156"/>
      <c r="F692" s="50">
        <v>43466</v>
      </c>
      <c r="G692" s="50">
        <v>43646</v>
      </c>
      <c r="H692" s="168"/>
      <c r="I692" s="91" t="s">
        <v>23</v>
      </c>
      <c r="J692" s="91" t="s">
        <v>23</v>
      </c>
      <c r="K692" s="13">
        <v>30.69</v>
      </c>
      <c r="L692" s="13">
        <v>1623.94</v>
      </c>
      <c r="M692" s="196" t="s">
        <v>424</v>
      </c>
    </row>
    <row r="693" spans="1:13" ht="15" customHeight="1" outlineLevel="1" x14ac:dyDescent="0.25">
      <c r="A693" s="148"/>
      <c r="B693" s="148"/>
      <c r="C693" s="148"/>
      <c r="D693" s="156"/>
      <c r="E693" s="156"/>
      <c r="F693" s="50">
        <v>43647</v>
      </c>
      <c r="G693" s="50">
        <v>43830</v>
      </c>
      <c r="H693" s="168"/>
      <c r="I693" s="91" t="s">
        <v>23</v>
      </c>
      <c r="J693" s="91" t="s">
        <v>23</v>
      </c>
      <c r="K693" s="13">
        <v>31.3</v>
      </c>
      <c r="L693" s="13">
        <v>1656.42</v>
      </c>
      <c r="M693" s="198"/>
    </row>
    <row r="694" spans="1:13" ht="15" customHeight="1" outlineLevel="1" x14ac:dyDescent="0.25">
      <c r="A694" s="148"/>
      <c r="B694" s="148"/>
      <c r="C694" s="148"/>
      <c r="D694" s="156"/>
      <c r="E694" s="156"/>
      <c r="F694" s="50">
        <v>43466</v>
      </c>
      <c r="G694" s="50">
        <v>43646</v>
      </c>
      <c r="H694" s="168"/>
      <c r="I694" s="91" t="s">
        <v>23</v>
      </c>
      <c r="J694" s="91" t="s">
        <v>23</v>
      </c>
      <c r="K694" s="13">
        <v>30.69</v>
      </c>
      <c r="L694" s="13">
        <v>1757.05</v>
      </c>
      <c r="M694" s="196" t="s">
        <v>425</v>
      </c>
    </row>
    <row r="695" spans="1:13" ht="15" customHeight="1" outlineLevel="1" x14ac:dyDescent="0.25">
      <c r="A695" s="148"/>
      <c r="B695" s="148"/>
      <c r="C695" s="148"/>
      <c r="D695" s="156"/>
      <c r="E695" s="156"/>
      <c r="F695" s="50">
        <v>43647</v>
      </c>
      <c r="G695" s="50">
        <v>43830</v>
      </c>
      <c r="H695" s="168"/>
      <c r="I695" s="91" t="s">
        <v>23</v>
      </c>
      <c r="J695" s="91" t="s">
        <v>23</v>
      </c>
      <c r="K695" s="13">
        <v>31.3</v>
      </c>
      <c r="L695" s="13">
        <v>1792.19</v>
      </c>
      <c r="M695" s="198"/>
    </row>
    <row r="696" spans="1:13" ht="15" customHeight="1" outlineLevel="1" x14ac:dyDescent="0.25">
      <c r="A696" s="148"/>
      <c r="B696" s="148"/>
      <c r="C696" s="148"/>
      <c r="D696" s="156"/>
      <c r="E696" s="156"/>
      <c r="F696" s="50">
        <v>43466</v>
      </c>
      <c r="G696" s="50">
        <v>43646</v>
      </c>
      <c r="H696" s="168"/>
      <c r="I696" s="91" t="s">
        <v>23</v>
      </c>
      <c r="J696" s="91" t="s">
        <v>23</v>
      </c>
      <c r="K696" s="13">
        <v>30.69</v>
      </c>
      <c r="L696" s="13">
        <v>1488.61</v>
      </c>
      <c r="M696" s="196" t="s">
        <v>426</v>
      </c>
    </row>
    <row r="697" spans="1:13" ht="15" customHeight="1" outlineLevel="1" x14ac:dyDescent="0.25">
      <c r="A697" s="148"/>
      <c r="B697" s="148"/>
      <c r="C697" s="148"/>
      <c r="D697" s="156"/>
      <c r="E697" s="156"/>
      <c r="F697" s="50">
        <v>43647</v>
      </c>
      <c r="G697" s="50">
        <v>43830</v>
      </c>
      <c r="H697" s="168"/>
      <c r="I697" s="91" t="s">
        <v>23</v>
      </c>
      <c r="J697" s="91" t="s">
        <v>23</v>
      </c>
      <c r="K697" s="13">
        <v>31.3</v>
      </c>
      <c r="L697" s="13">
        <v>1518.38</v>
      </c>
      <c r="M697" s="198"/>
    </row>
    <row r="698" spans="1:13" ht="15" customHeight="1" outlineLevel="1" x14ac:dyDescent="0.25">
      <c r="A698" s="148"/>
      <c r="B698" s="148"/>
      <c r="C698" s="148"/>
      <c r="D698" s="156"/>
      <c r="E698" s="156"/>
      <c r="F698" s="50">
        <v>43466</v>
      </c>
      <c r="G698" s="50">
        <v>43646</v>
      </c>
      <c r="H698" s="168"/>
      <c r="I698" s="91" t="s">
        <v>23</v>
      </c>
      <c r="J698" s="91" t="s">
        <v>23</v>
      </c>
      <c r="K698" s="13">
        <v>30.69</v>
      </c>
      <c r="L698" s="13">
        <v>1623.94</v>
      </c>
      <c r="M698" s="196" t="s">
        <v>427</v>
      </c>
    </row>
    <row r="699" spans="1:13" ht="21" customHeight="1" outlineLevel="1" x14ac:dyDescent="0.25">
      <c r="A699" s="147"/>
      <c r="B699" s="147"/>
      <c r="C699" s="147"/>
      <c r="D699" s="156"/>
      <c r="E699" s="156"/>
      <c r="F699" s="50">
        <v>43647</v>
      </c>
      <c r="G699" s="50">
        <v>43830</v>
      </c>
      <c r="H699" s="168"/>
      <c r="I699" s="91" t="s">
        <v>23</v>
      </c>
      <c r="J699" s="91" t="s">
        <v>23</v>
      </c>
      <c r="K699" s="13">
        <v>31.3</v>
      </c>
      <c r="L699" s="13">
        <v>1656.42</v>
      </c>
      <c r="M699" s="198"/>
    </row>
    <row r="700" spans="1:13" ht="15" customHeight="1" outlineLevel="1" x14ac:dyDescent="0.25">
      <c r="A700" s="146" t="s">
        <v>48</v>
      </c>
      <c r="B700" s="146" t="s">
        <v>191</v>
      </c>
      <c r="C700" s="146" t="s">
        <v>338</v>
      </c>
      <c r="D700" s="156">
        <f>[1]Тепло!D134</f>
        <v>42723</v>
      </c>
      <c r="E700" s="156" t="str">
        <f>[1]Тепло!E134</f>
        <v>471-п</v>
      </c>
      <c r="F700" s="12">
        <v>43466</v>
      </c>
      <c r="G700" s="12">
        <v>43646</v>
      </c>
      <c r="H700" s="168" t="str">
        <f>[1]Тепло!H134</f>
        <v>19.12.2018 №450-п</v>
      </c>
      <c r="I700" s="66">
        <v>83.9</v>
      </c>
      <c r="J700" s="13">
        <v>2608.15</v>
      </c>
      <c r="K700" s="91" t="s">
        <v>23</v>
      </c>
      <c r="L700" s="91" t="s">
        <v>23</v>
      </c>
      <c r="M700" s="183"/>
    </row>
    <row r="701" spans="1:13" ht="15" customHeight="1" outlineLevel="1" x14ac:dyDescent="0.25">
      <c r="A701" s="148"/>
      <c r="B701" s="148"/>
      <c r="C701" s="148"/>
      <c r="D701" s="156"/>
      <c r="E701" s="156"/>
      <c r="F701" s="12">
        <v>43647</v>
      </c>
      <c r="G701" s="12">
        <v>43830</v>
      </c>
      <c r="H701" s="168"/>
      <c r="I701" s="66">
        <v>83.9</v>
      </c>
      <c r="J701" s="13">
        <v>2637.09</v>
      </c>
      <c r="K701" s="91" t="s">
        <v>23</v>
      </c>
      <c r="L701" s="91" t="s">
        <v>23</v>
      </c>
      <c r="M701" s="183"/>
    </row>
    <row r="702" spans="1:13" ht="15" customHeight="1" outlineLevel="1" x14ac:dyDescent="0.25">
      <c r="A702" s="148"/>
      <c r="B702" s="148"/>
      <c r="C702" s="148"/>
      <c r="D702" s="156">
        <f>[1]Тепло!D136</f>
        <v>43454</v>
      </c>
      <c r="E702" s="156" t="str">
        <f>[1]Тепло!E136</f>
        <v>680-п</v>
      </c>
      <c r="F702" s="50">
        <v>43466</v>
      </c>
      <c r="G702" s="50">
        <v>43646</v>
      </c>
      <c r="H702" s="168"/>
      <c r="I702" s="91" t="s">
        <v>23</v>
      </c>
      <c r="J702" s="91" t="s">
        <v>23</v>
      </c>
      <c r="K702" s="13">
        <v>63.77</v>
      </c>
      <c r="L702" s="13">
        <v>2194.69</v>
      </c>
      <c r="M702" s="196" t="s">
        <v>420</v>
      </c>
    </row>
    <row r="703" spans="1:13" ht="15" customHeight="1" outlineLevel="1" x14ac:dyDescent="0.25">
      <c r="A703" s="148"/>
      <c r="B703" s="148"/>
      <c r="C703" s="148"/>
      <c r="D703" s="156"/>
      <c r="E703" s="156"/>
      <c r="F703" s="50">
        <v>43647</v>
      </c>
      <c r="G703" s="50">
        <v>43830</v>
      </c>
      <c r="H703" s="168"/>
      <c r="I703" s="91" t="s">
        <v>23</v>
      </c>
      <c r="J703" s="91" t="s">
        <v>23</v>
      </c>
      <c r="K703" s="13">
        <v>63.77</v>
      </c>
      <c r="L703" s="13">
        <v>2194.69</v>
      </c>
      <c r="M703" s="198"/>
    </row>
    <row r="704" spans="1:13" ht="15" customHeight="1" outlineLevel="1" x14ac:dyDescent="0.25">
      <c r="A704" s="148"/>
      <c r="B704" s="148"/>
      <c r="C704" s="148"/>
      <c r="D704" s="156"/>
      <c r="E704" s="156"/>
      <c r="F704" s="50">
        <v>43466</v>
      </c>
      <c r="G704" s="50">
        <v>43646</v>
      </c>
      <c r="H704" s="168"/>
      <c r="I704" s="91" t="s">
        <v>23</v>
      </c>
      <c r="J704" s="91" t="s">
        <v>23</v>
      </c>
      <c r="K704" s="13">
        <v>63.77</v>
      </c>
      <c r="L704" s="13">
        <v>2403.71</v>
      </c>
      <c r="M704" s="196" t="s">
        <v>421</v>
      </c>
    </row>
    <row r="705" spans="1:13" ht="15" customHeight="1" outlineLevel="1" x14ac:dyDescent="0.25">
      <c r="A705" s="148"/>
      <c r="B705" s="148"/>
      <c r="C705" s="148"/>
      <c r="D705" s="156"/>
      <c r="E705" s="156"/>
      <c r="F705" s="50">
        <v>43647</v>
      </c>
      <c r="G705" s="50">
        <v>43830</v>
      </c>
      <c r="H705" s="168"/>
      <c r="I705" s="91" t="s">
        <v>23</v>
      </c>
      <c r="J705" s="91" t="s">
        <v>23</v>
      </c>
      <c r="K705" s="13">
        <v>63.77</v>
      </c>
      <c r="L705" s="13">
        <v>2403.71</v>
      </c>
      <c r="M705" s="198"/>
    </row>
    <row r="706" spans="1:13" ht="15" customHeight="1" outlineLevel="1" x14ac:dyDescent="0.25">
      <c r="A706" s="148"/>
      <c r="B706" s="148"/>
      <c r="C706" s="148"/>
      <c r="D706" s="156"/>
      <c r="E706" s="156"/>
      <c r="F706" s="50">
        <v>43466</v>
      </c>
      <c r="G706" s="50">
        <v>43646</v>
      </c>
      <c r="H706" s="168"/>
      <c r="I706" s="91" t="s">
        <v>23</v>
      </c>
      <c r="J706" s="91" t="s">
        <v>23</v>
      </c>
      <c r="K706" s="13">
        <v>63.77</v>
      </c>
      <c r="L706" s="13">
        <v>2046.4</v>
      </c>
      <c r="M706" s="196" t="s">
        <v>422</v>
      </c>
    </row>
    <row r="707" spans="1:13" ht="15" customHeight="1" outlineLevel="1" x14ac:dyDescent="0.25">
      <c r="A707" s="148"/>
      <c r="B707" s="148"/>
      <c r="C707" s="148"/>
      <c r="D707" s="156"/>
      <c r="E707" s="156"/>
      <c r="F707" s="50">
        <v>43647</v>
      </c>
      <c r="G707" s="50">
        <v>43830</v>
      </c>
      <c r="H707" s="168"/>
      <c r="I707" s="91" t="s">
        <v>23</v>
      </c>
      <c r="J707" s="91" t="s">
        <v>23</v>
      </c>
      <c r="K707" s="13">
        <v>63.77</v>
      </c>
      <c r="L707" s="13">
        <v>2046.4</v>
      </c>
      <c r="M707" s="198"/>
    </row>
    <row r="708" spans="1:13" ht="15" customHeight="1" outlineLevel="1" x14ac:dyDescent="0.25">
      <c r="A708" s="148"/>
      <c r="B708" s="148"/>
      <c r="C708" s="148"/>
      <c r="D708" s="156"/>
      <c r="E708" s="156"/>
      <c r="F708" s="50">
        <v>43466</v>
      </c>
      <c r="G708" s="50">
        <v>43646</v>
      </c>
      <c r="H708" s="168"/>
      <c r="I708" s="91" t="s">
        <v>23</v>
      </c>
      <c r="J708" s="91" t="s">
        <v>23</v>
      </c>
      <c r="K708" s="13">
        <v>63.77</v>
      </c>
      <c r="L708" s="13">
        <v>2194.69</v>
      </c>
      <c r="M708" s="196" t="s">
        <v>423</v>
      </c>
    </row>
    <row r="709" spans="1:13" ht="15" customHeight="1" outlineLevel="1" x14ac:dyDescent="0.25">
      <c r="A709" s="148"/>
      <c r="B709" s="148"/>
      <c r="C709" s="148"/>
      <c r="D709" s="156"/>
      <c r="E709" s="156"/>
      <c r="F709" s="50">
        <v>43647</v>
      </c>
      <c r="G709" s="50">
        <v>43830</v>
      </c>
      <c r="H709" s="168"/>
      <c r="I709" s="91" t="s">
        <v>23</v>
      </c>
      <c r="J709" s="91" t="s">
        <v>23</v>
      </c>
      <c r="K709" s="13">
        <v>63.77</v>
      </c>
      <c r="L709" s="13">
        <v>2194.69</v>
      </c>
      <c r="M709" s="198"/>
    </row>
    <row r="710" spans="1:13" ht="15" customHeight="1" outlineLevel="1" x14ac:dyDescent="0.25">
      <c r="A710" s="148"/>
      <c r="B710" s="148"/>
      <c r="C710" s="148"/>
      <c r="D710" s="156"/>
      <c r="E710" s="156"/>
      <c r="F710" s="50">
        <v>43466</v>
      </c>
      <c r="G710" s="50">
        <v>43646</v>
      </c>
      <c r="H710" s="168"/>
      <c r="I710" s="91" t="s">
        <v>23</v>
      </c>
      <c r="J710" s="91" t="s">
        <v>23</v>
      </c>
      <c r="K710" s="13">
        <v>63.77</v>
      </c>
      <c r="L710" s="13">
        <v>2294.4499999999998</v>
      </c>
      <c r="M710" s="196" t="s">
        <v>424</v>
      </c>
    </row>
    <row r="711" spans="1:13" ht="15" customHeight="1" outlineLevel="1" x14ac:dyDescent="0.25">
      <c r="A711" s="148"/>
      <c r="B711" s="148"/>
      <c r="C711" s="148"/>
      <c r="D711" s="156"/>
      <c r="E711" s="156"/>
      <c r="F711" s="50">
        <v>43647</v>
      </c>
      <c r="G711" s="50">
        <v>43830</v>
      </c>
      <c r="H711" s="168"/>
      <c r="I711" s="91" t="s">
        <v>23</v>
      </c>
      <c r="J711" s="91" t="s">
        <v>23</v>
      </c>
      <c r="K711" s="13">
        <v>63.77</v>
      </c>
      <c r="L711" s="13">
        <v>2294.4499999999998</v>
      </c>
      <c r="M711" s="198"/>
    </row>
    <row r="712" spans="1:13" ht="15" customHeight="1" outlineLevel="1" x14ac:dyDescent="0.25">
      <c r="A712" s="148"/>
      <c r="B712" s="148"/>
      <c r="C712" s="148"/>
      <c r="D712" s="156"/>
      <c r="E712" s="156"/>
      <c r="F712" s="50">
        <v>43466</v>
      </c>
      <c r="G712" s="50">
        <v>43646</v>
      </c>
      <c r="H712" s="168"/>
      <c r="I712" s="91" t="s">
        <v>23</v>
      </c>
      <c r="J712" s="91" t="s">
        <v>23</v>
      </c>
      <c r="K712" s="13">
        <v>63.77</v>
      </c>
      <c r="L712" s="13">
        <v>2482.52</v>
      </c>
      <c r="M712" s="196" t="s">
        <v>425</v>
      </c>
    </row>
    <row r="713" spans="1:13" ht="15" customHeight="1" outlineLevel="1" x14ac:dyDescent="0.25">
      <c r="A713" s="148"/>
      <c r="B713" s="148"/>
      <c r="C713" s="148"/>
      <c r="D713" s="156"/>
      <c r="E713" s="156"/>
      <c r="F713" s="50">
        <v>43647</v>
      </c>
      <c r="G713" s="50">
        <v>43830</v>
      </c>
      <c r="H713" s="168"/>
      <c r="I713" s="91" t="s">
        <v>23</v>
      </c>
      <c r="J713" s="91" t="s">
        <v>23</v>
      </c>
      <c r="K713" s="13">
        <v>63.77</v>
      </c>
      <c r="L713" s="13">
        <v>2482.52</v>
      </c>
      <c r="M713" s="198"/>
    </row>
    <row r="714" spans="1:13" ht="15" customHeight="1" outlineLevel="1" x14ac:dyDescent="0.25">
      <c r="A714" s="148"/>
      <c r="B714" s="148"/>
      <c r="C714" s="148"/>
      <c r="D714" s="156"/>
      <c r="E714" s="156"/>
      <c r="F714" s="50">
        <v>43466</v>
      </c>
      <c r="G714" s="50">
        <v>43646</v>
      </c>
      <c r="H714" s="168"/>
      <c r="I714" s="91" t="s">
        <v>23</v>
      </c>
      <c r="J714" s="91" t="s">
        <v>23</v>
      </c>
      <c r="K714" s="13">
        <v>63.77</v>
      </c>
      <c r="L714" s="13">
        <v>2103.25</v>
      </c>
      <c r="M714" s="196" t="s">
        <v>426</v>
      </c>
    </row>
    <row r="715" spans="1:13" ht="15" customHeight="1" outlineLevel="1" x14ac:dyDescent="0.25">
      <c r="A715" s="148"/>
      <c r="B715" s="148"/>
      <c r="C715" s="148"/>
      <c r="D715" s="156"/>
      <c r="E715" s="156"/>
      <c r="F715" s="50">
        <v>43647</v>
      </c>
      <c r="G715" s="50">
        <v>43830</v>
      </c>
      <c r="H715" s="168"/>
      <c r="I715" s="91" t="s">
        <v>23</v>
      </c>
      <c r="J715" s="91" t="s">
        <v>23</v>
      </c>
      <c r="K715" s="13">
        <v>63.77</v>
      </c>
      <c r="L715" s="13">
        <v>2103.25</v>
      </c>
      <c r="M715" s="198"/>
    </row>
    <row r="716" spans="1:13" ht="15" customHeight="1" outlineLevel="1" x14ac:dyDescent="0.25">
      <c r="A716" s="148"/>
      <c r="B716" s="148"/>
      <c r="C716" s="148"/>
      <c r="D716" s="156"/>
      <c r="E716" s="156"/>
      <c r="F716" s="50">
        <v>43466</v>
      </c>
      <c r="G716" s="50">
        <v>43646</v>
      </c>
      <c r="H716" s="168"/>
      <c r="I716" s="91" t="s">
        <v>23</v>
      </c>
      <c r="J716" s="91" t="s">
        <v>23</v>
      </c>
      <c r="K716" s="13">
        <v>63.77</v>
      </c>
      <c r="L716" s="13">
        <v>2294.4499999999998</v>
      </c>
      <c r="M716" s="196" t="s">
        <v>427</v>
      </c>
    </row>
    <row r="717" spans="1:13" ht="15" customHeight="1" outlineLevel="1" x14ac:dyDescent="0.25">
      <c r="A717" s="147"/>
      <c r="B717" s="147"/>
      <c r="C717" s="147"/>
      <c r="D717" s="156"/>
      <c r="E717" s="156"/>
      <c r="F717" s="50">
        <v>43647</v>
      </c>
      <c r="G717" s="50">
        <v>43830</v>
      </c>
      <c r="H717" s="168"/>
      <c r="I717" s="91" t="s">
        <v>23</v>
      </c>
      <c r="J717" s="91" t="s">
        <v>23</v>
      </c>
      <c r="K717" s="13">
        <v>63.77</v>
      </c>
      <c r="L717" s="13">
        <v>2294.4499999999998</v>
      </c>
      <c r="M717" s="198"/>
    </row>
    <row r="718" spans="1:13" ht="15" customHeight="1" outlineLevel="1" x14ac:dyDescent="0.25">
      <c r="A718" s="146" t="s">
        <v>48</v>
      </c>
      <c r="B718" s="146" t="s">
        <v>275</v>
      </c>
      <c r="C718" s="146" t="s">
        <v>467</v>
      </c>
      <c r="D718" s="156">
        <v>43451</v>
      </c>
      <c r="E718" s="156" t="s">
        <v>624</v>
      </c>
      <c r="F718" s="12">
        <v>43466</v>
      </c>
      <c r="G718" s="12">
        <v>43646</v>
      </c>
      <c r="H718" s="168"/>
      <c r="I718" s="66">
        <v>81.819999999999993</v>
      </c>
      <c r="J718" s="13">
        <v>1930.01</v>
      </c>
      <c r="K718" s="15" t="s">
        <v>23</v>
      </c>
      <c r="L718" s="15" t="s">
        <v>23</v>
      </c>
      <c r="M718" s="183"/>
    </row>
    <row r="719" spans="1:13" ht="15" customHeight="1" outlineLevel="1" x14ac:dyDescent="0.25">
      <c r="A719" s="148"/>
      <c r="B719" s="148"/>
      <c r="C719" s="148"/>
      <c r="D719" s="156"/>
      <c r="E719" s="156"/>
      <c r="F719" s="12">
        <v>43647</v>
      </c>
      <c r="G719" s="12">
        <v>43830</v>
      </c>
      <c r="H719" s="168"/>
      <c r="I719" s="66">
        <v>85.9</v>
      </c>
      <c r="J719" s="13">
        <v>1951.6</v>
      </c>
      <c r="K719" s="15" t="s">
        <v>23</v>
      </c>
      <c r="L719" s="15" t="s">
        <v>23</v>
      </c>
      <c r="M719" s="183"/>
    </row>
    <row r="720" spans="1:13" ht="15" customHeight="1" outlineLevel="1" x14ac:dyDescent="0.25">
      <c r="A720" s="148"/>
      <c r="B720" s="148"/>
      <c r="C720" s="148"/>
      <c r="D720" s="156">
        <v>43454</v>
      </c>
      <c r="E720" s="156" t="s">
        <v>606</v>
      </c>
      <c r="F720" s="50">
        <v>43466</v>
      </c>
      <c r="G720" s="50">
        <v>43646</v>
      </c>
      <c r="H720" s="168"/>
      <c r="I720" s="15" t="s">
        <v>23</v>
      </c>
      <c r="J720" s="15" t="s">
        <v>23</v>
      </c>
      <c r="K720" s="13">
        <v>81.819999999999993</v>
      </c>
      <c r="L720" s="13">
        <v>2316.0100000000002</v>
      </c>
      <c r="M720" s="196" t="s">
        <v>424</v>
      </c>
    </row>
    <row r="721" spans="1:13" ht="15" customHeight="1" outlineLevel="1" x14ac:dyDescent="0.25">
      <c r="A721" s="148"/>
      <c r="B721" s="148"/>
      <c r="C721" s="148"/>
      <c r="D721" s="156"/>
      <c r="E721" s="156"/>
      <c r="F721" s="50">
        <v>43647</v>
      </c>
      <c r="G721" s="50">
        <v>43830</v>
      </c>
      <c r="H721" s="168"/>
      <c r="I721" s="15" t="s">
        <v>23</v>
      </c>
      <c r="J721" s="15" t="s">
        <v>23</v>
      </c>
      <c r="K721" s="13">
        <v>83.46</v>
      </c>
      <c r="L721" s="13">
        <v>2341.92</v>
      </c>
      <c r="M721" s="198"/>
    </row>
    <row r="722" spans="1:13" ht="15" customHeight="1" outlineLevel="1" x14ac:dyDescent="0.25">
      <c r="A722" s="148"/>
      <c r="B722" s="148"/>
      <c r="C722" s="148"/>
      <c r="D722" s="156"/>
      <c r="E722" s="156"/>
      <c r="F722" s="50">
        <v>43466</v>
      </c>
      <c r="G722" s="50">
        <v>43646</v>
      </c>
      <c r="H722" s="168"/>
      <c r="I722" s="15" t="s">
        <v>23</v>
      </c>
      <c r="J722" s="15" t="s">
        <v>23</v>
      </c>
      <c r="K722" s="13">
        <v>81.819999999999993</v>
      </c>
      <c r="L722" s="13">
        <v>2316.0100000000002</v>
      </c>
      <c r="M722" s="196" t="s">
        <v>426</v>
      </c>
    </row>
    <row r="723" spans="1:13" ht="15" customHeight="1" outlineLevel="1" x14ac:dyDescent="0.25">
      <c r="A723" s="148"/>
      <c r="B723" s="148"/>
      <c r="C723" s="148"/>
      <c r="D723" s="156"/>
      <c r="E723" s="156"/>
      <c r="F723" s="50">
        <v>43647</v>
      </c>
      <c r="G723" s="50">
        <v>43830</v>
      </c>
      <c r="H723" s="168"/>
      <c r="I723" s="15" t="s">
        <v>23</v>
      </c>
      <c r="J723" s="15" t="s">
        <v>23</v>
      </c>
      <c r="K723" s="13">
        <v>83.46</v>
      </c>
      <c r="L723" s="13">
        <v>2341.92</v>
      </c>
      <c r="M723" s="198"/>
    </row>
    <row r="724" spans="1:13" ht="15" customHeight="1" outlineLevel="1" x14ac:dyDescent="0.25">
      <c r="A724" s="59">
        <v>3</v>
      </c>
      <c r="B724" s="7" t="s">
        <v>147</v>
      </c>
      <c r="C724" s="60"/>
      <c r="D724" s="61"/>
      <c r="E724" s="61"/>
      <c r="F724" s="61"/>
      <c r="G724" s="61"/>
      <c r="H724" s="61"/>
      <c r="I724" s="61"/>
      <c r="J724" s="61"/>
      <c r="K724" s="62"/>
      <c r="L724" s="62"/>
      <c r="M724" s="63"/>
    </row>
    <row r="725" spans="1:13" ht="15" customHeight="1" outlineLevel="1" x14ac:dyDescent="0.25">
      <c r="A725" s="146" t="s">
        <v>243</v>
      </c>
      <c r="B725" s="146" t="s">
        <v>430</v>
      </c>
      <c r="C725" s="146" t="s">
        <v>246</v>
      </c>
      <c r="D725" s="156">
        <v>43453</v>
      </c>
      <c r="E725" s="156" t="s">
        <v>474</v>
      </c>
      <c r="F725" s="12">
        <v>43466</v>
      </c>
      <c r="G725" s="12">
        <v>43646</v>
      </c>
      <c r="H725" s="168"/>
      <c r="I725" s="66">
        <v>32.770000000000003</v>
      </c>
      <c r="J725" s="13">
        <v>2425.8200000000002</v>
      </c>
      <c r="K725" s="15" t="s">
        <v>23</v>
      </c>
      <c r="L725" s="15" t="s">
        <v>23</v>
      </c>
      <c r="M725" s="183"/>
    </row>
    <row r="726" spans="1:13" ht="15" customHeight="1" outlineLevel="1" x14ac:dyDescent="0.25">
      <c r="A726" s="148"/>
      <c r="B726" s="148"/>
      <c r="C726" s="148"/>
      <c r="D726" s="156"/>
      <c r="E726" s="156"/>
      <c r="F726" s="12">
        <v>43647</v>
      </c>
      <c r="G726" s="12">
        <v>43830</v>
      </c>
      <c r="H726" s="168"/>
      <c r="I726" s="66">
        <v>33.49</v>
      </c>
      <c r="J726" s="13">
        <v>2467.52</v>
      </c>
      <c r="K726" s="15" t="s">
        <v>23</v>
      </c>
      <c r="L726" s="15" t="s">
        <v>23</v>
      </c>
      <c r="M726" s="183"/>
    </row>
    <row r="727" spans="1:13" ht="15" customHeight="1" outlineLevel="1" x14ac:dyDescent="0.25">
      <c r="A727" s="148"/>
      <c r="B727" s="148"/>
      <c r="C727" s="148"/>
      <c r="D727" s="156">
        <v>43454</v>
      </c>
      <c r="E727" s="156" t="s">
        <v>475</v>
      </c>
      <c r="F727" s="50">
        <v>43466</v>
      </c>
      <c r="G727" s="50">
        <v>43646</v>
      </c>
      <c r="H727" s="168"/>
      <c r="I727" s="15" t="s">
        <v>23</v>
      </c>
      <c r="J727" s="15" t="s">
        <v>23</v>
      </c>
      <c r="K727" s="13">
        <v>28.71</v>
      </c>
      <c r="L727" s="13">
        <v>1960.5</v>
      </c>
      <c r="M727" s="196" t="s">
        <v>420</v>
      </c>
    </row>
    <row r="728" spans="1:13" ht="15" customHeight="1" outlineLevel="1" x14ac:dyDescent="0.25">
      <c r="A728" s="148"/>
      <c r="B728" s="148"/>
      <c r="C728" s="148"/>
      <c r="D728" s="156"/>
      <c r="E728" s="156"/>
      <c r="F728" s="50">
        <v>43647</v>
      </c>
      <c r="G728" s="50">
        <v>43830</v>
      </c>
      <c r="H728" s="168"/>
      <c r="I728" s="15" t="s">
        <v>23</v>
      </c>
      <c r="J728" s="15" t="s">
        <v>23</v>
      </c>
      <c r="K728" s="13">
        <v>29.28</v>
      </c>
      <c r="L728" s="13">
        <v>1999.67</v>
      </c>
      <c r="M728" s="198"/>
    </row>
    <row r="729" spans="1:13" ht="15" customHeight="1" outlineLevel="1" x14ac:dyDescent="0.25">
      <c r="A729" s="148"/>
      <c r="B729" s="148"/>
      <c r="C729" s="148"/>
      <c r="D729" s="156"/>
      <c r="E729" s="156"/>
      <c r="F729" s="50">
        <v>43466</v>
      </c>
      <c r="G729" s="50">
        <v>43646</v>
      </c>
      <c r="H729" s="168"/>
      <c r="I729" s="15" t="s">
        <v>23</v>
      </c>
      <c r="J729" s="15" t="s">
        <v>23</v>
      </c>
      <c r="K729" s="13">
        <f>$K$727</f>
        <v>28.71</v>
      </c>
      <c r="L729" s="13">
        <v>2147.2199999999998</v>
      </c>
      <c r="M729" s="196" t="s">
        <v>421</v>
      </c>
    </row>
    <row r="730" spans="1:13" ht="15" customHeight="1" outlineLevel="1" x14ac:dyDescent="0.25">
      <c r="A730" s="148"/>
      <c r="B730" s="148"/>
      <c r="C730" s="148"/>
      <c r="D730" s="156"/>
      <c r="E730" s="156"/>
      <c r="F730" s="50">
        <v>43647</v>
      </c>
      <c r="G730" s="50">
        <v>43830</v>
      </c>
      <c r="H730" s="168"/>
      <c r="I730" s="15" t="s">
        <v>23</v>
      </c>
      <c r="J730" s="15" t="s">
        <v>23</v>
      </c>
      <c r="K730" s="13">
        <f>$K$728</f>
        <v>29.28</v>
      </c>
      <c r="L730" s="13">
        <v>2190.16</v>
      </c>
      <c r="M730" s="198"/>
    </row>
    <row r="731" spans="1:13" ht="15" customHeight="1" outlineLevel="1" x14ac:dyDescent="0.25">
      <c r="A731" s="148"/>
      <c r="B731" s="148"/>
      <c r="C731" s="148"/>
      <c r="D731" s="156"/>
      <c r="E731" s="156"/>
      <c r="F731" s="50">
        <v>43466</v>
      </c>
      <c r="G731" s="50">
        <v>43646</v>
      </c>
      <c r="H731" s="168"/>
      <c r="I731" s="15" t="s">
        <v>23</v>
      </c>
      <c r="J731" s="15" t="s">
        <v>23</v>
      </c>
      <c r="K731" s="13">
        <f>$K$727</f>
        <v>28.71</v>
      </c>
      <c r="L731" s="13">
        <v>1828.03</v>
      </c>
      <c r="M731" s="196" t="s">
        <v>422</v>
      </c>
    </row>
    <row r="732" spans="1:13" ht="15" customHeight="1" outlineLevel="1" x14ac:dyDescent="0.25">
      <c r="A732" s="148"/>
      <c r="B732" s="148"/>
      <c r="C732" s="148"/>
      <c r="D732" s="156"/>
      <c r="E732" s="156"/>
      <c r="F732" s="50">
        <v>43647</v>
      </c>
      <c r="G732" s="50">
        <v>43830</v>
      </c>
      <c r="H732" s="168"/>
      <c r="I732" s="15" t="s">
        <v>23</v>
      </c>
      <c r="J732" s="15" t="s">
        <v>23</v>
      </c>
      <c r="K732" s="13">
        <f>$K$728</f>
        <v>29.28</v>
      </c>
      <c r="L732" s="13">
        <v>1864.59</v>
      </c>
      <c r="M732" s="198"/>
    </row>
    <row r="733" spans="1:13" ht="15" customHeight="1" outlineLevel="1" x14ac:dyDescent="0.25">
      <c r="A733" s="148"/>
      <c r="B733" s="148"/>
      <c r="C733" s="148"/>
      <c r="D733" s="156"/>
      <c r="E733" s="156"/>
      <c r="F733" s="50">
        <v>43466</v>
      </c>
      <c r="G733" s="50">
        <v>43646</v>
      </c>
      <c r="H733" s="168"/>
      <c r="I733" s="15" t="s">
        <v>23</v>
      </c>
      <c r="J733" s="15" t="s">
        <v>23</v>
      </c>
      <c r="K733" s="13">
        <f>$K$727</f>
        <v>28.71</v>
      </c>
      <c r="L733" s="13">
        <v>1960.5</v>
      </c>
      <c r="M733" s="196" t="s">
        <v>423</v>
      </c>
    </row>
    <row r="734" spans="1:13" ht="15" customHeight="1" outlineLevel="1" x14ac:dyDescent="0.25">
      <c r="A734" s="148"/>
      <c r="B734" s="148"/>
      <c r="C734" s="148"/>
      <c r="D734" s="156"/>
      <c r="E734" s="156"/>
      <c r="F734" s="50">
        <v>43647</v>
      </c>
      <c r="G734" s="50">
        <v>43830</v>
      </c>
      <c r="H734" s="168"/>
      <c r="I734" s="15" t="s">
        <v>23</v>
      </c>
      <c r="J734" s="15" t="s">
        <v>23</v>
      </c>
      <c r="K734" s="13">
        <f>$K$728</f>
        <v>29.28</v>
      </c>
      <c r="L734" s="13">
        <v>1999.71</v>
      </c>
      <c r="M734" s="198"/>
    </row>
    <row r="735" spans="1:13" ht="15" customHeight="1" outlineLevel="1" x14ac:dyDescent="0.25">
      <c r="A735" s="148"/>
      <c r="B735" s="148"/>
      <c r="C735" s="148"/>
      <c r="D735" s="156"/>
      <c r="E735" s="156"/>
      <c r="F735" s="50">
        <v>43466</v>
      </c>
      <c r="G735" s="50">
        <v>43646</v>
      </c>
      <c r="H735" s="168"/>
      <c r="I735" s="15" t="s">
        <v>23</v>
      </c>
      <c r="J735" s="15" t="s">
        <v>23</v>
      </c>
      <c r="K735" s="13">
        <f>$K$727</f>
        <v>28.71</v>
      </c>
      <c r="L735" s="13">
        <v>2049.61</v>
      </c>
      <c r="M735" s="196" t="s">
        <v>424</v>
      </c>
    </row>
    <row r="736" spans="1:13" ht="15" customHeight="1" outlineLevel="1" x14ac:dyDescent="0.25">
      <c r="A736" s="148"/>
      <c r="B736" s="148"/>
      <c r="C736" s="148"/>
      <c r="D736" s="156"/>
      <c r="E736" s="156"/>
      <c r="F736" s="50">
        <v>43647</v>
      </c>
      <c r="G736" s="50">
        <v>43830</v>
      </c>
      <c r="H736" s="168"/>
      <c r="I736" s="15" t="s">
        <v>23</v>
      </c>
      <c r="J736" s="15" t="s">
        <v>23</v>
      </c>
      <c r="K736" s="13">
        <f>$K$728</f>
        <v>29.28</v>
      </c>
      <c r="L736" s="13">
        <v>2090.61</v>
      </c>
      <c r="M736" s="198"/>
    </row>
    <row r="737" spans="1:13" ht="15" customHeight="1" outlineLevel="1" x14ac:dyDescent="0.25">
      <c r="A737" s="148"/>
      <c r="B737" s="148"/>
      <c r="C737" s="148"/>
      <c r="D737" s="156"/>
      <c r="E737" s="156"/>
      <c r="F737" s="50">
        <v>43466</v>
      </c>
      <c r="G737" s="50">
        <v>43646</v>
      </c>
      <c r="H737" s="168"/>
      <c r="I737" s="15" t="s">
        <v>23</v>
      </c>
      <c r="J737" s="15" t="s">
        <v>23</v>
      </c>
      <c r="K737" s="13">
        <f>$K$727</f>
        <v>28.71</v>
      </c>
      <c r="L737" s="13">
        <v>2217.62</v>
      </c>
      <c r="M737" s="196" t="s">
        <v>425</v>
      </c>
    </row>
    <row r="738" spans="1:13" ht="15" customHeight="1" outlineLevel="1" x14ac:dyDescent="0.25">
      <c r="A738" s="148"/>
      <c r="B738" s="148"/>
      <c r="C738" s="148"/>
      <c r="D738" s="156"/>
      <c r="E738" s="156"/>
      <c r="F738" s="50">
        <v>43647</v>
      </c>
      <c r="G738" s="50">
        <v>43830</v>
      </c>
      <c r="H738" s="168"/>
      <c r="I738" s="15" t="s">
        <v>23</v>
      </c>
      <c r="J738" s="15" t="s">
        <v>23</v>
      </c>
      <c r="K738" s="13">
        <f>$K$728</f>
        <v>29.28</v>
      </c>
      <c r="L738" s="13">
        <v>2261.9699999999998</v>
      </c>
      <c r="M738" s="198"/>
    </row>
    <row r="739" spans="1:13" ht="15" customHeight="1" outlineLevel="1" x14ac:dyDescent="0.25">
      <c r="A739" s="148"/>
      <c r="B739" s="148"/>
      <c r="C739" s="148"/>
      <c r="D739" s="156"/>
      <c r="E739" s="156"/>
      <c r="F739" s="50">
        <v>43466</v>
      </c>
      <c r="G739" s="50">
        <v>43646</v>
      </c>
      <c r="H739" s="168"/>
      <c r="I739" s="15" t="s">
        <v>23</v>
      </c>
      <c r="J739" s="15" t="s">
        <v>23</v>
      </c>
      <c r="K739" s="13">
        <f>$K$727</f>
        <v>28.71</v>
      </c>
      <c r="L739" s="13">
        <v>1878.81</v>
      </c>
      <c r="M739" s="196" t="s">
        <v>426</v>
      </c>
    </row>
    <row r="740" spans="1:13" ht="15" customHeight="1" outlineLevel="1" x14ac:dyDescent="0.25">
      <c r="A740" s="148"/>
      <c r="B740" s="148"/>
      <c r="C740" s="148"/>
      <c r="D740" s="156"/>
      <c r="E740" s="156"/>
      <c r="F740" s="50">
        <v>43647</v>
      </c>
      <c r="G740" s="50">
        <v>43830</v>
      </c>
      <c r="H740" s="168"/>
      <c r="I740" s="15" t="s">
        <v>23</v>
      </c>
      <c r="J740" s="15" t="s">
        <v>23</v>
      </c>
      <c r="K740" s="13">
        <f>$K$728</f>
        <v>29.28</v>
      </c>
      <c r="L740" s="13">
        <v>1916.39</v>
      </c>
      <c r="M740" s="198"/>
    </row>
    <row r="741" spans="1:13" ht="15" customHeight="1" outlineLevel="1" x14ac:dyDescent="0.25">
      <c r="A741" s="148"/>
      <c r="B741" s="148"/>
      <c r="C741" s="148"/>
      <c r="D741" s="156"/>
      <c r="E741" s="156"/>
      <c r="F741" s="50">
        <v>43466</v>
      </c>
      <c r="G741" s="50">
        <v>43646</v>
      </c>
      <c r="H741" s="168"/>
      <c r="I741" s="15" t="s">
        <v>23</v>
      </c>
      <c r="J741" s="15" t="s">
        <v>23</v>
      </c>
      <c r="K741" s="13">
        <f>$K$727</f>
        <v>28.71</v>
      </c>
      <c r="L741" s="13">
        <v>2049.61</v>
      </c>
      <c r="M741" s="196" t="s">
        <v>427</v>
      </c>
    </row>
    <row r="742" spans="1:13" ht="15" customHeight="1" outlineLevel="1" x14ac:dyDescent="0.25">
      <c r="A742" s="147"/>
      <c r="B742" s="147"/>
      <c r="C742" s="148"/>
      <c r="D742" s="156"/>
      <c r="E742" s="156"/>
      <c r="F742" s="50">
        <v>43647</v>
      </c>
      <c r="G742" s="50">
        <v>43830</v>
      </c>
      <c r="H742" s="168"/>
      <c r="I742" s="15" t="s">
        <v>23</v>
      </c>
      <c r="J742" s="15" t="s">
        <v>23</v>
      </c>
      <c r="K742" s="13">
        <f>$K$728</f>
        <v>29.28</v>
      </c>
      <c r="L742" s="13">
        <v>2090.61</v>
      </c>
      <c r="M742" s="198"/>
    </row>
    <row r="743" spans="1:13" ht="15" customHeight="1" outlineLevel="1" x14ac:dyDescent="0.25">
      <c r="A743" s="146" t="s">
        <v>243</v>
      </c>
      <c r="B743" s="146" t="s">
        <v>407</v>
      </c>
      <c r="C743" s="148"/>
      <c r="D743" s="156">
        <f>$D$725</f>
        <v>43453</v>
      </c>
      <c r="E743" s="156" t="str">
        <f>$E$725</f>
        <v>452-п</v>
      </c>
      <c r="F743" s="12">
        <v>43466</v>
      </c>
      <c r="G743" s="12">
        <v>43646</v>
      </c>
      <c r="H743" s="168"/>
      <c r="I743" s="66">
        <f>$I$725</f>
        <v>32.770000000000003</v>
      </c>
      <c r="J743" s="13">
        <f>$J$725</f>
        <v>2425.8200000000002</v>
      </c>
      <c r="K743" s="15" t="s">
        <v>23</v>
      </c>
      <c r="L743" s="15" t="s">
        <v>23</v>
      </c>
      <c r="M743" s="183"/>
    </row>
    <row r="744" spans="1:13" ht="15" customHeight="1" outlineLevel="1" x14ac:dyDescent="0.25">
      <c r="A744" s="148"/>
      <c r="B744" s="148"/>
      <c r="C744" s="148"/>
      <c r="D744" s="156"/>
      <c r="E744" s="156"/>
      <c r="F744" s="12">
        <v>43647</v>
      </c>
      <c r="G744" s="12">
        <v>43830</v>
      </c>
      <c r="H744" s="168"/>
      <c r="I744" s="66">
        <f>$I$726</f>
        <v>33.49</v>
      </c>
      <c r="J744" s="13">
        <f>$J$726</f>
        <v>2467.52</v>
      </c>
      <c r="K744" s="15" t="s">
        <v>23</v>
      </c>
      <c r="L744" s="15" t="s">
        <v>23</v>
      </c>
      <c r="M744" s="183"/>
    </row>
    <row r="745" spans="1:13" ht="15" customHeight="1" outlineLevel="1" x14ac:dyDescent="0.25">
      <c r="A745" s="148"/>
      <c r="B745" s="148"/>
      <c r="C745" s="148"/>
      <c r="D745" s="156">
        <f>$D$727</f>
        <v>43454</v>
      </c>
      <c r="E745" s="156" t="str">
        <f>E727</f>
        <v>676-п</v>
      </c>
      <c r="F745" s="50">
        <v>43466</v>
      </c>
      <c r="G745" s="50">
        <v>43646</v>
      </c>
      <c r="H745" s="168"/>
      <c r="I745" s="15" t="s">
        <v>23</v>
      </c>
      <c r="J745" s="15" t="s">
        <v>23</v>
      </c>
      <c r="K745" s="13">
        <f>$K$727</f>
        <v>28.71</v>
      </c>
      <c r="L745" s="13">
        <f>$L$727</f>
        <v>1960.5</v>
      </c>
      <c r="M745" s="196" t="s">
        <v>420</v>
      </c>
    </row>
    <row r="746" spans="1:13" ht="15" customHeight="1" outlineLevel="1" x14ac:dyDescent="0.25">
      <c r="A746" s="148"/>
      <c r="B746" s="148"/>
      <c r="C746" s="148"/>
      <c r="D746" s="156"/>
      <c r="E746" s="156"/>
      <c r="F746" s="50">
        <v>43647</v>
      </c>
      <c r="G746" s="50">
        <v>43830</v>
      </c>
      <c r="H746" s="168"/>
      <c r="I746" s="15" t="s">
        <v>23</v>
      </c>
      <c r="J746" s="15" t="s">
        <v>23</v>
      </c>
      <c r="K746" s="13">
        <f>$K$728</f>
        <v>29.28</v>
      </c>
      <c r="L746" s="13">
        <f>$L$728</f>
        <v>1999.67</v>
      </c>
      <c r="M746" s="198"/>
    </row>
    <row r="747" spans="1:13" ht="15" customHeight="1" outlineLevel="1" x14ac:dyDescent="0.25">
      <c r="A747" s="148"/>
      <c r="B747" s="148"/>
      <c r="C747" s="148"/>
      <c r="D747" s="156"/>
      <c r="E747" s="156"/>
      <c r="F747" s="50">
        <v>43466</v>
      </c>
      <c r="G747" s="50">
        <v>43646</v>
      </c>
      <c r="H747" s="168"/>
      <c r="I747" s="15" t="s">
        <v>23</v>
      </c>
      <c r="J747" s="15" t="s">
        <v>23</v>
      </c>
      <c r="K747" s="13">
        <f>$K$729</f>
        <v>28.71</v>
      </c>
      <c r="L747" s="13">
        <f>$L$729</f>
        <v>2147.2199999999998</v>
      </c>
      <c r="M747" s="196" t="s">
        <v>421</v>
      </c>
    </row>
    <row r="748" spans="1:13" ht="15" customHeight="1" outlineLevel="1" x14ac:dyDescent="0.25">
      <c r="A748" s="148"/>
      <c r="B748" s="148"/>
      <c r="C748" s="148"/>
      <c r="D748" s="156"/>
      <c r="E748" s="156"/>
      <c r="F748" s="50">
        <v>43647</v>
      </c>
      <c r="G748" s="50">
        <v>43830</v>
      </c>
      <c r="H748" s="168"/>
      <c r="I748" s="15" t="s">
        <v>23</v>
      </c>
      <c r="J748" s="15" t="s">
        <v>23</v>
      </c>
      <c r="K748" s="13">
        <f>$K$730</f>
        <v>29.28</v>
      </c>
      <c r="L748" s="13">
        <f>$L$730</f>
        <v>2190.16</v>
      </c>
      <c r="M748" s="198"/>
    </row>
    <row r="749" spans="1:13" ht="15" customHeight="1" outlineLevel="1" x14ac:dyDescent="0.25">
      <c r="A749" s="148"/>
      <c r="B749" s="148"/>
      <c r="C749" s="148"/>
      <c r="D749" s="156"/>
      <c r="E749" s="156"/>
      <c r="F749" s="50">
        <v>43466</v>
      </c>
      <c r="G749" s="50">
        <v>43646</v>
      </c>
      <c r="H749" s="168"/>
      <c r="I749" s="15" t="s">
        <v>23</v>
      </c>
      <c r="J749" s="15" t="s">
        <v>23</v>
      </c>
      <c r="K749" s="13">
        <f>$K$731</f>
        <v>28.71</v>
      </c>
      <c r="L749" s="13">
        <f>$L$731</f>
        <v>1828.03</v>
      </c>
      <c r="M749" s="196" t="s">
        <v>422</v>
      </c>
    </row>
    <row r="750" spans="1:13" ht="15" customHeight="1" outlineLevel="1" x14ac:dyDescent="0.25">
      <c r="A750" s="148"/>
      <c r="B750" s="148"/>
      <c r="C750" s="148"/>
      <c r="D750" s="156"/>
      <c r="E750" s="156"/>
      <c r="F750" s="50">
        <v>43647</v>
      </c>
      <c r="G750" s="50">
        <v>43830</v>
      </c>
      <c r="H750" s="168"/>
      <c r="I750" s="15" t="s">
        <v>23</v>
      </c>
      <c r="J750" s="15" t="s">
        <v>23</v>
      </c>
      <c r="K750" s="13">
        <f>$K$732</f>
        <v>29.28</v>
      </c>
      <c r="L750" s="13">
        <f>$L$732</f>
        <v>1864.59</v>
      </c>
      <c r="M750" s="198"/>
    </row>
    <row r="751" spans="1:13" ht="15" customHeight="1" outlineLevel="1" x14ac:dyDescent="0.25">
      <c r="A751" s="148"/>
      <c r="B751" s="148"/>
      <c r="C751" s="148"/>
      <c r="D751" s="156"/>
      <c r="E751" s="156"/>
      <c r="F751" s="50">
        <v>43466</v>
      </c>
      <c r="G751" s="50">
        <v>43646</v>
      </c>
      <c r="H751" s="168"/>
      <c r="I751" s="15" t="s">
        <v>23</v>
      </c>
      <c r="J751" s="15" t="s">
        <v>23</v>
      </c>
      <c r="K751" s="13">
        <f>$K$733</f>
        <v>28.71</v>
      </c>
      <c r="L751" s="13">
        <f>$L$733</f>
        <v>1960.5</v>
      </c>
      <c r="M751" s="196" t="s">
        <v>423</v>
      </c>
    </row>
    <row r="752" spans="1:13" ht="15" customHeight="1" outlineLevel="1" x14ac:dyDescent="0.25">
      <c r="A752" s="148"/>
      <c r="B752" s="148"/>
      <c r="C752" s="148"/>
      <c r="D752" s="156"/>
      <c r="E752" s="156"/>
      <c r="F752" s="50">
        <v>43647</v>
      </c>
      <c r="G752" s="50">
        <v>43830</v>
      </c>
      <c r="H752" s="168"/>
      <c r="I752" s="15" t="s">
        <v>23</v>
      </c>
      <c r="J752" s="15" t="s">
        <v>23</v>
      </c>
      <c r="K752" s="13">
        <f>$K$734</f>
        <v>29.28</v>
      </c>
      <c r="L752" s="13">
        <f>$L$734</f>
        <v>1999.71</v>
      </c>
      <c r="M752" s="198"/>
    </row>
    <row r="753" spans="1:13" ht="15" customHeight="1" outlineLevel="1" x14ac:dyDescent="0.25">
      <c r="A753" s="148"/>
      <c r="B753" s="148"/>
      <c r="C753" s="148"/>
      <c r="D753" s="156"/>
      <c r="E753" s="156"/>
      <c r="F753" s="50">
        <v>43466</v>
      </c>
      <c r="G753" s="50">
        <v>43646</v>
      </c>
      <c r="H753" s="168"/>
      <c r="I753" s="15" t="s">
        <v>23</v>
      </c>
      <c r="J753" s="15" t="s">
        <v>23</v>
      </c>
      <c r="K753" s="13">
        <f>$K$735</f>
        <v>28.71</v>
      </c>
      <c r="L753" s="13">
        <f>$L$735</f>
        <v>2049.61</v>
      </c>
      <c r="M753" s="196" t="s">
        <v>424</v>
      </c>
    </row>
    <row r="754" spans="1:13" ht="15" customHeight="1" outlineLevel="1" x14ac:dyDescent="0.25">
      <c r="A754" s="148"/>
      <c r="B754" s="148"/>
      <c r="C754" s="148"/>
      <c r="D754" s="156"/>
      <c r="E754" s="156"/>
      <c r="F754" s="50">
        <v>43647</v>
      </c>
      <c r="G754" s="50">
        <v>43830</v>
      </c>
      <c r="H754" s="168"/>
      <c r="I754" s="15" t="s">
        <v>23</v>
      </c>
      <c r="J754" s="15" t="s">
        <v>23</v>
      </c>
      <c r="K754" s="13">
        <f>$K$736</f>
        <v>29.28</v>
      </c>
      <c r="L754" s="13">
        <f>$L$736</f>
        <v>2090.61</v>
      </c>
      <c r="M754" s="198"/>
    </row>
    <row r="755" spans="1:13" ht="15" customHeight="1" outlineLevel="1" x14ac:dyDescent="0.25">
      <c r="A755" s="148"/>
      <c r="B755" s="148"/>
      <c r="C755" s="148"/>
      <c r="D755" s="156"/>
      <c r="E755" s="156"/>
      <c r="F755" s="50">
        <v>43466</v>
      </c>
      <c r="G755" s="50">
        <v>43646</v>
      </c>
      <c r="H755" s="168"/>
      <c r="I755" s="15" t="s">
        <v>23</v>
      </c>
      <c r="J755" s="15" t="s">
        <v>23</v>
      </c>
      <c r="K755" s="13">
        <f>$K$737</f>
        <v>28.71</v>
      </c>
      <c r="L755" s="13">
        <f>$L$737</f>
        <v>2217.62</v>
      </c>
      <c r="M755" s="196" t="s">
        <v>425</v>
      </c>
    </row>
    <row r="756" spans="1:13" ht="15" customHeight="1" outlineLevel="1" x14ac:dyDescent="0.25">
      <c r="A756" s="148"/>
      <c r="B756" s="148"/>
      <c r="C756" s="148"/>
      <c r="D756" s="156"/>
      <c r="E756" s="156"/>
      <c r="F756" s="50">
        <v>43647</v>
      </c>
      <c r="G756" s="50">
        <v>43830</v>
      </c>
      <c r="H756" s="168"/>
      <c r="I756" s="15" t="s">
        <v>23</v>
      </c>
      <c r="J756" s="15" t="s">
        <v>23</v>
      </c>
      <c r="K756" s="13">
        <f>$K$738</f>
        <v>29.28</v>
      </c>
      <c r="L756" s="13">
        <f>$L$738</f>
        <v>2261.9699999999998</v>
      </c>
      <c r="M756" s="198"/>
    </row>
    <row r="757" spans="1:13" ht="15" customHeight="1" outlineLevel="1" x14ac:dyDescent="0.25">
      <c r="A757" s="148"/>
      <c r="B757" s="148"/>
      <c r="C757" s="148"/>
      <c r="D757" s="156"/>
      <c r="E757" s="156"/>
      <c r="F757" s="50">
        <v>43466</v>
      </c>
      <c r="G757" s="50">
        <v>43646</v>
      </c>
      <c r="H757" s="168"/>
      <c r="I757" s="15" t="s">
        <v>23</v>
      </c>
      <c r="J757" s="15" t="s">
        <v>23</v>
      </c>
      <c r="K757" s="13">
        <f>$K$739</f>
        <v>28.71</v>
      </c>
      <c r="L757" s="13">
        <f>$L$739</f>
        <v>1878.81</v>
      </c>
      <c r="M757" s="196" t="s">
        <v>426</v>
      </c>
    </row>
    <row r="758" spans="1:13" ht="15" customHeight="1" outlineLevel="1" x14ac:dyDescent="0.25">
      <c r="A758" s="148"/>
      <c r="B758" s="148"/>
      <c r="C758" s="148"/>
      <c r="D758" s="156"/>
      <c r="E758" s="156"/>
      <c r="F758" s="50">
        <v>43647</v>
      </c>
      <c r="G758" s="50">
        <v>43830</v>
      </c>
      <c r="H758" s="168"/>
      <c r="I758" s="15" t="s">
        <v>23</v>
      </c>
      <c r="J758" s="15" t="s">
        <v>23</v>
      </c>
      <c r="K758" s="13">
        <f>$K$740</f>
        <v>29.28</v>
      </c>
      <c r="L758" s="13">
        <f>$L$740</f>
        <v>1916.39</v>
      </c>
      <c r="M758" s="198"/>
    </row>
    <row r="759" spans="1:13" ht="15" customHeight="1" outlineLevel="1" x14ac:dyDescent="0.25">
      <c r="A759" s="148"/>
      <c r="B759" s="148"/>
      <c r="C759" s="148"/>
      <c r="D759" s="156"/>
      <c r="E759" s="156"/>
      <c r="F759" s="50">
        <v>43466</v>
      </c>
      <c r="G759" s="50">
        <v>43646</v>
      </c>
      <c r="H759" s="168"/>
      <c r="I759" s="15" t="s">
        <v>23</v>
      </c>
      <c r="J759" s="15" t="s">
        <v>23</v>
      </c>
      <c r="K759" s="13">
        <f>$K$741</f>
        <v>28.71</v>
      </c>
      <c r="L759" s="13">
        <f>$L$741</f>
        <v>2049.61</v>
      </c>
      <c r="M759" s="196" t="s">
        <v>427</v>
      </c>
    </row>
    <row r="760" spans="1:13" ht="15" customHeight="1" outlineLevel="1" x14ac:dyDescent="0.25">
      <c r="A760" s="147"/>
      <c r="B760" s="147"/>
      <c r="C760" s="148"/>
      <c r="D760" s="156"/>
      <c r="E760" s="156"/>
      <c r="F760" s="50">
        <v>43647</v>
      </c>
      <c r="G760" s="50">
        <v>43830</v>
      </c>
      <c r="H760" s="168"/>
      <c r="I760" s="15" t="s">
        <v>23</v>
      </c>
      <c r="J760" s="15" t="s">
        <v>23</v>
      </c>
      <c r="K760" s="13">
        <f>$K$742</f>
        <v>29.28</v>
      </c>
      <c r="L760" s="13">
        <f>$L$742</f>
        <v>2090.61</v>
      </c>
      <c r="M760" s="198"/>
    </row>
    <row r="761" spans="1:13" ht="15" customHeight="1" outlineLevel="1" x14ac:dyDescent="0.25">
      <c r="A761" s="146" t="s">
        <v>243</v>
      </c>
      <c r="B761" s="146" t="s">
        <v>431</v>
      </c>
      <c r="C761" s="148"/>
      <c r="D761" s="156">
        <f>$D$725</f>
        <v>43453</v>
      </c>
      <c r="E761" s="156" t="str">
        <f>$E$725</f>
        <v>452-п</v>
      </c>
      <c r="F761" s="12">
        <v>43466</v>
      </c>
      <c r="G761" s="12">
        <v>43646</v>
      </c>
      <c r="H761" s="168"/>
      <c r="I761" s="66">
        <f>$I$725</f>
        <v>32.770000000000003</v>
      </c>
      <c r="J761" s="13">
        <f>$J$725</f>
        <v>2425.8200000000002</v>
      </c>
      <c r="K761" s="15" t="s">
        <v>23</v>
      </c>
      <c r="L761" s="15" t="s">
        <v>23</v>
      </c>
      <c r="M761" s="183"/>
    </row>
    <row r="762" spans="1:13" ht="15" customHeight="1" outlineLevel="1" x14ac:dyDescent="0.25">
      <c r="A762" s="148"/>
      <c r="B762" s="148"/>
      <c r="C762" s="148"/>
      <c r="D762" s="156"/>
      <c r="E762" s="156"/>
      <c r="F762" s="12">
        <v>43647</v>
      </c>
      <c r="G762" s="12">
        <v>43830</v>
      </c>
      <c r="H762" s="168"/>
      <c r="I762" s="66">
        <f>$I$726</f>
        <v>33.49</v>
      </c>
      <c r="J762" s="13">
        <f>$J$726</f>
        <v>2467.52</v>
      </c>
      <c r="K762" s="15" t="s">
        <v>23</v>
      </c>
      <c r="L762" s="15" t="s">
        <v>23</v>
      </c>
      <c r="M762" s="183"/>
    </row>
    <row r="763" spans="1:13" ht="15" customHeight="1" outlineLevel="1" x14ac:dyDescent="0.25">
      <c r="A763" s="148"/>
      <c r="B763" s="148"/>
      <c r="C763" s="148"/>
      <c r="D763" s="156">
        <f>$D$727</f>
        <v>43454</v>
      </c>
      <c r="E763" s="156" t="str">
        <f>E745</f>
        <v>676-п</v>
      </c>
      <c r="F763" s="50">
        <v>43466</v>
      </c>
      <c r="G763" s="50">
        <v>43646</v>
      </c>
      <c r="H763" s="168"/>
      <c r="I763" s="15" t="s">
        <v>23</v>
      </c>
      <c r="J763" s="15" t="s">
        <v>23</v>
      </c>
      <c r="K763" s="13">
        <f>$K$727</f>
        <v>28.71</v>
      </c>
      <c r="L763" s="13">
        <f>$L$727</f>
        <v>1960.5</v>
      </c>
      <c r="M763" s="196" t="s">
        <v>420</v>
      </c>
    </row>
    <row r="764" spans="1:13" ht="15" customHeight="1" outlineLevel="1" x14ac:dyDescent="0.25">
      <c r="A764" s="148"/>
      <c r="B764" s="148"/>
      <c r="C764" s="148"/>
      <c r="D764" s="156"/>
      <c r="E764" s="156"/>
      <c r="F764" s="50">
        <v>43647</v>
      </c>
      <c r="G764" s="50">
        <v>43830</v>
      </c>
      <c r="H764" s="168"/>
      <c r="I764" s="15" t="s">
        <v>23</v>
      </c>
      <c r="J764" s="15" t="s">
        <v>23</v>
      </c>
      <c r="K764" s="13">
        <f>$K$728</f>
        <v>29.28</v>
      </c>
      <c r="L764" s="13">
        <f>$L$728</f>
        <v>1999.67</v>
      </c>
      <c r="M764" s="198"/>
    </row>
    <row r="765" spans="1:13" ht="15" customHeight="1" outlineLevel="1" x14ac:dyDescent="0.25">
      <c r="A765" s="148"/>
      <c r="B765" s="148"/>
      <c r="C765" s="148"/>
      <c r="D765" s="156"/>
      <c r="E765" s="156"/>
      <c r="F765" s="50">
        <v>43466</v>
      </c>
      <c r="G765" s="50">
        <v>43646</v>
      </c>
      <c r="H765" s="168"/>
      <c r="I765" s="15" t="s">
        <v>23</v>
      </c>
      <c r="J765" s="15" t="s">
        <v>23</v>
      </c>
      <c r="K765" s="13">
        <f>$K$729</f>
        <v>28.71</v>
      </c>
      <c r="L765" s="13">
        <f>$L$729</f>
        <v>2147.2199999999998</v>
      </c>
      <c r="M765" s="196" t="s">
        <v>421</v>
      </c>
    </row>
    <row r="766" spans="1:13" ht="15" customHeight="1" outlineLevel="1" x14ac:dyDescent="0.25">
      <c r="A766" s="148"/>
      <c r="B766" s="148"/>
      <c r="C766" s="148"/>
      <c r="D766" s="156"/>
      <c r="E766" s="156"/>
      <c r="F766" s="50">
        <v>43647</v>
      </c>
      <c r="G766" s="50">
        <v>43830</v>
      </c>
      <c r="H766" s="168"/>
      <c r="I766" s="15" t="s">
        <v>23</v>
      </c>
      <c r="J766" s="15" t="s">
        <v>23</v>
      </c>
      <c r="K766" s="13">
        <f>$K$730</f>
        <v>29.28</v>
      </c>
      <c r="L766" s="13">
        <f>$L$730</f>
        <v>2190.16</v>
      </c>
      <c r="M766" s="198"/>
    </row>
    <row r="767" spans="1:13" ht="15" customHeight="1" outlineLevel="1" x14ac:dyDescent="0.25">
      <c r="A767" s="148"/>
      <c r="B767" s="148"/>
      <c r="C767" s="148"/>
      <c r="D767" s="156"/>
      <c r="E767" s="156"/>
      <c r="F767" s="50">
        <v>43466</v>
      </c>
      <c r="G767" s="50">
        <v>43646</v>
      </c>
      <c r="H767" s="168"/>
      <c r="I767" s="15" t="s">
        <v>23</v>
      </c>
      <c r="J767" s="15" t="s">
        <v>23</v>
      </c>
      <c r="K767" s="13">
        <f>$K$731</f>
        <v>28.71</v>
      </c>
      <c r="L767" s="13">
        <f>$L$731</f>
        <v>1828.03</v>
      </c>
      <c r="M767" s="196" t="s">
        <v>422</v>
      </c>
    </row>
    <row r="768" spans="1:13" ht="15" customHeight="1" outlineLevel="1" x14ac:dyDescent="0.25">
      <c r="A768" s="148"/>
      <c r="B768" s="148"/>
      <c r="C768" s="148"/>
      <c r="D768" s="156"/>
      <c r="E768" s="156"/>
      <c r="F768" s="50">
        <v>43647</v>
      </c>
      <c r="G768" s="50">
        <v>43830</v>
      </c>
      <c r="H768" s="168"/>
      <c r="I768" s="15" t="s">
        <v>23</v>
      </c>
      <c r="J768" s="15" t="s">
        <v>23</v>
      </c>
      <c r="K768" s="13">
        <f>$K$732</f>
        <v>29.28</v>
      </c>
      <c r="L768" s="13">
        <f>$L$732</f>
        <v>1864.59</v>
      </c>
      <c r="M768" s="198"/>
    </row>
    <row r="769" spans="1:13" ht="15" customHeight="1" outlineLevel="1" x14ac:dyDescent="0.25">
      <c r="A769" s="148"/>
      <c r="B769" s="148"/>
      <c r="C769" s="148"/>
      <c r="D769" s="156"/>
      <c r="E769" s="156"/>
      <c r="F769" s="50">
        <v>43466</v>
      </c>
      <c r="G769" s="50">
        <v>43646</v>
      </c>
      <c r="H769" s="168"/>
      <c r="I769" s="15" t="s">
        <v>23</v>
      </c>
      <c r="J769" s="15" t="s">
        <v>23</v>
      </c>
      <c r="K769" s="13">
        <f>$K$733</f>
        <v>28.71</v>
      </c>
      <c r="L769" s="13">
        <f>$L$733</f>
        <v>1960.5</v>
      </c>
      <c r="M769" s="196" t="s">
        <v>423</v>
      </c>
    </row>
    <row r="770" spans="1:13" ht="15" customHeight="1" outlineLevel="1" x14ac:dyDescent="0.25">
      <c r="A770" s="148"/>
      <c r="B770" s="148"/>
      <c r="C770" s="148"/>
      <c r="D770" s="156"/>
      <c r="E770" s="156"/>
      <c r="F770" s="50">
        <v>43647</v>
      </c>
      <c r="G770" s="50">
        <v>43830</v>
      </c>
      <c r="H770" s="168"/>
      <c r="I770" s="15" t="s">
        <v>23</v>
      </c>
      <c r="J770" s="15" t="s">
        <v>23</v>
      </c>
      <c r="K770" s="13">
        <f>$K$734</f>
        <v>29.28</v>
      </c>
      <c r="L770" s="13">
        <f>$L$734</f>
        <v>1999.71</v>
      </c>
      <c r="M770" s="198"/>
    </row>
    <row r="771" spans="1:13" ht="15" customHeight="1" outlineLevel="1" x14ac:dyDescent="0.25">
      <c r="A771" s="148"/>
      <c r="B771" s="148"/>
      <c r="C771" s="148"/>
      <c r="D771" s="156"/>
      <c r="E771" s="156"/>
      <c r="F771" s="50">
        <v>43466</v>
      </c>
      <c r="G771" s="50">
        <v>43646</v>
      </c>
      <c r="H771" s="168"/>
      <c r="I771" s="15" t="s">
        <v>23</v>
      </c>
      <c r="J771" s="15" t="s">
        <v>23</v>
      </c>
      <c r="K771" s="13">
        <f>$K$735</f>
        <v>28.71</v>
      </c>
      <c r="L771" s="13">
        <f>$L$735</f>
        <v>2049.61</v>
      </c>
      <c r="M771" s="196" t="s">
        <v>424</v>
      </c>
    </row>
    <row r="772" spans="1:13" ht="15" customHeight="1" outlineLevel="1" x14ac:dyDescent="0.25">
      <c r="A772" s="148"/>
      <c r="B772" s="148"/>
      <c r="C772" s="148"/>
      <c r="D772" s="156"/>
      <c r="E772" s="156"/>
      <c r="F772" s="50">
        <v>43647</v>
      </c>
      <c r="G772" s="50">
        <v>43830</v>
      </c>
      <c r="H772" s="168"/>
      <c r="I772" s="15" t="s">
        <v>23</v>
      </c>
      <c r="J772" s="15" t="s">
        <v>23</v>
      </c>
      <c r="K772" s="13">
        <f>$K$736</f>
        <v>29.28</v>
      </c>
      <c r="L772" s="13">
        <f>$L$736</f>
        <v>2090.61</v>
      </c>
      <c r="M772" s="198"/>
    </row>
    <row r="773" spans="1:13" ht="15" customHeight="1" outlineLevel="1" x14ac:dyDescent="0.25">
      <c r="A773" s="148"/>
      <c r="B773" s="148"/>
      <c r="C773" s="148"/>
      <c r="D773" s="156"/>
      <c r="E773" s="156"/>
      <c r="F773" s="50">
        <v>43466</v>
      </c>
      <c r="G773" s="50">
        <v>43646</v>
      </c>
      <c r="H773" s="168"/>
      <c r="I773" s="15" t="s">
        <v>23</v>
      </c>
      <c r="J773" s="15" t="s">
        <v>23</v>
      </c>
      <c r="K773" s="13">
        <f>$K$737</f>
        <v>28.71</v>
      </c>
      <c r="L773" s="13">
        <f>$L$737</f>
        <v>2217.62</v>
      </c>
      <c r="M773" s="196" t="s">
        <v>425</v>
      </c>
    </row>
    <row r="774" spans="1:13" ht="15" customHeight="1" outlineLevel="1" x14ac:dyDescent="0.25">
      <c r="A774" s="148"/>
      <c r="B774" s="148"/>
      <c r="C774" s="148"/>
      <c r="D774" s="156"/>
      <c r="E774" s="156"/>
      <c r="F774" s="50">
        <v>43647</v>
      </c>
      <c r="G774" s="50">
        <v>43830</v>
      </c>
      <c r="H774" s="168"/>
      <c r="I774" s="15" t="s">
        <v>23</v>
      </c>
      <c r="J774" s="15" t="s">
        <v>23</v>
      </c>
      <c r="K774" s="13">
        <f>$K$738</f>
        <v>29.28</v>
      </c>
      <c r="L774" s="13">
        <f>$L$738</f>
        <v>2261.9699999999998</v>
      </c>
      <c r="M774" s="198"/>
    </row>
    <row r="775" spans="1:13" ht="15" customHeight="1" outlineLevel="1" x14ac:dyDescent="0.25">
      <c r="A775" s="148"/>
      <c r="B775" s="148"/>
      <c r="C775" s="148"/>
      <c r="D775" s="156"/>
      <c r="E775" s="156"/>
      <c r="F775" s="50">
        <v>43466</v>
      </c>
      <c r="G775" s="50">
        <v>43646</v>
      </c>
      <c r="H775" s="168"/>
      <c r="I775" s="15" t="s">
        <v>23</v>
      </c>
      <c r="J775" s="15" t="s">
        <v>23</v>
      </c>
      <c r="K775" s="13">
        <f>$K$739</f>
        <v>28.71</v>
      </c>
      <c r="L775" s="13">
        <f>$L$739</f>
        <v>1878.81</v>
      </c>
      <c r="M775" s="196" t="s">
        <v>426</v>
      </c>
    </row>
    <row r="776" spans="1:13" ht="15" customHeight="1" outlineLevel="1" x14ac:dyDescent="0.25">
      <c r="A776" s="148"/>
      <c r="B776" s="148"/>
      <c r="C776" s="148"/>
      <c r="D776" s="156"/>
      <c r="E776" s="156"/>
      <c r="F776" s="50">
        <v>43647</v>
      </c>
      <c r="G776" s="50">
        <v>43830</v>
      </c>
      <c r="H776" s="168"/>
      <c r="I776" s="15" t="s">
        <v>23</v>
      </c>
      <c r="J776" s="15" t="s">
        <v>23</v>
      </c>
      <c r="K776" s="13">
        <f>$K$740</f>
        <v>29.28</v>
      </c>
      <c r="L776" s="13">
        <f>$L$740</f>
        <v>1916.39</v>
      </c>
      <c r="M776" s="198"/>
    </row>
    <row r="777" spans="1:13" ht="15" customHeight="1" outlineLevel="1" x14ac:dyDescent="0.25">
      <c r="A777" s="148"/>
      <c r="B777" s="148"/>
      <c r="C777" s="148"/>
      <c r="D777" s="156"/>
      <c r="E777" s="156"/>
      <c r="F777" s="50">
        <v>43466</v>
      </c>
      <c r="G777" s="50">
        <v>43646</v>
      </c>
      <c r="H777" s="168"/>
      <c r="I777" s="15" t="s">
        <v>23</v>
      </c>
      <c r="J777" s="15" t="s">
        <v>23</v>
      </c>
      <c r="K777" s="13">
        <f>$K$741</f>
        <v>28.71</v>
      </c>
      <c r="L777" s="13">
        <f>$L$741</f>
        <v>2049.61</v>
      </c>
      <c r="M777" s="196" t="s">
        <v>427</v>
      </c>
    </row>
    <row r="778" spans="1:13" ht="15" customHeight="1" outlineLevel="1" x14ac:dyDescent="0.25">
      <c r="A778" s="147"/>
      <c r="B778" s="147"/>
      <c r="C778" s="148"/>
      <c r="D778" s="156"/>
      <c r="E778" s="156"/>
      <c r="F778" s="50">
        <v>43647</v>
      </c>
      <c r="G778" s="50">
        <v>43830</v>
      </c>
      <c r="H778" s="168"/>
      <c r="I778" s="15" t="s">
        <v>23</v>
      </c>
      <c r="J778" s="15" t="s">
        <v>23</v>
      </c>
      <c r="K778" s="13">
        <f>$K$742</f>
        <v>29.28</v>
      </c>
      <c r="L778" s="13">
        <f>$L$742</f>
        <v>2090.61</v>
      </c>
      <c r="M778" s="198"/>
    </row>
    <row r="779" spans="1:13" ht="15" customHeight="1" outlineLevel="1" x14ac:dyDescent="0.25">
      <c r="A779" s="146" t="s">
        <v>243</v>
      </c>
      <c r="B779" s="146" t="s">
        <v>432</v>
      </c>
      <c r="C779" s="148"/>
      <c r="D779" s="156">
        <f>$D$725</f>
        <v>43453</v>
      </c>
      <c r="E779" s="156" t="str">
        <f>$E$725</f>
        <v>452-п</v>
      </c>
      <c r="F779" s="12">
        <v>43466</v>
      </c>
      <c r="G779" s="12">
        <v>43646</v>
      </c>
      <c r="H779" s="168"/>
      <c r="I779" s="66">
        <f>$I$725</f>
        <v>32.770000000000003</v>
      </c>
      <c r="J779" s="13">
        <f>$J$725</f>
        <v>2425.8200000000002</v>
      </c>
      <c r="K779" s="15" t="s">
        <v>23</v>
      </c>
      <c r="L779" s="15" t="s">
        <v>23</v>
      </c>
      <c r="M779" s="183"/>
    </row>
    <row r="780" spans="1:13" ht="15" customHeight="1" outlineLevel="1" x14ac:dyDescent="0.25">
      <c r="A780" s="148"/>
      <c r="B780" s="148"/>
      <c r="C780" s="148"/>
      <c r="D780" s="156"/>
      <c r="E780" s="156"/>
      <c r="F780" s="12">
        <v>43647</v>
      </c>
      <c r="G780" s="12">
        <v>43830</v>
      </c>
      <c r="H780" s="168"/>
      <c r="I780" s="66">
        <f>$I$726</f>
        <v>33.49</v>
      </c>
      <c r="J780" s="13">
        <f>$J$726</f>
        <v>2467.52</v>
      </c>
      <c r="K780" s="15" t="s">
        <v>23</v>
      </c>
      <c r="L780" s="15" t="s">
        <v>23</v>
      </c>
      <c r="M780" s="183"/>
    </row>
    <row r="781" spans="1:13" ht="15" customHeight="1" outlineLevel="1" x14ac:dyDescent="0.25">
      <c r="A781" s="148"/>
      <c r="B781" s="148"/>
      <c r="C781" s="148"/>
      <c r="D781" s="156">
        <f>$D$727</f>
        <v>43454</v>
      </c>
      <c r="E781" s="156" t="str">
        <f>E763</f>
        <v>676-п</v>
      </c>
      <c r="F781" s="50">
        <v>43466</v>
      </c>
      <c r="G781" s="50">
        <v>43646</v>
      </c>
      <c r="H781" s="168"/>
      <c r="I781" s="15" t="s">
        <v>23</v>
      </c>
      <c r="J781" s="15" t="s">
        <v>23</v>
      </c>
      <c r="K781" s="13">
        <f>$K$727</f>
        <v>28.71</v>
      </c>
      <c r="L781" s="13">
        <f>$L$727</f>
        <v>1960.5</v>
      </c>
      <c r="M781" s="196" t="s">
        <v>420</v>
      </c>
    </row>
    <row r="782" spans="1:13" ht="15" customHeight="1" outlineLevel="1" x14ac:dyDescent="0.25">
      <c r="A782" s="148"/>
      <c r="B782" s="148"/>
      <c r="C782" s="148"/>
      <c r="D782" s="156"/>
      <c r="E782" s="156"/>
      <c r="F782" s="50">
        <v>43647</v>
      </c>
      <c r="G782" s="50">
        <v>43830</v>
      </c>
      <c r="H782" s="168"/>
      <c r="I782" s="15" t="s">
        <v>23</v>
      </c>
      <c r="J782" s="15" t="s">
        <v>23</v>
      </c>
      <c r="K782" s="13">
        <f>$K$728</f>
        <v>29.28</v>
      </c>
      <c r="L782" s="13">
        <f>$L$728</f>
        <v>1999.67</v>
      </c>
      <c r="M782" s="198"/>
    </row>
    <row r="783" spans="1:13" ht="15" customHeight="1" outlineLevel="1" x14ac:dyDescent="0.25">
      <c r="A783" s="148"/>
      <c r="B783" s="148"/>
      <c r="C783" s="148"/>
      <c r="D783" s="156"/>
      <c r="E783" s="156"/>
      <c r="F783" s="50">
        <v>43466</v>
      </c>
      <c r="G783" s="50">
        <v>43646</v>
      </c>
      <c r="H783" s="168"/>
      <c r="I783" s="15" t="s">
        <v>23</v>
      </c>
      <c r="J783" s="15" t="s">
        <v>23</v>
      </c>
      <c r="K783" s="13">
        <f>$K$729</f>
        <v>28.71</v>
      </c>
      <c r="L783" s="13">
        <f>$L$729</f>
        <v>2147.2199999999998</v>
      </c>
      <c r="M783" s="196" t="s">
        <v>421</v>
      </c>
    </row>
    <row r="784" spans="1:13" ht="15" customHeight="1" outlineLevel="1" x14ac:dyDescent="0.25">
      <c r="A784" s="148"/>
      <c r="B784" s="148"/>
      <c r="C784" s="148"/>
      <c r="D784" s="156"/>
      <c r="E784" s="156"/>
      <c r="F784" s="50">
        <v>43647</v>
      </c>
      <c r="G784" s="50">
        <v>43830</v>
      </c>
      <c r="H784" s="168"/>
      <c r="I784" s="15" t="s">
        <v>23</v>
      </c>
      <c r="J784" s="15" t="s">
        <v>23</v>
      </c>
      <c r="K784" s="13">
        <f>$K$730</f>
        <v>29.28</v>
      </c>
      <c r="L784" s="13">
        <f>$L$730</f>
        <v>2190.16</v>
      </c>
      <c r="M784" s="198"/>
    </row>
    <row r="785" spans="1:13" ht="15" customHeight="1" outlineLevel="1" x14ac:dyDescent="0.25">
      <c r="A785" s="148"/>
      <c r="B785" s="148"/>
      <c r="C785" s="148"/>
      <c r="D785" s="156"/>
      <c r="E785" s="156"/>
      <c r="F785" s="50">
        <v>43466</v>
      </c>
      <c r="G785" s="50">
        <v>43646</v>
      </c>
      <c r="H785" s="168"/>
      <c r="I785" s="15" t="s">
        <v>23</v>
      </c>
      <c r="J785" s="15" t="s">
        <v>23</v>
      </c>
      <c r="K785" s="13">
        <f>$K$731</f>
        <v>28.71</v>
      </c>
      <c r="L785" s="13">
        <f>$L$731</f>
        <v>1828.03</v>
      </c>
      <c r="M785" s="196" t="s">
        <v>422</v>
      </c>
    </row>
    <row r="786" spans="1:13" ht="15" customHeight="1" outlineLevel="1" x14ac:dyDescent="0.25">
      <c r="A786" s="148"/>
      <c r="B786" s="148"/>
      <c r="C786" s="148"/>
      <c r="D786" s="156"/>
      <c r="E786" s="156"/>
      <c r="F786" s="50">
        <v>43647</v>
      </c>
      <c r="G786" s="50">
        <v>43830</v>
      </c>
      <c r="H786" s="168"/>
      <c r="I786" s="15" t="s">
        <v>23</v>
      </c>
      <c r="J786" s="15" t="s">
        <v>23</v>
      </c>
      <c r="K786" s="13">
        <f>$K$732</f>
        <v>29.28</v>
      </c>
      <c r="L786" s="13">
        <f>$L$732</f>
        <v>1864.59</v>
      </c>
      <c r="M786" s="198"/>
    </row>
    <row r="787" spans="1:13" ht="15" customHeight="1" outlineLevel="1" x14ac:dyDescent="0.25">
      <c r="A787" s="148"/>
      <c r="B787" s="148"/>
      <c r="C787" s="148"/>
      <c r="D787" s="156"/>
      <c r="E787" s="156"/>
      <c r="F787" s="50">
        <v>43466</v>
      </c>
      <c r="G787" s="50">
        <v>43646</v>
      </c>
      <c r="H787" s="168"/>
      <c r="I787" s="15" t="s">
        <v>23</v>
      </c>
      <c r="J787" s="15" t="s">
        <v>23</v>
      </c>
      <c r="K787" s="13">
        <f>$K$733</f>
        <v>28.71</v>
      </c>
      <c r="L787" s="13">
        <f>$L$733</f>
        <v>1960.5</v>
      </c>
      <c r="M787" s="196" t="s">
        <v>423</v>
      </c>
    </row>
    <row r="788" spans="1:13" ht="15" customHeight="1" outlineLevel="1" x14ac:dyDescent="0.25">
      <c r="A788" s="148"/>
      <c r="B788" s="148"/>
      <c r="C788" s="148"/>
      <c r="D788" s="156"/>
      <c r="E788" s="156"/>
      <c r="F788" s="50">
        <v>43647</v>
      </c>
      <c r="G788" s="50">
        <v>43830</v>
      </c>
      <c r="H788" s="168"/>
      <c r="I788" s="15" t="s">
        <v>23</v>
      </c>
      <c r="J788" s="15" t="s">
        <v>23</v>
      </c>
      <c r="K788" s="13">
        <f>$K$734</f>
        <v>29.28</v>
      </c>
      <c r="L788" s="13">
        <f>$L$734</f>
        <v>1999.71</v>
      </c>
      <c r="M788" s="198"/>
    </row>
    <row r="789" spans="1:13" ht="15" customHeight="1" outlineLevel="1" x14ac:dyDescent="0.25">
      <c r="A789" s="148"/>
      <c r="B789" s="148"/>
      <c r="C789" s="148"/>
      <c r="D789" s="156"/>
      <c r="E789" s="156"/>
      <c r="F789" s="50">
        <v>43466</v>
      </c>
      <c r="G789" s="50">
        <v>43646</v>
      </c>
      <c r="H789" s="168"/>
      <c r="I789" s="15" t="s">
        <v>23</v>
      </c>
      <c r="J789" s="15" t="s">
        <v>23</v>
      </c>
      <c r="K789" s="13">
        <f>$K$735</f>
        <v>28.71</v>
      </c>
      <c r="L789" s="13">
        <f>$L$735</f>
        <v>2049.61</v>
      </c>
      <c r="M789" s="196" t="s">
        <v>424</v>
      </c>
    </row>
    <row r="790" spans="1:13" ht="15" customHeight="1" outlineLevel="1" x14ac:dyDescent="0.25">
      <c r="A790" s="148"/>
      <c r="B790" s="148"/>
      <c r="C790" s="148"/>
      <c r="D790" s="156"/>
      <c r="E790" s="156"/>
      <c r="F790" s="50">
        <v>43647</v>
      </c>
      <c r="G790" s="50">
        <v>43830</v>
      </c>
      <c r="H790" s="168"/>
      <c r="I790" s="15" t="s">
        <v>23</v>
      </c>
      <c r="J790" s="15" t="s">
        <v>23</v>
      </c>
      <c r="K790" s="13">
        <f>$K$736</f>
        <v>29.28</v>
      </c>
      <c r="L790" s="13">
        <f>$L$736</f>
        <v>2090.61</v>
      </c>
      <c r="M790" s="198"/>
    </row>
    <row r="791" spans="1:13" ht="15" customHeight="1" outlineLevel="1" x14ac:dyDescent="0.25">
      <c r="A791" s="148"/>
      <c r="B791" s="148"/>
      <c r="C791" s="148"/>
      <c r="D791" s="156"/>
      <c r="E791" s="156"/>
      <c r="F791" s="50">
        <v>43466</v>
      </c>
      <c r="G791" s="50">
        <v>43646</v>
      </c>
      <c r="H791" s="168"/>
      <c r="I791" s="15" t="s">
        <v>23</v>
      </c>
      <c r="J791" s="15" t="s">
        <v>23</v>
      </c>
      <c r="K791" s="13">
        <f>$K$737</f>
        <v>28.71</v>
      </c>
      <c r="L791" s="13">
        <f>$L$737</f>
        <v>2217.62</v>
      </c>
      <c r="M791" s="196" t="s">
        <v>425</v>
      </c>
    </row>
    <row r="792" spans="1:13" ht="15" customHeight="1" outlineLevel="1" x14ac:dyDescent="0.25">
      <c r="A792" s="148"/>
      <c r="B792" s="148"/>
      <c r="C792" s="148"/>
      <c r="D792" s="156"/>
      <c r="E792" s="156"/>
      <c r="F792" s="50">
        <v>43647</v>
      </c>
      <c r="G792" s="50">
        <v>43830</v>
      </c>
      <c r="H792" s="168"/>
      <c r="I792" s="15" t="s">
        <v>23</v>
      </c>
      <c r="J792" s="15" t="s">
        <v>23</v>
      </c>
      <c r="K792" s="13">
        <f>$K$738</f>
        <v>29.28</v>
      </c>
      <c r="L792" s="13">
        <f>$L$738</f>
        <v>2261.9699999999998</v>
      </c>
      <c r="M792" s="198"/>
    </row>
    <row r="793" spans="1:13" ht="15" customHeight="1" outlineLevel="1" x14ac:dyDescent="0.25">
      <c r="A793" s="148"/>
      <c r="B793" s="148"/>
      <c r="C793" s="148"/>
      <c r="D793" s="156"/>
      <c r="E793" s="156"/>
      <c r="F793" s="50">
        <v>43466</v>
      </c>
      <c r="G793" s="50">
        <v>43646</v>
      </c>
      <c r="H793" s="168"/>
      <c r="I793" s="15" t="s">
        <v>23</v>
      </c>
      <c r="J793" s="15" t="s">
        <v>23</v>
      </c>
      <c r="K793" s="13">
        <f>$K$739</f>
        <v>28.71</v>
      </c>
      <c r="L793" s="13">
        <f>$L$739</f>
        <v>1878.81</v>
      </c>
      <c r="M793" s="196" t="s">
        <v>426</v>
      </c>
    </row>
    <row r="794" spans="1:13" ht="15" customHeight="1" outlineLevel="1" x14ac:dyDescent="0.25">
      <c r="A794" s="148"/>
      <c r="B794" s="148"/>
      <c r="C794" s="148"/>
      <c r="D794" s="156"/>
      <c r="E794" s="156"/>
      <c r="F794" s="50">
        <v>43647</v>
      </c>
      <c r="G794" s="50">
        <v>43830</v>
      </c>
      <c r="H794" s="168"/>
      <c r="I794" s="15" t="s">
        <v>23</v>
      </c>
      <c r="J794" s="15" t="s">
        <v>23</v>
      </c>
      <c r="K794" s="13">
        <f>$K$740</f>
        <v>29.28</v>
      </c>
      <c r="L794" s="13">
        <f>$L$740</f>
        <v>1916.39</v>
      </c>
      <c r="M794" s="198"/>
    </row>
    <row r="795" spans="1:13" ht="15" customHeight="1" outlineLevel="1" x14ac:dyDescent="0.25">
      <c r="A795" s="148"/>
      <c r="B795" s="148"/>
      <c r="C795" s="148"/>
      <c r="D795" s="156"/>
      <c r="E795" s="156"/>
      <c r="F795" s="50">
        <v>43466</v>
      </c>
      <c r="G795" s="50">
        <v>43646</v>
      </c>
      <c r="H795" s="168"/>
      <c r="I795" s="15" t="s">
        <v>23</v>
      </c>
      <c r="J795" s="15" t="s">
        <v>23</v>
      </c>
      <c r="K795" s="13">
        <f>$K$741</f>
        <v>28.71</v>
      </c>
      <c r="L795" s="13">
        <f>$L$741</f>
        <v>2049.61</v>
      </c>
      <c r="M795" s="196" t="s">
        <v>427</v>
      </c>
    </row>
    <row r="796" spans="1:13" ht="15" customHeight="1" outlineLevel="1" x14ac:dyDescent="0.25">
      <c r="A796" s="147"/>
      <c r="B796" s="147"/>
      <c r="C796" s="148"/>
      <c r="D796" s="156"/>
      <c r="E796" s="156"/>
      <c r="F796" s="50">
        <v>43647</v>
      </c>
      <c r="G796" s="50">
        <v>43830</v>
      </c>
      <c r="H796" s="168"/>
      <c r="I796" s="15" t="s">
        <v>23</v>
      </c>
      <c r="J796" s="15" t="s">
        <v>23</v>
      </c>
      <c r="K796" s="13">
        <f>$K$742</f>
        <v>29.28</v>
      </c>
      <c r="L796" s="13">
        <f>$L$742</f>
        <v>2090.61</v>
      </c>
      <c r="M796" s="198"/>
    </row>
    <row r="797" spans="1:13" ht="15" customHeight="1" outlineLevel="1" x14ac:dyDescent="0.25">
      <c r="A797" s="146" t="s">
        <v>243</v>
      </c>
      <c r="B797" s="146" t="s">
        <v>433</v>
      </c>
      <c r="C797" s="148"/>
      <c r="D797" s="156">
        <f>$D$725</f>
        <v>43453</v>
      </c>
      <c r="E797" s="156" t="str">
        <f>$E$725</f>
        <v>452-п</v>
      </c>
      <c r="F797" s="12">
        <v>43466</v>
      </c>
      <c r="G797" s="12">
        <v>43646</v>
      </c>
      <c r="H797" s="168"/>
      <c r="I797" s="66">
        <f>$I$725</f>
        <v>32.770000000000003</v>
      </c>
      <c r="J797" s="13">
        <f>$J$725</f>
        <v>2425.8200000000002</v>
      </c>
      <c r="K797" s="15" t="s">
        <v>23</v>
      </c>
      <c r="L797" s="15" t="s">
        <v>23</v>
      </c>
      <c r="M797" s="183"/>
    </row>
    <row r="798" spans="1:13" ht="15" customHeight="1" outlineLevel="1" x14ac:dyDescent="0.25">
      <c r="A798" s="148"/>
      <c r="B798" s="148"/>
      <c r="C798" s="148"/>
      <c r="D798" s="156"/>
      <c r="E798" s="156"/>
      <c r="F798" s="12">
        <v>43647</v>
      </c>
      <c r="G798" s="12">
        <v>43830</v>
      </c>
      <c r="H798" s="168"/>
      <c r="I798" s="66">
        <f>$I$726</f>
        <v>33.49</v>
      </c>
      <c r="J798" s="13">
        <f>$J$726</f>
        <v>2467.52</v>
      </c>
      <c r="K798" s="15" t="s">
        <v>23</v>
      </c>
      <c r="L798" s="15" t="s">
        <v>23</v>
      </c>
      <c r="M798" s="183"/>
    </row>
    <row r="799" spans="1:13" ht="15" customHeight="1" outlineLevel="1" x14ac:dyDescent="0.25">
      <c r="A799" s="148"/>
      <c r="B799" s="148"/>
      <c r="C799" s="148"/>
      <c r="D799" s="156">
        <f>$D$727</f>
        <v>43454</v>
      </c>
      <c r="E799" s="156" t="str">
        <f>E781</f>
        <v>676-п</v>
      </c>
      <c r="F799" s="50">
        <v>43466</v>
      </c>
      <c r="G799" s="50">
        <v>43646</v>
      </c>
      <c r="H799" s="168"/>
      <c r="I799" s="15" t="s">
        <v>23</v>
      </c>
      <c r="J799" s="15" t="s">
        <v>23</v>
      </c>
      <c r="K799" s="13">
        <f>$K$727</f>
        <v>28.71</v>
      </c>
      <c r="L799" s="13">
        <f>$L$727</f>
        <v>1960.5</v>
      </c>
      <c r="M799" s="196" t="s">
        <v>420</v>
      </c>
    </row>
    <row r="800" spans="1:13" ht="15" customHeight="1" outlineLevel="1" x14ac:dyDescent="0.25">
      <c r="A800" s="148"/>
      <c r="B800" s="148"/>
      <c r="C800" s="148"/>
      <c r="D800" s="156"/>
      <c r="E800" s="156"/>
      <c r="F800" s="50">
        <v>43647</v>
      </c>
      <c r="G800" s="50">
        <v>43830</v>
      </c>
      <c r="H800" s="168"/>
      <c r="I800" s="15" t="s">
        <v>23</v>
      </c>
      <c r="J800" s="15" t="s">
        <v>23</v>
      </c>
      <c r="K800" s="13">
        <f>$K$728</f>
        <v>29.28</v>
      </c>
      <c r="L800" s="13">
        <f>$L$728</f>
        <v>1999.67</v>
      </c>
      <c r="M800" s="198"/>
    </row>
    <row r="801" spans="1:13" ht="15" customHeight="1" outlineLevel="1" x14ac:dyDescent="0.25">
      <c r="A801" s="148"/>
      <c r="B801" s="148"/>
      <c r="C801" s="148"/>
      <c r="D801" s="156"/>
      <c r="E801" s="156"/>
      <c r="F801" s="50">
        <v>43466</v>
      </c>
      <c r="G801" s="50">
        <v>43646</v>
      </c>
      <c r="H801" s="168"/>
      <c r="I801" s="15" t="s">
        <v>23</v>
      </c>
      <c r="J801" s="15" t="s">
        <v>23</v>
      </c>
      <c r="K801" s="13">
        <f>$K$729</f>
        <v>28.71</v>
      </c>
      <c r="L801" s="13">
        <f>$L$729</f>
        <v>2147.2199999999998</v>
      </c>
      <c r="M801" s="196" t="s">
        <v>421</v>
      </c>
    </row>
    <row r="802" spans="1:13" ht="15" customHeight="1" outlineLevel="1" x14ac:dyDescent="0.25">
      <c r="A802" s="148"/>
      <c r="B802" s="148"/>
      <c r="C802" s="148"/>
      <c r="D802" s="156"/>
      <c r="E802" s="156"/>
      <c r="F802" s="50">
        <v>43647</v>
      </c>
      <c r="G802" s="50">
        <v>43830</v>
      </c>
      <c r="H802" s="168"/>
      <c r="I802" s="15" t="s">
        <v>23</v>
      </c>
      <c r="J802" s="15" t="s">
        <v>23</v>
      </c>
      <c r="K802" s="13">
        <f>$K$730</f>
        <v>29.28</v>
      </c>
      <c r="L802" s="13">
        <f>$L$730</f>
        <v>2190.16</v>
      </c>
      <c r="M802" s="198"/>
    </row>
    <row r="803" spans="1:13" ht="15" customHeight="1" outlineLevel="1" x14ac:dyDescent="0.25">
      <c r="A803" s="148"/>
      <c r="B803" s="148"/>
      <c r="C803" s="148"/>
      <c r="D803" s="156"/>
      <c r="E803" s="156"/>
      <c r="F803" s="50">
        <v>43466</v>
      </c>
      <c r="G803" s="50">
        <v>43646</v>
      </c>
      <c r="H803" s="168"/>
      <c r="I803" s="15" t="s">
        <v>23</v>
      </c>
      <c r="J803" s="15" t="s">
        <v>23</v>
      </c>
      <c r="K803" s="13">
        <f>$K$731</f>
        <v>28.71</v>
      </c>
      <c r="L803" s="13">
        <f>$L$731</f>
        <v>1828.03</v>
      </c>
      <c r="M803" s="196" t="s">
        <v>422</v>
      </c>
    </row>
    <row r="804" spans="1:13" ht="15" customHeight="1" outlineLevel="1" x14ac:dyDescent="0.25">
      <c r="A804" s="148"/>
      <c r="B804" s="148"/>
      <c r="C804" s="148"/>
      <c r="D804" s="156"/>
      <c r="E804" s="156"/>
      <c r="F804" s="50">
        <v>43647</v>
      </c>
      <c r="G804" s="50">
        <v>43830</v>
      </c>
      <c r="H804" s="168"/>
      <c r="I804" s="15" t="s">
        <v>23</v>
      </c>
      <c r="J804" s="15" t="s">
        <v>23</v>
      </c>
      <c r="K804" s="13">
        <f>$K$732</f>
        <v>29.28</v>
      </c>
      <c r="L804" s="13">
        <f>$L$732</f>
        <v>1864.59</v>
      </c>
      <c r="M804" s="198"/>
    </row>
    <row r="805" spans="1:13" ht="15" customHeight="1" outlineLevel="1" x14ac:dyDescent="0.25">
      <c r="A805" s="148"/>
      <c r="B805" s="148"/>
      <c r="C805" s="148"/>
      <c r="D805" s="156"/>
      <c r="E805" s="156"/>
      <c r="F805" s="50">
        <v>43466</v>
      </c>
      <c r="G805" s="50">
        <v>43646</v>
      </c>
      <c r="H805" s="168"/>
      <c r="I805" s="15" t="s">
        <v>23</v>
      </c>
      <c r="J805" s="15" t="s">
        <v>23</v>
      </c>
      <c r="K805" s="13">
        <f>$K$733</f>
        <v>28.71</v>
      </c>
      <c r="L805" s="13">
        <f>$L$733</f>
        <v>1960.5</v>
      </c>
      <c r="M805" s="196" t="s">
        <v>423</v>
      </c>
    </row>
    <row r="806" spans="1:13" ht="15" customHeight="1" outlineLevel="1" x14ac:dyDescent="0.25">
      <c r="A806" s="148"/>
      <c r="B806" s="148"/>
      <c r="C806" s="148"/>
      <c r="D806" s="156"/>
      <c r="E806" s="156"/>
      <c r="F806" s="50">
        <v>43647</v>
      </c>
      <c r="G806" s="50">
        <v>43830</v>
      </c>
      <c r="H806" s="168"/>
      <c r="I806" s="15" t="s">
        <v>23</v>
      </c>
      <c r="J806" s="15" t="s">
        <v>23</v>
      </c>
      <c r="K806" s="13">
        <f>$K$734</f>
        <v>29.28</v>
      </c>
      <c r="L806" s="13">
        <f>$L$734</f>
        <v>1999.71</v>
      </c>
      <c r="M806" s="198"/>
    </row>
    <row r="807" spans="1:13" ht="15" customHeight="1" outlineLevel="1" x14ac:dyDescent="0.25">
      <c r="A807" s="148"/>
      <c r="B807" s="148"/>
      <c r="C807" s="148"/>
      <c r="D807" s="156"/>
      <c r="E807" s="156"/>
      <c r="F807" s="50">
        <v>43466</v>
      </c>
      <c r="G807" s="50">
        <v>43646</v>
      </c>
      <c r="H807" s="168"/>
      <c r="I807" s="15" t="s">
        <v>23</v>
      </c>
      <c r="J807" s="15" t="s">
        <v>23</v>
      </c>
      <c r="K807" s="13">
        <f>$K$735</f>
        <v>28.71</v>
      </c>
      <c r="L807" s="13">
        <f>$L$735</f>
        <v>2049.61</v>
      </c>
      <c r="M807" s="196" t="s">
        <v>424</v>
      </c>
    </row>
    <row r="808" spans="1:13" ht="15" customHeight="1" outlineLevel="1" x14ac:dyDescent="0.25">
      <c r="A808" s="148"/>
      <c r="B808" s="148"/>
      <c r="C808" s="148"/>
      <c r="D808" s="156"/>
      <c r="E808" s="156"/>
      <c r="F808" s="50">
        <v>43647</v>
      </c>
      <c r="G808" s="50">
        <v>43830</v>
      </c>
      <c r="H808" s="168"/>
      <c r="I808" s="15" t="s">
        <v>23</v>
      </c>
      <c r="J808" s="15" t="s">
        <v>23</v>
      </c>
      <c r="K808" s="13">
        <f>$K$736</f>
        <v>29.28</v>
      </c>
      <c r="L808" s="13">
        <f>$L$736</f>
        <v>2090.61</v>
      </c>
      <c r="M808" s="198"/>
    </row>
    <row r="809" spans="1:13" ht="15" customHeight="1" outlineLevel="1" x14ac:dyDescent="0.25">
      <c r="A809" s="148"/>
      <c r="B809" s="148"/>
      <c r="C809" s="148"/>
      <c r="D809" s="156"/>
      <c r="E809" s="156"/>
      <c r="F809" s="50">
        <v>43466</v>
      </c>
      <c r="G809" s="50">
        <v>43646</v>
      </c>
      <c r="H809" s="168"/>
      <c r="I809" s="15" t="s">
        <v>23</v>
      </c>
      <c r="J809" s="15" t="s">
        <v>23</v>
      </c>
      <c r="K809" s="13">
        <f>$K$737</f>
        <v>28.71</v>
      </c>
      <c r="L809" s="13">
        <f>$L$737</f>
        <v>2217.62</v>
      </c>
      <c r="M809" s="196" t="s">
        <v>425</v>
      </c>
    </row>
    <row r="810" spans="1:13" ht="15" customHeight="1" outlineLevel="1" x14ac:dyDescent="0.25">
      <c r="A810" s="148"/>
      <c r="B810" s="148"/>
      <c r="C810" s="148"/>
      <c r="D810" s="156"/>
      <c r="E810" s="156"/>
      <c r="F810" s="50">
        <v>43647</v>
      </c>
      <c r="G810" s="50">
        <v>43830</v>
      </c>
      <c r="H810" s="168"/>
      <c r="I810" s="15" t="s">
        <v>23</v>
      </c>
      <c r="J810" s="15" t="s">
        <v>23</v>
      </c>
      <c r="K810" s="13">
        <f>$K$738</f>
        <v>29.28</v>
      </c>
      <c r="L810" s="13">
        <f>$L$738</f>
        <v>2261.9699999999998</v>
      </c>
      <c r="M810" s="198"/>
    </row>
    <row r="811" spans="1:13" ht="15" customHeight="1" outlineLevel="1" x14ac:dyDescent="0.25">
      <c r="A811" s="148"/>
      <c r="B811" s="148"/>
      <c r="C811" s="148"/>
      <c r="D811" s="156"/>
      <c r="E811" s="156"/>
      <c r="F811" s="50">
        <v>43466</v>
      </c>
      <c r="G811" s="50">
        <v>43646</v>
      </c>
      <c r="H811" s="168"/>
      <c r="I811" s="15" t="s">
        <v>23</v>
      </c>
      <c r="J811" s="15" t="s">
        <v>23</v>
      </c>
      <c r="K811" s="13">
        <f>$K$739</f>
        <v>28.71</v>
      </c>
      <c r="L811" s="13">
        <f>$L$739</f>
        <v>1878.81</v>
      </c>
      <c r="M811" s="196" t="s">
        <v>426</v>
      </c>
    </row>
    <row r="812" spans="1:13" ht="15" customHeight="1" outlineLevel="1" x14ac:dyDescent="0.25">
      <c r="A812" s="148"/>
      <c r="B812" s="148"/>
      <c r="C812" s="148"/>
      <c r="D812" s="156"/>
      <c r="E812" s="156"/>
      <c r="F812" s="50">
        <v>43647</v>
      </c>
      <c r="G812" s="50">
        <v>43830</v>
      </c>
      <c r="H812" s="168"/>
      <c r="I812" s="15" t="s">
        <v>23</v>
      </c>
      <c r="J812" s="15" t="s">
        <v>23</v>
      </c>
      <c r="K812" s="13">
        <f>$K$740</f>
        <v>29.28</v>
      </c>
      <c r="L812" s="13">
        <f>$L$740</f>
        <v>1916.39</v>
      </c>
      <c r="M812" s="198"/>
    </row>
    <row r="813" spans="1:13" ht="15" customHeight="1" outlineLevel="1" x14ac:dyDescent="0.25">
      <c r="A813" s="148"/>
      <c r="B813" s="148"/>
      <c r="C813" s="148"/>
      <c r="D813" s="156"/>
      <c r="E813" s="156"/>
      <c r="F813" s="50">
        <v>43466</v>
      </c>
      <c r="G813" s="50">
        <v>43646</v>
      </c>
      <c r="H813" s="168"/>
      <c r="I813" s="15" t="s">
        <v>23</v>
      </c>
      <c r="J813" s="15" t="s">
        <v>23</v>
      </c>
      <c r="K813" s="13">
        <f>$K$741</f>
        <v>28.71</v>
      </c>
      <c r="L813" s="13">
        <f>$L$741</f>
        <v>2049.61</v>
      </c>
      <c r="M813" s="196" t="s">
        <v>427</v>
      </c>
    </row>
    <row r="814" spans="1:13" ht="15" customHeight="1" outlineLevel="1" x14ac:dyDescent="0.25">
      <c r="A814" s="147"/>
      <c r="B814" s="147"/>
      <c r="C814" s="148"/>
      <c r="D814" s="156"/>
      <c r="E814" s="156"/>
      <c r="F814" s="50">
        <v>43647</v>
      </c>
      <c r="G814" s="50">
        <v>43830</v>
      </c>
      <c r="H814" s="168"/>
      <c r="I814" s="15" t="s">
        <v>23</v>
      </c>
      <c r="J814" s="15" t="s">
        <v>23</v>
      </c>
      <c r="K814" s="13">
        <f>$K$742</f>
        <v>29.28</v>
      </c>
      <c r="L814" s="13">
        <f>$L$742</f>
        <v>2090.61</v>
      </c>
      <c r="M814" s="198"/>
    </row>
    <row r="815" spans="1:13" ht="15" customHeight="1" outlineLevel="1" x14ac:dyDescent="0.25">
      <c r="A815" s="146" t="s">
        <v>243</v>
      </c>
      <c r="B815" s="146" t="s">
        <v>409</v>
      </c>
      <c r="C815" s="148"/>
      <c r="D815" s="156">
        <f>$D$725</f>
        <v>43453</v>
      </c>
      <c r="E815" s="156" t="str">
        <f>$E$725</f>
        <v>452-п</v>
      </c>
      <c r="F815" s="12">
        <v>43466</v>
      </c>
      <c r="G815" s="12">
        <v>43646</v>
      </c>
      <c r="H815" s="168"/>
      <c r="I815" s="66">
        <f>$I$725</f>
        <v>32.770000000000003</v>
      </c>
      <c r="J815" s="13">
        <f>$J$725</f>
        <v>2425.8200000000002</v>
      </c>
      <c r="K815" s="15" t="s">
        <v>23</v>
      </c>
      <c r="L815" s="15" t="s">
        <v>23</v>
      </c>
      <c r="M815" s="183"/>
    </row>
    <row r="816" spans="1:13" ht="15" customHeight="1" outlineLevel="1" x14ac:dyDescent="0.25">
      <c r="A816" s="148"/>
      <c r="B816" s="148"/>
      <c r="C816" s="148"/>
      <c r="D816" s="156"/>
      <c r="E816" s="156"/>
      <c r="F816" s="12">
        <v>43647</v>
      </c>
      <c r="G816" s="12">
        <v>43830</v>
      </c>
      <c r="H816" s="168"/>
      <c r="I816" s="66">
        <f>$I$726</f>
        <v>33.49</v>
      </c>
      <c r="J816" s="13">
        <f>$J$726</f>
        <v>2467.52</v>
      </c>
      <c r="K816" s="15" t="s">
        <v>23</v>
      </c>
      <c r="L816" s="15" t="s">
        <v>23</v>
      </c>
      <c r="M816" s="183"/>
    </row>
    <row r="817" spans="1:13" ht="15" customHeight="1" outlineLevel="1" x14ac:dyDescent="0.25">
      <c r="A817" s="148"/>
      <c r="B817" s="148"/>
      <c r="C817" s="148"/>
      <c r="D817" s="156">
        <f>$D$727</f>
        <v>43454</v>
      </c>
      <c r="E817" s="156" t="str">
        <f>E799</f>
        <v>676-п</v>
      </c>
      <c r="F817" s="50">
        <v>43466</v>
      </c>
      <c r="G817" s="50">
        <v>43646</v>
      </c>
      <c r="H817" s="168"/>
      <c r="I817" s="15" t="s">
        <v>23</v>
      </c>
      <c r="J817" s="15" t="s">
        <v>23</v>
      </c>
      <c r="K817" s="13">
        <f>$K$727</f>
        <v>28.71</v>
      </c>
      <c r="L817" s="13">
        <f>$L$727</f>
        <v>1960.5</v>
      </c>
      <c r="M817" s="196" t="s">
        <v>420</v>
      </c>
    </row>
    <row r="818" spans="1:13" ht="15" customHeight="1" outlineLevel="1" x14ac:dyDescent="0.25">
      <c r="A818" s="148"/>
      <c r="B818" s="148"/>
      <c r="C818" s="148"/>
      <c r="D818" s="156"/>
      <c r="E818" s="156"/>
      <c r="F818" s="50">
        <v>43647</v>
      </c>
      <c r="G818" s="50">
        <v>43830</v>
      </c>
      <c r="H818" s="168"/>
      <c r="I818" s="15" t="s">
        <v>23</v>
      </c>
      <c r="J818" s="15" t="s">
        <v>23</v>
      </c>
      <c r="K818" s="13">
        <f>$K$728</f>
        <v>29.28</v>
      </c>
      <c r="L818" s="13">
        <f>$L$728</f>
        <v>1999.67</v>
      </c>
      <c r="M818" s="198"/>
    </row>
    <row r="819" spans="1:13" ht="15" customHeight="1" outlineLevel="1" x14ac:dyDescent="0.25">
      <c r="A819" s="148"/>
      <c r="B819" s="148"/>
      <c r="C819" s="148"/>
      <c r="D819" s="156"/>
      <c r="E819" s="156"/>
      <c r="F819" s="50">
        <v>43466</v>
      </c>
      <c r="G819" s="50">
        <v>43646</v>
      </c>
      <c r="H819" s="168"/>
      <c r="I819" s="15" t="s">
        <v>23</v>
      </c>
      <c r="J819" s="15" t="s">
        <v>23</v>
      </c>
      <c r="K819" s="13">
        <f>$K$729</f>
        <v>28.71</v>
      </c>
      <c r="L819" s="13">
        <f>$L$729</f>
        <v>2147.2199999999998</v>
      </c>
      <c r="M819" s="196" t="s">
        <v>421</v>
      </c>
    </row>
    <row r="820" spans="1:13" ht="15" customHeight="1" outlineLevel="1" x14ac:dyDescent="0.25">
      <c r="A820" s="148"/>
      <c r="B820" s="148"/>
      <c r="C820" s="148"/>
      <c r="D820" s="156"/>
      <c r="E820" s="156"/>
      <c r="F820" s="50">
        <v>43647</v>
      </c>
      <c r="G820" s="50">
        <v>43830</v>
      </c>
      <c r="H820" s="168"/>
      <c r="I820" s="15" t="s">
        <v>23</v>
      </c>
      <c r="J820" s="15" t="s">
        <v>23</v>
      </c>
      <c r="K820" s="13">
        <f>$K$730</f>
        <v>29.28</v>
      </c>
      <c r="L820" s="13">
        <f>$L$730</f>
        <v>2190.16</v>
      </c>
      <c r="M820" s="198"/>
    </row>
    <row r="821" spans="1:13" ht="15" customHeight="1" outlineLevel="1" x14ac:dyDescent="0.25">
      <c r="A821" s="148"/>
      <c r="B821" s="148"/>
      <c r="C821" s="148"/>
      <c r="D821" s="156"/>
      <c r="E821" s="156"/>
      <c r="F821" s="50">
        <v>43466</v>
      </c>
      <c r="G821" s="50">
        <v>43646</v>
      </c>
      <c r="H821" s="168"/>
      <c r="I821" s="15" t="s">
        <v>23</v>
      </c>
      <c r="J821" s="15" t="s">
        <v>23</v>
      </c>
      <c r="K821" s="13">
        <f>$K$731</f>
        <v>28.71</v>
      </c>
      <c r="L821" s="13">
        <f>$L$731</f>
        <v>1828.03</v>
      </c>
      <c r="M821" s="196" t="s">
        <v>422</v>
      </c>
    </row>
    <row r="822" spans="1:13" ht="15" customHeight="1" outlineLevel="1" x14ac:dyDescent="0.25">
      <c r="A822" s="148"/>
      <c r="B822" s="148"/>
      <c r="C822" s="148"/>
      <c r="D822" s="156"/>
      <c r="E822" s="156"/>
      <c r="F822" s="50">
        <v>43647</v>
      </c>
      <c r="G822" s="50">
        <v>43830</v>
      </c>
      <c r="H822" s="168"/>
      <c r="I822" s="15" t="s">
        <v>23</v>
      </c>
      <c r="J822" s="15" t="s">
        <v>23</v>
      </c>
      <c r="K822" s="13">
        <f>$K$732</f>
        <v>29.28</v>
      </c>
      <c r="L822" s="13">
        <f>$L$732</f>
        <v>1864.59</v>
      </c>
      <c r="M822" s="198"/>
    </row>
    <row r="823" spans="1:13" ht="15" customHeight="1" outlineLevel="1" x14ac:dyDescent="0.25">
      <c r="A823" s="148"/>
      <c r="B823" s="148"/>
      <c r="C823" s="148"/>
      <c r="D823" s="156"/>
      <c r="E823" s="156"/>
      <c r="F823" s="50">
        <v>43466</v>
      </c>
      <c r="G823" s="50">
        <v>43646</v>
      </c>
      <c r="H823" s="168"/>
      <c r="I823" s="15" t="s">
        <v>23</v>
      </c>
      <c r="J823" s="15" t="s">
        <v>23</v>
      </c>
      <c r="K823" s="13">
        <f>$K$733</f>
        <v>28.71</v>
      </c>
      <c r="L823" s="13">
        <f>$L$733</f>
        <v>1960.5</v>
      </c>
      <c r="M823" s="196" t="s">
        <v>423</v>
      </c>
    </row>
    <row r="824" spans="1:13" ht="15" customHeight="1" outlineLevel="1" x14ac:dyDescent="0.25">
      <c r="A824" s="148"/>
      <c r="B824" s="148"/>
      <c r="C824" s="148"/>
      <c r="D824" s="156"/>
      <c r="E824" s="156"/>
      <c r="F824" s="50">
        <v>43647</v>
      </c>
      <c r="G824" s="50">
        <v>43830</v>
      </c>
      <c r="H824" s="168"/>
      <c r="I824" s="15" t="s">
        <v>23</v>
      </c>
      <c r="J824" s="15" t="s">
        <v>23</v>
      </c>
      <c r="K824" s="13">
        <f>$K$734</f>
        <v>29.28</v>
      </c>
      <c r="L824" s="13">
        <f>$L$734</f>
        <v>1999.71</v>
      </c>
      <c r="M824" s="198"/>
    </row>
    <row r="825" spans="1:13" ht="15" customHeight="1" outlineLevel="1" x14ac:dyDescent="0.25">
      <c r="A825" s="148"/>
      <c r="B825" s="148"/>
      <c r="C825" s="148"/>
      <c r="D825" s="156"/>
      <c r="E825" s="156"/>
      <c r="F825" s="50">
        <v>43466</v>
      </c>
      <c r="G825" s="50">
        <v>43646</v>
      </c>
      <c r="H825" s="168"/>
      <c r="I825" s="15" t="s">
        <v>23</v>
      </c>
      <c r="J825" s="15" t="s">
        <v>23</v>
      </c>
      <c r="K825" s="13">
        <f>$K$735</f>
        <v>28.71</v>
      </c>
      <c r="L825" s="13">
        <f>$L$735</f>
        <v>2049.61</v>
      </c>
      <c r="M825" s="196" t="s">
        <v>424</v>
      </c>
    </row>
    <row r="826" spans="1:13" ht="15" customHeight="1" outlineLevel="1" x14ac:dyDescent="0.25">
      <c r="A826" s="148"/>
      <c r="B826" s="148"/>
      <c r="C826" s="148"/>
      <c r="D826" s="156"/>
      <c r="E826" s="156"/>
      <c r="F826" s="50">
        <v>43647</v>
      </c>
      <c r="G826" s="50">
        <v>43830</v>
      </c>
      <c r="H826" s="168"/>
      <c r="I826" s="15" t="s">
        <v>23</v>
      </c>
      <c r="J826" s="15" t="s">
        <v>23</v>
      </c>
      <c r="K826" s="13">
        <f>$K$736</f>
        <v>29.28</v>
      </c>
      <c r="L826" s="13">
        <f>$L$736</f>
        <v>2090.61</v>
      </c>
      <c r="M826" s="198"/>
    </row>
    <row r="827" spans="1:13" ht="15" customHeight="1" outlineLevel="1" x14ac:dyDescent="0.25">
      <c r="A827" s="148"/>
      <c r="B827" s="148"/>
      <c r="C827" s="148"/>
      <c r="D827" s="156"/>
      <c r="E827" s="156"/>
      <c r="F827" s="50">
        <v>43466</v>
      </c>
      <c r="G827" s="50">
        <v>43646</v>
      </c>
      <c r="H827" s="168"/>
      <c r="I827" s="15" t="s">
        <v>23</v>
      </c>
      <c r="J827" s="15" t="s">
        <v>23</v>
      </c>
      <c r="K827" s="13">
        <f>$K$737</f>
        <v>28.71</v>
      </c>
      <c r="L827" s="13">
        <f>$L$737</f>
        <v>2217.62</v>
      </c>
      <c r="M827" s="196" t="s">
        <v>425</v>
      </c>
    </row>
    <row r="828" spans="1:13" ht="15" customHeight="1" outlineLevel="1" x14ac:dyDescent="0.25">
      <c r="A828" s="148"/>
      <c r="B828" s="148"/>
      <c r="C828" s="148"/>
      <c r="D828" s="156"/>
      <c r="E828" s="156"/>
      <c r="F828" s="50">
        <v>43647</v>
      </c>
      <c r="G828" s="50">
        <v>43830</v>
      </c>
      <c r="H828" s="168"/>
      <c r="I828" s="15" t="s">
        <v>23</v>
      </c>
      <c r="J828" s="15" t="s">
        <v>23</v>
      </c>
      <c r="K828" s="13">
        <f>$K$738</f>
        <v>29.28</v>
      </c>
      <c r="L828" s="13">
        <f>$L$738</f>
        <v>2261.9699999999998</v>
      </c>
      <c r="M828" s="198"/>
    </row>
    <row r="829" spans="1:13" ht="15" customHeight="1" outlineLevel="1" x14ac:dyDescent="0.25">
      <c r="A829" s="148"/>
      <c r="B829" s="148"/>
      <c r="C829" s="148"/>
      <c r="D829" s="156"/>
      <c r="E829" s="156"/>
      <c r="F829" s="50">
        <v>43466</v>
      </c>
      <c r="G829" s="50">
        <v>43646</v>
      </c>
      <c r="H829" s="168"/>
      <c r="I829" s="15" t="s">
        <v>23</v>
      </c>
      <c r="J829" s="15" t="s">
        <v>23</v>
      </c>
      <c r="K829" s="13">
        <f>$K$739</f>
        <v>28.71</v>
      </c>
      <c r="L829" s="13">
        <f>$L$739</f>
        <v>1878.81</v>
      </c>
      <c r="M829" s="196" t="s">
        <v>426</v>
      </c>
    </row>
    <row r="830" spans="1:13" ht="15" customHeight="1" outlineLevel="1" x14ac:dyDescent="0.25">
      <c r="A830" s="148"/>
      <c r="B830" s="148"/>
      <c r="C830" s="148"/>
      <c r="D830" s="156"/>
      <c r="E830" s="156"/>
      <c r="F830" s="50">
        <v>43647</v>
      </c>
      <c r="G830" s="50">
        <v>43830</v>
      </c>
      <c r="H830" s="168"/>
      <c r="I830" s="15" t="s">
        <v>23</v>
      </c>
      <c r="J830" s="15" t="s">
        <v>23</v>
      </c>
      <c r="K830" s="13">
        <f>$K$740</f>
        <v>29.28</v>
      </c>
      <c r="L830" s="13">
        <f>$L$740</f>
        <v>1916.39</v>
      </c>
      <c r="M830" s="198"/>
    </row>
    <row r="831" spans="1:13" ht="15" customHeight="1" outlineLevel="1" x14ac:dyDescent="0.25">
      <c r="A831" s="148"/>
      <c r="B831" s="148"/>
      <c r="C831" s="148"/>
      <c r="D831" s="156"/>
      <c r="E831" s="156"/>
      <c r="F831" s="50">
        <v>43466</v>
      </c>
      <c r="G831" s="50">
        <v>43646</v>
      </c>
      <c r="H831" s="168"/>
      <c r="I831" s="15" t="s">
        <v>23</v>
      </c>
      <c r="J831" s="15" t="s">
        <v>23</v>
      </c>
      <c r="K831" s="13">
        <f>$K$741</f>
        <v>28.71</v>
      </c>
      <c r="L831" s="13">
        <f>$L$741</f>
        <v>2049.61</v>
      </c>
      <c r="M831" s="196" t="s">
        <v>427</v>
      </c>
    </row>
    <row r="832" spans="1:13" ht="15" customHeight="1" outlineLevel="1" x14ac:dyDescent="0.25">
      <c r="A832" s="147"/>
      <c r="B832" s="147"/>
      <c r="C832" s="148"/>
      <c r="D832" s="156"/>
      <c r="E832" s="156"/>
      <c r="F832" s="50">
        <v>43647</v>
      </c>
      <c r="G832" s="50">
        <v>43830</v>
      </c>
      <c r="H832" s="168"/>
      <c r="I832" s="15" t="s">
        <v>23</v>
      </c>
      <c r="J832" s="15" t="s">
        <v>23</v>
      </c>
      <c r="K832" s="13">
        <f>$K$742</f>
        <v>29.28</v>
      </c>
      <c r="L832" s="13">
        <f>$L$742</f>
        <v>2090.61</v>
      </c>
      <c r="M832" s="198"/>
    </row>
    <row r="833" spans="1:13" ht="15" customHeight="1" outlineLevel="1" x14ac:dyDescent="0.25">
      <c r="A833" s="146" t="s">
        <v>243</v>
      </c>
      <c r="B833" s="146" t="s">
        <v>410</v>
      </c>
      <c r="C833" s="148"/>
      <c r="D833" s="156">
        <f>$D$725</f>
        <v>43453</v>
      </c>
      <c r="E833" s="156" t="str">
        <f>$E$725</f>
        <v>452-п</v>
      </c>
      <c r="F833" s="12">
        <v>43466</v>
      </c>
      <c r="G833" s="12">
        <v>43646</v>
      </c>
      <c r="H833" s="168"/>
      <c r="I833" s="66">
        <f>$I$725</f>
        <v>32.770000000000003</v>
      </c>
      <c r="J833" s="13">
        <f>$J$725</f>
        <v>2425.8200000000002</v>
      </c>
      <c r="K833" s="15" t="s">
        <v>23</v>
      </c>
      <c r="L833" s="15" t="s">
        <v>23</v>
      </c>
      <c r="M833" s="183"/>
    </row>
    <row r="834" spans="1:13" ht="15" customHeight="1" outlineLevel="1" x14ac:dyDescent="0.25">
      <c r="A834" s="148"/>
      <c r="B834" s="148"/>
      <c r="C834" s="148"/>
      <c r="D834" s="156"/>
      <c r="E834" s="156"/>
      <c r="F834" s="12">
        <v>43647</v>
      </c>
      <c r="G834" s="12">
        <v>43830</v>
      </c>
      <c r="H834" s="168"/>
      <c r="I834" s="66">
        <f>$I$726</f>
        <v>33.49</v>
      </c>
      <c r="J834" s="13">
        <f>$J$726</f>
        <v>2467.52</v>
      </c>
      <c r="K834" s="15" t="s">
        <v>23</v>
      </c>
      <c r="L834" s="15" t="s">
        <v>23</v>
      </c>
      <c r="M834" s="183"/>
    </row>
    <row r="835" spans="1:13" ht="15" customHeight="1" outlineLevel="1" x14ac:dyDescent="0.25">
      <c r="A835" s="148"/>
      <c r="B835" s="148"/>
      <c r="C835" s="148"/>
      <c r="D835" s="156">
        <f>$D$727</f>
        <v>43454</v>
      </c>
      <c r="E835" s="156" t="str">
        <f>E817</f>
        <v>676-п</v>
      </c>
      <c r="F835" s="50">
        <v>43466</v>
      </c>
      <c r="G835" s="50">
        <v>43646</v>
      </c>
      <c r="H835" s="168"/>
      <c r="I835" s="15" t="s">
        <v>23</v>
      </c>
      <c r="J835" s="15" t="s">
        <v>23</v>
      </c>
      <c r="K835" s="13">
        <f>$K$727</f>
        <v>28.71</v>
      </c>
      <c r="L835" s="13">
        <f>$L$727</f>
        <v>1960.5</v>
      </c>
      <c r="M835" s="196" t="s">
        <v>420</v>
      </c>
    </row>
    <row r="836" spans="1:13" ht="15" customHeight="1" outlineLevel="1" x14ac:dyDescent="0.25">
      <c r="A836" s="148"/>
      <c r="B836" s="148"/>
      <c r="C836" s="148"/>
      <c r="D836" s="156"/>
      <c r="E836" s="156"/>
      <c r="F836" s="50">
        <v>43647</v>
      </c>
      <c r="G836" s="50">
        <v>43830</v>
      </c>
      <c r="H836" s="168"/>
      <c r="I836" s="15" t="s">
        <v>23</v>
      </c>
      <c r="J836" s="15" t="s">
        <v>23</v>
      </c>
      <c r="K836" s="13">
        <f>$K$728</f>
        <v>29.28</v>
      </c>
      <c r="L836" s="13">
        <f>$L$728</f>
        <v>1999.67</v>
      </c>
      <c r="M836" s="198"/>
    </row>
    <row r="837" spans="1:13" ht="15" customHeight="1" outlineLevel="1" x14ac:dyDescent="0.25">
      <c r="A837" s="148"/>
      <c r="B837" s="148"/>
      <c r="C837" s="148"/>
      <c r="D837" s="156"/>
      <c r="E837" s="156"/>
      <c r="F837" s="50">
        <v>43466</v>
      </c>
      <c r="G837" s="50">
        <v>43646</v>
      </c>
      <c r="H837" s="168"/>
      <c r="I837" s="15" t="s">
        <v>23</v>
      </c>
      <c r="J837" s="15" t="s">
        <v>23</v>
      </c>
      <c r="K837" s="13">
        <f>$K$729</f>
        <v>28.71</v>
      </c>
      <c r="L837" s="13">
        <f>$L$729</f>
        <v>2147.2199999999998</v>
      </c>
      <c r="M837" s="196" t="s">
        <v>421</v>
      </c>
    </row>
    <row r="838" spans="1:13" ht="15" customHeight="1" outlineLevel="1" x14ac:dyDescent="0.25">
      <c r="A838" s="148"/>
      <c r="B838" s="148"/>
      <c r="C838" s="148"/>
      <c r="D838" s="156"/>
      <c r="E838" s="156"/>
      <c r="F838" s="50">
        <v>43647</v>
      </c>
      <c r="G838" s="50">
        <v>43830</v>
      </c>
      <c r="H838" s="168"/>
      <c r="I838" s="15" t="s">
        <v>23</v>
      </c>
      <c r="J838" s="15" t="s">
        <v>23</v>
      </c>
      <c r="K838" s="13">
        <f>$K$730</f>
        <v>29.28</v>
      </c>
      <c r="L838" s="13">
        <f>$L$730</f>
        <v>2190.16</v>
      </c>
      <c r="M838" s="198"/>
    </row>
    <row r="839" spans="1:13" ht="15" customHeight="1" outlineLevel="1" x14ac:dyDescent="0.25">
      <c r="A839" s="148"/>
      <c r="B839" s="148"/>
      <c r="C839" s="148"/>
      <c r="D839" s="156"/>
      <c r="E839" s="156"/>
      <c r="F839" s="50">
        <v>43466</v>
      </c>
      <c r="G839" s="50">
        <v>43646</v>
      </c>
      <c r="H839" s="168"/>
      <c r="I839" s="15" t="s">
        <v>23</v>
      </c>
      <c r="J839" s="15" t="s">
        <v>23</v>
      </c>
      <c r="K839" s="13">
        <f>$K$731</f>
        <v>28.71</v>
      </c>
      <c r="L839" s="13">
        <f>$L$731</f>
        <v>1828.03</v>
      </c>
      <c r="M839" s="196" t="s">
        <v>422</v>
      </c>
    </row>
    <row r="840" spans="1:13" ht="15" customHeight="1" outlineLevel="1" x14ac:dyDescent="0.25">
      <c r="A840" s="148"/>
      <c r="B840" s="148"/>
      <c r="C840" s="148"/>
      <c r="D840" s="156"/>
      <c r="E840" s="156"/>
      <c r="F840" s="50">
        <v>43647</v>
      </c>
      <c r="G840" s="50">
        <v>43830</v>
      </c>
      <c r="H840" s="168"/>
      <c r="I840" s="15" t="s">
        <v>23</v>
      </c>
      <c r="J840" s="15" t="s">
        <v>23</v>
      </c>
      <c r="K840" s="13">
        <f>$K$732</f>
        <v>29.28</v>
      </c>
      <c r="L840" s="13">
        <f>$L$732</f>
        <v>1864.59</v>
      </c>
      <c r="M840" s="198"/>
    </row>
    <row r="841" spans="1:13" ht="15" customHeight="1" outlineLevel="1" x14ac:dyDescent="0.25">
      <c r="A841" s="148"/>
      <c r="B841" s="148"/>
      <c r="C841" s="148"/>
      <c r="D841" s="156"/>
      <c r="E841" s="156"/>
      <c r="F841" s="50">
        <v>43466</v>
      </c>
      <c r="G841" s="50">
        <v>43646</v>
      </c>
      <c r="H841" s="168"/>
      <c r="I841" s="15" t="s">
        <v>23</v>
      </c>
      <c r="J841" s="15" t="s">
        <v>23</v>
      </c>
      <c r="K841" s="13">
        <f>$K$733</f>
        <v>28.71</v>
      </c>
      <c r="L841" s="13">
        <f>$L$733</f>
        <v>1960.5</v>
      </c>
      <c r="M841" s="196" t="s">
        <v>423</v>
      </c>
    </row>
    <row r="842" spans="1:13" ht="15" customHeight="1" outlineLevel="1" x14ac:dyDescent="0.25">
      <c r="A842" s="148"/>
      <c r="B842" s="148"/>
      <c r="C842" s="148"/>
      <c r="D842" s="156"/>
      <c r="E842" s="156"/>
      <c r="F842" s="50">
        <v>43647</v>
      </c>
      <c r="G842" s="50">
        <v>43830</v>
      </c>
      <c r="H842" s="168"/>
      <c r="I842" s="15" t="s">
        <v>23</v>
      </c>
      <c r="J842" s="15" t="s">
        <v>23</v>
      </c>
      <c r="K842" s="13">
        <f>$K$734</f>
        <v>29.28</v>
      </c>
      <c r="L842" s="13">
        <f>$L$734</f>
        <v>1999.71</v>
      </c>
      <c r="M842" s="198"/>
    </row>
    <row r="843" spans="1:13" ht="15" customHeight="1" outlineLevel="1" x14ac:dyDescent="0.25">
      <c r="A843" s="148"/>
      <c r="B843" s="148"/>
      <c r="C843" s="148"/>
      <c r="D843" s="156"/>
      <c r="E843" s="156"/>
      <c r="F843" s="50">
        <v>43466</v>
      </c>
      <c r="G843" s="50">
        <v>43646</v>
      </c>
      <c r="H843" s="168"/>
      <c r="I843" s="15" t="s">
        <v>23</v>
      </c>
      <c r="J843" s="15" t="s">
        <v>23</v>
      </c>
      <c r="K843" s="13">
        <f>$K$735</f>
        <v>28.71</v>
      </c>
      <c r="L843" s="13">
        <f>$L$735</f>
        <v>2049.61</v>
      </c>
      <c r="M843" s="196" t="s">
        <v>424</v>
      </c>
    </row>
    <row r="844" spans="1:13" ht="15" customHeight="1" outlineLevel="1" x14ac:dyDescent="0.25">
      <c r="A844" s="148"/>
      <c r="B844" s="148"/>
      <c r="C844" s="148"/>
      <c r="D844" s="156"/>
      <c r="E844" s="156"/>
      <c r="F844" s="50">
        <v>43647</v>
      </c>
      <c r="G844" s="50">
        <v>43830</v>
      </c>
      <c r="H844" s="168"/>
      <c r="I844" s="15" t="s">
        <v>23</v>
      </c>
      <c r="J844" s="15" t="s">
        <v>23</v>
      </c>
      <c r="K844" s="13">
        <f>$K$736</f>
        <v>29.28</v>
      </c>
      <c r="L844" s="13">
        <f>$L$736</f>
        <v>2090.61</v>
      </c>
      <c r="M844" s="198"/>
    </row>
    <row r="845" spans="1:13" ht="15" customHeight="1" outlineLevel="1" x14ac:dyDescent="0.25">
      <c r="A845" s="148"/>
      <c r="B845" s="148"/>
      <c r="C845" s="148"/>
      <c r="D845" s="156"/>
      <c r="E845" s="156"/>
      <c r="F845" s="50">
        <v>43466</v>
      </c>
      <c r="G845" s="50">
        <v>43646</v>
      </c>
      <c r="H845" s="168"/>
      <c r="I845" s="15" t="s">
        <v>23</v>
      </c>
      <c r="J845" s="15" t="s">
        <v>23</v>
      </c>
      <c r="K845" s="13">
        <f>$K$737</f>
        <v>28.71</v>
      </c>
      <c r="L845" s="13">
        <f>$L$737</f>
        <v>2217.62</v>
      </c>
      <c r="M845" s="196" t="s">
        <v>425</v>
      </c>
    </row>
    <row r="846" spans="1:13" ht="15" customHeight="1" outlineLevel="1" x14ac:dyDescent="0.25">
      <c r="A846" s="148"/>
      <c r="B846" s="148"/>
      <c r="C846" s="148"/>
      <c r="D846" s="156"/>
      <c r="E846" s="156"/>
      <c r="F846" s="50">
        <v>43647</v>
      </c>
      <c r="G846" s="50">
        <v>43830</v>
      </c>
      <c r="H846" s="168"/>
      <c r="I846" s="15" t="s">
        <v>23</v>
      </c>
      <c r="J846" s="15" t="s">
        <v>23</v>
      </c>
      <c r="K846" s="13">
        <f>$K$738</f>
        <v>29.28</v>
      </c>
      <c r="L846" s="13">
        <f>$L$738</f>
        <v>2261.9699999999998</v>
      </c>
      <c r="M846" s="198"/>
    </row>
    <row r="847" spans="1:13" ht="15" customHeight="1" outlineLevel="1" x14ac:dyDescent="0.25">
      <c r="A847" s="148"/>
      <c r="B847" s="148"/>
      <c r="C847" s="148"/>
      <c r="D847" s="156"/>
      <c r="E847" s="156"/>
      <c r="F847" s="50">
        <v>43466</v>
      </c>
      <c r="G847" s="50">
        <v>43646</v>
      </c>
      <c r="H847" s="168"/>
      <c r="I847" s="15" t="s">
        <v>23</v>
      </c>
      <c r="J847" s="15" t="s">
        <v>23</v>
      </c>
      <c r="K847" s="13">
        <f>$K$739</f>
        <v>28.71</v>
      </c>
      <c r="L847" s="13">
        <f>$L$739</f>
        <v>1878.81</v>
      </c>
      <c r="M847" s="196" t="s">
        <v>426</v>
      </c>
    </row>
    <row r="848" spans="1:13" ht="15" customHeight="1" outlineLevel="1" x14ac:dyDescent="0.25">
      <c r="A848" s="148"/>
      <c r="B848" s="148"/>
      <c r="C848" s="148"/>
      <c r="D848" s="156"/>
      <c r="E848" s="156"/>
      <c r="F848" s="50">
        <v>43647</v>
      </c>
      <c r="G848" s="50">
        <v>43830</v>
      </c>
      <c r="H848" s="168"/>
      <c r="I848" s="15" t="s">
        <v>23</v>
      </c>
      <c r="J848" s="15" t="s">
        <v>23</v>
      </c>
      <c r="K848" s="13">
        <f>$K$740</f>
        <v>29.28</v>
      </c>
      <c r="L848" s="13">
        <f>$L$740</f>
        <v>1916.39</v>
      </c>
      <c r="M848" s="198"/>
    </row>
    <row r="849" spans="1:13" ht="15" customHeight="1" outlineLevel="1" x14ac:dyDescent="0.25">
      <c r="A849" s="148"/>
      <c r="B849" s="148"/>
      <c r="C849" s="148"/>
      <c r="D849" s="156"/>
      <c r="E849" s="156"/>
      <c r="F849" s="50">
        <v>43466</v>
      </c>
      <c r="G849" s="50">
        <v>43646</v>
      </c>
      <c r="H849" s="168"/>
      <c r="I849" s="15" t="s">
        <v>23</v>
      </c>
      <c r="J849" s="15" t="s">
        <v>23</v>
      </c>
      <c r="K849" s="13">
        <f>$K$741</f>
        <v>28.71</v>
      </c>
      <c r="L849" s="13">
        <f>$L$741</f>
        <v>2049.61</v>
      </c>
      <c r="M849" s="196" t="s">
        <v>427</v>
      </c>
    </row>
    <row r="850" spans="1:13" ht="15" customHeight="1" outlineLevel="1" x14ac:dyDescent="0.25">
      <c r="A850" s="147"/>
      <c r="B850" s="147"/>
      <c r="C850" s="148"/>
      <c r="D850" s="156"/>
      <c r="E850" s="156"/>
      <c r="F850" s="50">
        <v>43647</v>
      </c>
      <c r="G850" s="50">
        <v>43830</v>
      </c>
      <c r="H850" s="168"/>
      <c r="I850" s="15" t="s">
        <v>23</v>
      </c>
      <c r="J850" s="15" t="s">
        <v>23</v>
      </c>
      <c r="K850" s="13">
        <f>$K$742</f>
        <v>29.28</v>
      </c>
      <c r="L850" s="13">
        <f>$L$742</f>
        <v>2090.61</v>
      </c>
      <c r="M850" s="198"/>
    </row>
    <row r="851" spans="1:13" ht="15" customHeight="1" outlineLevel="1" x14ac:dyDescent="0.25">
      <c r="A851" s="146" t="s">
        <v>243</v>
      </c>
      <c r="B851" s="146" t="s">
        <v>434</v>
      </c>
      <c r="C851" s="148"/>
      <c r="D851" s="156">
        <f>$D$725</f>
        <v>43453</v>
      </c>
      <c r="E851" s="156" t="str">
        <f>$E$725</f>
        <v>452-п</v>
      </c>
      <c r="F851" s="12">
        <v>43466</v>
      </c>
      <c r="G851" s="12">
        <v>43646</v>
      </c>
      <c r="H851" s="168"/>
      <c r="I851" s="66">
        <f>$I$725</f>
        <v>32.770000000000003</v>
      </c>
      <c r="J851" s="13">
        <f>$J$725</f>
        <v>2425.8200000000002</v>
      </c>
      <c r="K851" s="15" t="s">
        <v>23</v>
      </c>
      <c r="L851" s="15" t="s">
        <v>23</v>
      </c>
      <c r="M851" s="183"/>
    </row>
    <row r="852" spans="1:13" ht="15" customHeight="1" outlineLevel="1" x14ac:dyDescent="0.25">
      <c r="A852" s="148"/>
      <c r="B852" s="148"/>
      <c r="C852" s="148"/>
      <c r="D852" s="156"/>
      <c r="E852" s="156"/>
      <c r="F852" s="12">
        <v>43647</v>
      </c>
      <c r="G852" s="12">
        <v>43830</v>
      </c>
      <c r="H852" s="168"/>
      <c r="I852" s="66">
        <f>$I$726</f>
        <v>33.49</v>
      </c>
      <c r="J852" s="13">
        <f>$J$726</f>
        <v>2467.52</v>
      </c>
      <c r="K852" s="15" t="s">
        <v>23</v>
      </c>
      <c r="L852" s="15" t="s">
        <v>23</v>
      </c>
      <c r="M852" s="183"/>
    </row>
    <row r="853" spans="1:13" ht="15" customHeight="1" outlineLevel="1" x14ac:dyDescent="0.25">
      <c r="A853" s="148"/>
      <c r="B853" s="148"/>
      <c r="C853" s="148"/>
      <c r="D853" s="156">
        <f>$D$727</f>
        <v>43454</v>
      </c>
      <c r="E853" s="156" t="str">
        <f>E835</f>
        <v>676-п</v>
      </c>
      <c r="F853" s="50">
        <v>43466</v>
      </c>
      <c r="G853" s="50">
        <v>43646</v>
      </c>
      <c r="H853" s="168"/>
      <c r="I853" s="15" t="s">
        <v>23</v>
      </c>
      <c r="J853" s="15" t="s">
        <v>23</v>
      </c>
      <c r="K853" s="13">
        <f>$K$727</f>
        <v>28.71</v>
      </c>
      <c r="L853" s="13">
        <f>$L$727</f>
        <v>1960.5</v>
      </c>
      <c r="M853" s="196" t="s">
        <v>420</v>
      </c>
    </row>
    <row r="854" spans="1:13" ht="15" customHeight="1" outlineLevel="1" x14ac:dyDescent="0.25">
      <c r="A854" s="148"/>
      <c r="B854" s="148"/>
      <c r="C854" s="148"/>
      <c r="D854" s="156"/>
      <c r="E854" s="156"/>
      <c r="F854" s="50">
        <v>43647</v>
      </c>
      <c r="G854" s="50">
        <v>43830</v>
      </c>
      <c r="H854" s="168"/>
      <c r="I854" s="15" t="s">
        <v>23</v>
      </c>
      <c r="J854" s="15" t="s">
        <v>23</v>
      </c>
      <c r="K854" s="13">
        <f>$K$728</f>
        <v>29.28</v>
      </c>
      <c r="L854" s="13">
        <f>$L$728</f>
        <v>1999.67</v>
      </c>
      <c r="M854" s="198"/>
    </row>
    <row r="855" spans="1:13" ht="15" customHeight="1" outlineLevel="1" x14ac:dyDescent="0.25">
      <c r="A855" s="148"/>
      <c r="B855" s="148"/>
      <c r="C855" s="148"/>
      <c r="D855" s="156"/>
      <c r="E855" s="156"/>
      <c r="F855" s="50">
        <v>43466</v>
      </c>
      <c r="G855" s="50">
        <v>43646</v>
      </c>
      <c r="H855" s="168"/>
      <c r="I855" s="15" t="s">
        <v>23</v>
      </c>
      <c r="J855" s="15" t="s">
        <v>23</v>
      </c>
      <c r="K855" s="13">
        <f>$K$729</f>
        <v>28.71</v>
      </c>
      <c r="L855" s="13">
        <f>$L$729</f>
        <v>2147.2199999999998</v>
      </c>
      <c r="M855" s="196" t="s">
        <v>421</v>
      </c>
    </row>
    <row r="856" spans="1:13" ht="15" customHeight="1" outlineLevel="1" x14ac:dyDescent="0.25">
      <c r="A856" s="148"/>
      <c r="B856" s="148"/>
      <c r="C856" s="148"/>
      <c r="D856" s="156"/>
      <c r="E856" s="156"/>
      <c r="F856" s="50">
        <v>43647</v>
      </c>
      <c r="G856" s="50">
        <v>43830</v>
      </c>
      <c r="H856" s="168"/>
      <c r="I856" s="15" t="s">
        <v>23</v>
      </c>
      <c r="J856" s="15" t="s">
        <v>23</v>
      </c>
      <c r="K856" s="13">
        <f>$K$730</f>
        <v>29.28</v>
      </c>
      <c r="L856" s="13">
        <f>$L$730</f>
        <v>2190.16</v>
      </c>
      <c r="M856" s="198"/>
    </row>
    <row r="857" spans="1:13" ht="15" customHeight="1" outlineLevel="1" x14ac:dyDescent="0.25">
      <c r="A857" s="148"/>
      <c r="B857" s="148"/>
      <c r="C857" s="148"/>
      <c r="D857" s="156"/>
      <c r="E857" s="156"/>
      <c r="F857" s="50">
        <v>43466</v>
      </c>
      <c r="G857" s="50">
        <v>43646</v>
      </c>
      <c r="H857" s="168"/>
      <c r="I857" s="15" t="s">
        <v>23</v>
      </c>
      <c r="J857" s="15" t="s">
        <v>23</v>
      </c>
      <c r="K857" s="13">
        <f>$K$731</f>
        <v>28.71</v>
      </c>
      <c r="L857" s="13">
        <f>$L$731</f>
        <v>1828.03</v>
      </c>
      <c r="M857" s="196" t="s">
        <v>422</v>
      </c>
    </row>
    <row r="858" spans="1:13" ht="15" customHeight="1" outlineLevel="1" x14ac:dyDescent="0.25">
      <c r="A858" s="148"/>
      <c r="B858" s="148"/>
      <c r="C858" s="148"/>
      <c r="D858" s="156"/>
      <c r="E858" s="156"/>
      <c r="F858" s="50">
        <v>43647</v>
      </c>
      <c r="G858" s="50">
        <v>43830</v>
      </c>
      <c r="H858" s="168"/>
      <c r="I858" s="15" t="s">
        <v>23</v>
      </c>
      <c r="J858" s="15" t="s">
        <v>23</v>
      </c>
      <c r="K858" s="13">
        <f>$K$732</f>
        <v>29.28</v>
      </c>
      <c r="L858" s="13">
        <f>$L$732</f>
        <v>1864.59</v>
      </c>
      <c r="M858" s="198"/>
    </row>
    <row r="859" spans="1:13" ht="15" customHeight="1" outlineLevel="1" x14ac:dyDescent="0.25">
      <c r="A859" s="148"/>
      <c r="B859" s="148"/>
      <c r="C859" s="148"/>
      <c r="D859" s="156"/>
      <c r="E859" s="156"/>
      <c r="F859" s="50">
        <v>43466</v>
      </c>
      <c r="G859" s="50">
        <v>43646</v>
      </c>
      <c r="H859" s="168"/>
      <c r="I859" s="15" t="s">
        <v>23</v>
      </c>
      <c r="J859" s="15" t="s">
        <v>23</v>
      </c>
      <c r="K859" s="13">
        <f>$K$733</f>
        <v>28.71</v>
      </c>
      <c r="L859" s="13">
        <f>$L$733</f>
        <v>1960.5</v>
      </c>
      <c r="M859" s="196" t="s">
        <v>423</v>
      </c>
    </row>
    <row r="860" spans="1:13" ht="15" customHeight="1" outlineLevel="1" x14ac:dyDescent="0.25">
      <c r="A860" s="148"/>
      <c r="B860" s="148"/>
      <c r="C860" s="148"/>
      <c r="D860" s="156"/>
      <c r="E860" s="156"/>
      <c r="F860" s="50">
        <v>43647</v>
      </c>
      <c r="G860" s="50">
        <v>43830</v>
      </c>
      <c r="H860" s="168"/>
      <c r="I860" s="15" t="s">
        <v>23</v>
      </c>
      <c r="J860" s="15" t="s">
        <v>23</v>
      </c>
      <c r="K860" s="13">
        <f>$K$734</f>
        <v>29.28</v>
      </c>
      <c r="L860" s="13">
        <f>$L$734</f>
        <v>1999.71</v>
      </c>
      <c r="M860" s="198"/>
    </row>
    <row r="861" spans="1:13" ht="15" customHeight="1" outlineLevel="1" x14ac:dyDescent="0.25">
      <c r="A861" s="148"/>
      <c r="B861" s="148"/>
      <c r="C861" s="148"/>
      <c r="D861" s="156"/>
      <c r="E861" s="156"/>
      <c r="F861" s="50">
        <v>43466</v>
      </c>
      <c r="G861" s="50">
        <v>43646</v>
      </c>
      <c r="H861" s="168"/>
      <c r="I861" s="15" t="s">
        <v>23</v>
      </c>
      <c r="J861" s="15" t="s">
        <v>23</v>
      </c>
      <c r="K861" s="13">
        <f>$K$735</f>
        <v>28.71</v>
      </c>
      <c r="L861" s="13">
        <f>$L$735</f>
        <v>2049.61</v>
      </c>
      <c r="M861" s="196" t="s">
        <v>424</v>
      </c>
    </row>
    <row r="862" spans="1:13" ht="15" customHeight="1" outlineLevel="1" x14ac:dyDescent="0.25">
      <c r="A862" s="148"/>
      <c r="B862" s="148"/>
      <c r="C862" s="148"/>
      <c r="D862" s="156"/>
      <c r="E862" s="156"/>
      <c r="F862" s="50">
        <v>43647</v>
      </c>
      <c r="G862" s="50">
        <v>43830</v>
      </c>
      <c r="H862" s="168"/>
      <c r="I862" s="15" t="s">
        <v>23</v>
      </c>
      <c r="J862" s="15" t="s">
        <v>23</v>
      </c>
      <c r="K862" s="13">
        <f>$K$736</f>
        <v>29.28</v>
      </c>
      <c r="L862" s="13">
        <f>$L$736</f>
        <v>2090.61</v>
      </c>
      <c r="M862" s="198"/>
    </row>
    <row r="863" spans="1:13" ht="15" customHeight="1" outlineLevel="1" x14ac:dyDescent="0.25">
      <c r="A863" s="148"/>
      <c r="B863" s="148"/>
      <c r="C863" s="148"/>
      <c r="D863" s="156"/>
      <c r="E863" s="156"/>
      <c r="F863" s="50">
        <v>43466</v>
      </c>
      <c r="G863" s="50">
        <v>43646</v>
      </c>
      <c r="H863" s="168"/>
      <c r="I863" s="15" t="s">
        <v>23</v>
      </c>
      <c r="J863" s="15" t="s">
        <v>23</v>
      </c>
      <c r="K863" s="13">
        <f>$K$737</f>
        <v>28.71</v>
      </c>
      <c r="L863" s="13">
        <f>$L$737</f>
        <v>2217.62</v>
      </c>
      <c r="M863" s="196" t="s">
        <v>425</v>
      </c>
    </row>
    <row r="864" spans="1:13" ht="15" customHeight="1" outlineLevel="1" x14ac:dyDescent="0.25">
      <c r="A864" s="148"/>
      <c r="B864" s="148"/>
      <c r="C864" s="148"/>
      <c r="D864" s="156"/>
      <c r="E864" s="156"/>
      <c r="F864" s="50">
        <v>43647</v>
      </c>
      <c r="G864" s="50">
        <v>43830</v>
      </c>
      <c r="H864" s="168"/>
      <c r="I864" s="15" t="s">
        <v>23</v>
      </c>
      <c r="J864" s="15" t="s">
        <v>23</v>
      </c>
      <c r="K864" s="13">
        <f>$K$738</f>
        <v>29.28</v>
      </c>
      <c r="L864" s="13">
        <f>$L$738</f>
        <v>2261.9699999999998</v>
      </c>
      <c r="M864" s="198"/>
    </row>
    <row r="865" spans="1:13" ht="15" customHeight="1" outlineLevel="1" x14ac:dyDescent="0.25">
      <c r="A865" s="148"/>
      <c r="B865" s="148"/>
      <c r="C865" s="148"/>
      <c r="D865" s="156"/>
      <c r="E865" s="156"/>
      <c r="F865" s="50">
        <v>43466</v>
      </c>
      <c r="G865" s="50">
        <v>43646</v>
      </c>
      <c r="H865" s="168"/>
      <c r="I865" s="15" t="s">
        <v>23</v>
      </c>
      <c r="J865" s="15" t="s">
        <v>23</v>
      </c>
      <c r="K865" s="13">
        <f>$K$739</f>
        <v>28.71</v>
      </c>
      <c r="L865" s="13">
        <f>$L$739</f>
        <v>1878.81</v>
      </c>
      <c r="M865" s="196" t="s">
        <v>426</v>
      </c>
    </row>
    <row r="866" spans="1:13" ht="15" customHeight="1" outlineLevel="1" x14ac:dyDescent="0.25">
      <c r="A866" s="148"/>
      <c r="B866" s="148"/>
      <c r="C866" s="148"/>
      <c r="D866" s="156"/>
      <c r="E866" s="156"/>
      <c r="F866" s="50">
        <v>43647</v>
      </c>
      <c r="G866" s="50">
        <v>43830</v>
      </c>
      <c r="H866" s="168"/>
      <c r="I866" s="15" t="s">
        <v>23</v>
      </c>
      <c r="J866" s="15" t="s">
        <v>23</v>
      </c>
      <c r="K866" s="13">
        <f>$K$740</f>
        <v>29.28</v>
      </c>
      <c r="L866" s="13">
        <f>$L$740</f>
        <v>1916.39</v>
      </c>
      <c r="M866" s="198"/>
    </row>
    <row r="867" spans="1:13" ht="15" customHeight="1" outlineLevel="1" x14ac:dyDescent="0.25">
      <c r="A867" s="148"/>
      <c r="B867" s="148"/>
      <c r="C867" s="148"/>
      <c r="D867" s="156"/>
      <c r="E867" s="156"/>
      <c r="F867" s="50">
        <v>43466</v>
      </c>
      <c r="G867" s="50">
        <v>43646</v>
      </c>
      <c r="H867" s="168"/>
      <c r="I867" s="15" t="s">
        <v>23</v>
      </c>
      <c r="J867" s="15" t="s">
        <v>23</v>
      </c>
      <c r="K867" s="13">
        <f>$K$741</f>
        <v>28.71</v>
      </c>
      <c r="L867" s="13">
        <f>$L$741</f>
        <v>2049.61</v>
      </c>
      <c r="M867" s="196" t="s">
        <v>427</v>
      </c>
    </row>
    <row r="868" spans="1:13" ht="15" customHeight="1" outlineLevel="1" x14ac:dyDescent="0.25">
      <c r="A868" s="147"/>
      <c r="B868" s="147"/>
      <c r="C868" s="148"/>
      <c r="D868" s="156"/>
      <c r="E868" s="156"/>
      <c r="F868" s="50">
        <v>43647</v>
      </c>
      <c r="G868" s="50">
        <v>43830</v>
      </c>
      <c r="H868" s="168"/>
      <c r="I868" s="15" t="s">
        <v>23</v>
      </c>
      <c r="J868" s="15" t="s">
        <v>23</v>
      </c>
      <c r="K868" s="13">
        <f>$K$742</f>
        <v>29.28</v>
      </c>
      <c r="L868" s="13">
        <f>$L$742</f>
        <v>2090.61</v>
      </c>
      <c r="M868" s="198"/>
    </row>
    <row r="869" spans="1:13" ht="15" customHeight="1" outlineLevel="1" x14ac:dyDescent="0.25">
      <c r="A869" s="146" t="s">
        <v>243</v>
      </c>
      <c r="B869" s="146" t="s">
        <v>435</v>
      </c>
      <c r="C869" s="148"/>
      <c r="D869" s="156">
        <f>$D$725</f>
        <v>43453</v>
      </c>
      <c r="E869" s="156" t="str">
        <f>$E$725</f>
        <v>452-п</v>
      </c>
      <c r="F869" s="12">
        <v>43466</v>
      </c>
      <c r="G869" s="12">
        <v>43646</v>
      </c>
      <c r="H869" s="168"/>
      <c r="I869" s="66">
        <f>$I$725</f>
        <v>32.770000000000003</v>
      </c>
      <c r="J869" s="13">
        <f>$J$725</f>
        <v>2425.8200000000002</v>
      </c>
      <c r="K869" s="15" t="s">
        <v>23</v>
      </c>
      <c r="L869" s="15" t="s">
        <v>23</v>
      </c>
      <c r="M869" s="183"/>
    </row>
    <row r="870" spans="1:13" ht="15" customHeight="1" outlineLevel="1" x14ac:dyDescent="0.25">
      <c r="A870" s="148"/>
      <c r="B870" s="148"/>
      <c r="C870" s="148"/>
      <c r="D870" s="156"/>
      <c r="E870" s="156"/>
      <c r="F870" s="12">
        <v>43647</v>
      </c>
      <c r="G870" s="12">
        <v>43830</v>
      </c>
      <c r="H870" s="168"/>
      <c r="I870" s="66">
        <f>$I$726</f>
        <v>33.49</v>
      </c>
      <c r="J870" s="13">
        <f>$J$726</f>
        <v>2467.52</v>
      </c>
      <c r="K870" s="15" t="s">
        <v>23</v>
      </c>
      <c r="L870" s="15" t="s">
        <v>23</v>
      </c>
      <c r="M870" s="183"/>
    </row>
    <row r="871" spans="1:13" ht="15" customHeight="1" outlineLevel="1" x14ac:dyDescent="0.25">
      <c r="A871" s="148"/>
      <c r="B871" s="148"/>
      <c r="C871" s="148"/>
      <c r="D871" s="156">
        <f>$D$727</f>
        <v>43454</v>
      </c>
      <c r="E871" s="156" t="str">
        <f>E853</f>
        <v>676-п</v>
      </c>
      <c r="F871" s="50">
        <v>43466</v>
      </c>
      <c r="G871" s="50">
        <v>43646</v>
      </c>
      <c r="H871" s="168"/>
      <c r="I871" s="15" t="s">
        <v>23</v>
      </c>
      <c r="J871" s="15" t="s">
        <v>23</v>
      </c>
      <c r="K871" s="13">
        <f>$K$727</f>
        <v>28.71</v>
      </c>
      <c r="L871" s="13">
        <f>$L$727</f>
        <v>1960.5</v>
      </c>
      <c r="M871" s="196" t="s">
        <v>420</v>
      </c>
    </row>
    <row r="872" spans="1:13" ht="15" customHeight="1" outlineLevel="1" x14ac:dyDescent="0.25">
      <c r="A872" s="148"/>
      <c r="B872" s="148"/>
      <c r="C872" s="148"/>
      <c r="D872" s="156"/>
      <c r="E872" s="156"/>
      <c r="F872" s="50">
        <v>43647</v>
      </c>
      <c r="G872" s="50">
        <v>43830</v>
      </c>
      <c r="H872" s="168"/>
      <c r="I872" s="15" t="s">
        <v>23</v>
      </c>
      <c r="J872" s="15" t="s">
        <v>23</v>
      </c>
      <c r="K872" s="13">
        <f>$K$728</f>
        <v>29.28</v>
      </c>
      <c r="L872" s="13">
        <f>$L$728</f>
        <v>1999.67</v>
      </c>
      <c r="M872" s="198"/>
    </row>
    <row r="873" spans="1:13" ht="15" customHeight="1" outlineLevel="1" x14ac:dyDescent="0.25">
      <c r="A873" s="148"/>
      <c r="B873" s="148"/>
      <c r="C873" s="148"/>
      <c r="D873" s="156"/>
      <c r="E873" s="156"/>
      <c r="F873" s="50">
        <v>43466</v>
      </c>
      <c r="G873" s="50">
        <v>43646</v>
      </c>
      <c r="H873" s="168"/>
      <c r="I873" s="15" t="s">
        <v>23</v>
      </c>
      <c r="J873" s="15" t="s">
        <v>23</v>
      </c>
      <c r="K873" s="13">
        <f>$K$729</f>
        <v>28.71</v>
      </c>
      <c r="L873" s="13">
        <f>$L$729</f>
        <v>2147.2199999999998</v>
      </c>
      <c r="M873" s="196" t="s">
        <v>421</v>
      </c>
    </row>
    <row r="874" spans="1:13" ht="15" customHeight="1" outlineLevel="1" x14ac:dyDescent="0.25">
      <c r="A874" s="148"/>
      <c r="B874" s="148"/>
      <c r="C874" s="148"/>
      <c r="D874" s="156"/>
      <c r="E874" s="156"/>
      <c r="F874" s="50">
        <v>43647</v>
      </c>
      <c r="G874" s="50">
        <v>43830</v>
      </c>
      <c r="H874" s="168"/>
      <c r="I874" s="15" t="s">
        <v>23</v>
      </c>
      <c r="J874" s="15" t="s">
        <v>23</v>
      </c>
      <c r="K874" s="13">
        <f>$K$730</f>
        <v>29.28</v>
      </c>
      <c r="L874" s="13">
        <f>$L$730</f>
        <v>2190.16</v>
      </c>
      <c r="M874" s="198"/>
    </row>
    <row r="875" spans="1:13" ht="15" customHeight="1" outlineLevel="1" x14ac:dyDescent="0.25">
      <c r="A875" s="148"/>
      <c r="B875" s="148"/>
      <c r="C875" s="148"/>
      <c r="D875" s="156"/>
      <c r="E875" s="156"/>
      <c r="F875" s="50">
        <v>43466</v>
      </c>
      <c r="G875" s="50">
        <v>43646</v>
      </c>
      <c r="H875" s="168"/>
      <c r="I875" s="15" t="s">
        <v>23</v>
      </c>
      <c r="J875" s="15" t="s">
        <v>23</v>
      </c>
      <c r="K875" s="13">
        <f>$K$731</f>
        <v>28.71</v>
      </c>
      <c r="L875" s="13">
        <f>$L$731</f>
        <v>1828.03</v>
      </c>
      <c r="M875" s="196" t="s">
        <v>422</v>
      </c>
    </row>
    <row r="876" spans="1:13" ht="15" customHeight="1" outlineLevel="1" x14ac:dyDescent="0.25">
      <c r="A876" s="148"/>
      <c r="B876" s="148"/>
      <c r="C876" s="148"/>
      <c r="D876" s="156"/>
      <c r="E876" s="156"/>
      <c r="F876" s="50">
        <v>43647</v>
      </c>
      <c r="G876" s="50">
        <v>43830</v>
      </c>
      <c r="H876" s="168"/>
      <c r="I876" s="15" t="s">
        <v>23</v>
      </c>
      <c r="J876" s="15" t="s">
        <v>23</v>
      </c>
      <c r="K876" s="13">
        <f>$K$732</f>
        <v>29.28</v>
      </c>
      <c r="L876" s="13">
        <f>$L$732</f>
        <v>1864.59</v>
      </c>
      <c r="M876" s="198"/>
    </row>
    <row r="877" spans="1:13" ht="15" customHeight="1" outlineLevel="1" x14ac:dyDescent="0.25">
      <c r="A877" s="148"/>
      <c r="B877" s="148"/>
      <c r="C877" s="148"/>
      <c r="D877" s="156"/>
      <c r="E877" s="156"/>
      <c r="F877" s="50">
        <v>43466</v>
      </c>
      <c r="G877" s="50">
        <v>43646</v>
      </c>
      <c r="H877" s="168"/>
      <c r="I877" s="15" t="s">
        <v>23</v>
      </c>
      <c r="J877" s="15" t="s">
        <v>23</v>
      </c>
      <c r="K877" s="13">
        <f>$K$733</f>
        <v>28.71</v>
      </c>
      <c r="L877" s="13">
        <f>$L$733</f>
        <v>1960.5</v>
      </c>
      <c r="M877" s="196" t="s">
        <v>423</v>
      </c>
    </row>
    <row r="878" spans="1:13" ht="15" customHeight="1" outlineLevel="1" x14ac:dyDescent="0.25">
      <c r="A878" s="148"/>
      <c r="B878" s="148"/>
      <c r="C878" s="148"/>
      <c r="D878" s="156"/>
      <c r="E878" s="156"/>
      <c r="F878" s="50">
        <v>43647</v>
      </c>
      <c r="G878" s="50">
        <v>43830</v>
      </c>
      <c r="H878" s="168"/>
      <c r="I878" s="15" t="s">
        <v>23</v>
      </c>
      <c r="J878" s="15" t="s">
        <v>23</v>
      </c>
      <c r="K878" s="13">
        <f>$K$734</f>
        <v>29.28</v>
      </c>
      <c r="L878" s="13">
        <f>$L$734</f>
        <v>1999.71</v>
      </c>
      <c r="M878" s="198"/>
    </row>
    <row r="879" spans="1:13" ht="15" customHeight="1" outlineLevel="1" x14ac:dyDescent="0.25">
      <c r="A879" s="148"/>
      <c r="B879" s="148"/>
      <c r="C879" s="148"/>
      <c r="D879" s="156"/>
      <c r="E879" s="156"/>
      <c r="F879" s="50">
        <v>43466</v>
      </c>
      <c r="G879" s="50">
        <v>43646</v>
      </c>
      <c r="H879" s="168"/>
      <c r="I879" s="15" t="s">
        <v>23</v>
      </c>
      <c r="J879" s="15" t="s">
        <v>23</v>
      </c>
      <c r="K879" s="13">
        <f>$K$735</f>
        <v>28.71</v>
      </c>
      <c r="L879" s="13">
        <f>$L$735</f>
        <v>2049.61</v>
      </c>
      <c r="M879" s="196" t="s">
        <v>424</v>
      </c>
    </row>
    <row r="880" spans="1:13" ht="15" customHeight="1" outlineLevel="1" x14ac:dyDescent="0.25">
      <c r="A880" s="148"/>
      <c r="B880" s="148"/>
      <c r="C880" s="148"/>
      <c r="D880" s="156"/>
      <c r="E880" s="156"/>
      <c r="F880" s="50">
        <v>43647</v>
      </c>
      <c r="G880" s="50">
        <v>43830</v>
      </c>
      <c r="H880" s="168"/>
      <c r="I880" s="15" t="s">
        <v>23</v>
      </c>
      <c r="J880" s="15" t="s">
        <v>23</v>
      </c>
      <c r="K880" s="13">
        <f>$K$736</f>
        <v>29.28</v>
      </c>
      <c r="L880" s="13">
        <f>$L$736</f>
        <v>2090.61</v>
      </c>
      <c r="M880" s="198"/>
    </row>
    <row r="881" spans="1:13" ht="15" customHeight="1" outlineLevel="1" x14ac:dyDescent="0.25">
      <c r="A881" s="148"/>
      <c r="B881" s="148"/>
      <c r="C881" s="148"/>
      <c r="D881" s="156"/>
      <c r="E881" s="156"/>
      <c r="F881" s="50">
        <v>43466</v>
      </c>
      <c r="G881" s="50">
        <v>43646</v>
      </c>
      <c r="H881" s="168"/>
      <c r="I881" s="15" t="s">
        <v>23</v>
      </c>
      <c r="J881" s="15" t="s">
        <v>23</v>
      </c>
      <c r="K881" s="13">
        <f>$K$737</f>
        <v>28.71</v>
      </c>
      <c r="L881" s="13">
        <f>$L$737</f>
        <v>2217.62</v>
      </c>
      <c r="M881" s="196" t="s">
        <v>425</v>
      </c>
    </row>
    <row r="882" spans="1:13" ht="15" customHeight="1" outlineLevel="1" x14ac:dyDescent="0.25">
      <c r="A882" s="148"/>
      <c r="B882" s="148"/>
      <c r="C882" s="148"/>
      <c r="D882" s="156"/>
      <c r="E882" s="156"/>
      <c r="F882" s="50">
        <v>43647</v>
      </c>
      <c r="G882" s="50">
        <v>43830</v>
      </c>
      <c r="H882" s="168"/>
      <c r="I882" s="15" t="s">
        <v>23</v>
      </c>
      <c r="J882" s="15" t="s">
        <v>23</v>
      </c>
      <c r="K882" s="13">
        <f>$K$738</f>
        <v>29.28</v>
      </c>
      <c r="L882" s="13">
        <f>$L$738</f>
        <v>2261.9699999999998</v>
      </c>
      <c r="M882" s="198"/>
    </row>
    <row r="883" spans="1:13" ht="15" customHeight="1" outlineLevel="1" x14ac:dyDescent="0.25">
      <c r="A883" s="148"/>
      <c r="B883" s="148"/>
      <c r="C883" s="148"/>
      <c r="D883" s="156"/>
      <c r="E883" s="156"/>
      <c r="F883" s="50">
        <v>43466</v>
      </c>
      <c r="G883" s="50">
        <v>43646</v>
      </c>
      <c r="H883" s="168"/>
      <c r="I883" s="15" t="s">
        <v>23</v>
      </c>
      <c r="J883" s="15" t="s">
        <v>23</v>
      </c>
      <c r="K883" s="13">
        <f>$K$739</f>
        <v>28.71</v>
      </c>
      <c r="L883" s="13">
        <f>$L$739</f>
        <v>1878.81</v>
      </c>
      <c r="M883" s="196" t="s">
        <v>426</v>
      </c>
    </row>
    <row r="884" spans="1:13" ht="15" customHeight="1" outlineLevel="1" x14ac:dyDescent="0.25">
      <c r="A884" s="148"/>
      <c r="B884" s="148"/>
      <c r="C884" s="148"/>
      <c r="D884" s="156"/>
      <c r="E884" s="156"/>
      <c r="F884" s="50">
        <v>43647</v>
      </c>
      <c r="G884" s="50">
        <v>43830</v>
      </c>
      <c r="H884" s="168"/>
      <c r="I884" s="15" t="s">
        <v>23</v>
      </c>
      <c r="J884" s="15" t="s">
        <v>23</v>
      </c>
      <c r="K884" s="13">
        <f>$K$740</f>
        <v>29.28</v>
      </c>
      <c r="L884" s="13">
        <f>$L$740</f>
        <v>1916.39</v>
      </c>
      <c r="M884" s="198"/>
    </row>
    <row r="885" spans="1:13" ht="15" customHeight="1" outlineLevel="1" x14ac:dyDescent="0.25">
      <c r="A885" s="148"/>
      <c r="B885" s="148"/>
      <c r="C885" s="148"/>
      <c r="D885" s="156"/>
      <c r="E885" s="156"/>
      <c r="F885" s="50">
        <v>43466</v>
      </c>
      <c r="G885" s="50">
        <v>43646</v>
      </c>
      <c r="H885" s="168"/>
      <c r="I885" s="15" t="s">
        <v>23</v>
      </c>
      <c r="J885" s="15" t="s">
        <v>23</v>
      </c>
      <c r="K885" s="13">
        <f>$K$741</f>
        <v>28.71</v>
      </c>
      <c r="L885" s="13">
        <f>$L$741</f>
        <v>2049.61</v>
      </c>
      <c r="M885" s="196" t="s">
        <v>427</v>
      </c>
    </row>
    <row r="886" spans="1:13" ht="15" customHeight="1" outlineLevel="1" x14ac:dyDescent="0.25">
      <c r="A886" s="147"/>
      <c r="B886" s="147"/>
      <c r="C886" s="148"/>
      <c r="D886" s="156"/>
      <c r="E886" s="156"/>
      <c r="F886" s="50">
        <v>43647</v>
      </c>
      <c r="G886" s="50">
        <v>43830</v>
      </c>
      <c r="H886" s="168"/>
      <c r="I886" s="15" t="s">
        <v>23</v>
      </c>
      <c r="J886" s="15" t="s">
        <v>23</v>
      </c>
      <c r="K886" s="13">
        <f>$K$742</f>
        <v>29.28</v>
      </c>
      <c r="L886" s="13">
        <f>$L$742</f>
        <v>2090.61</v>
      </c>
      <c r="M886" s="198"/>
    </row>
    <row r="887" spans="1:13" ht="15" customHeight="1" outlineLevel="1" x14ac:dyDescent="0.25">
      <c r="A887" s="146" t="s">
        <v>243</v>
      </c>
      <c r="B887" s="146" t="s">
        <v>412</v>
      </c>
      <c r="C887" s="148"/>
      <c r="D887" s="156">
        <f>$D$725</f>
        <v>43453</v>
      </c>
      <c r="E887" s="156" t="str">
        <f>$E$725</f>
        <v>452-п</v>
      </c>
      <c r="F887" s="12">
        <v>43466</v>
      </c>
      <c r="G887" s="12">
        <v>43646</v>
      </c>
      <c r="H887" s="168"/>
      <c r="I887" s="66">
        <f>$I$725</f>
        <v>32.770000000000003</v>
      </c>
      <c r="J887" s="13">
        <f>$J$725</f>
        <v>2425.8200000000002</v>
      </c>
      <c r="K887" s="15" t="s">
        <v>23</v>
      </c>
      <c r="L887" s="15" t="s">
        <v>23</v>
      </c>
      <c r="M887" s="183"/>
    </row>
    <row r="888" spans="1:13" ht="15" customHeight="1" outlineLevel="1" x14ac:dyDescent="0.25">
      <c r="A888" s="148"/>
      <c r="B888" s="148"/>
      <c r="C888" s="148"/>
      <c r="D888" s="156"/>
      <c r="E888" s="156"/>
      <c r="F888" s="12">
        <v>43647</v>
      </c>
      <c r="G888" s="12">
        <v>43830</v>
      </c>
      <c r="H888" s="168"/>
      <c r="I888" s="66">
        <f>$I$726</f>
        <v>33.49</v>
      </c>
      <c r="J888" s="13">
        <f>$J$726</f>
        <v>2467.52</v>
      </c>
      <c r="K888" s="15" t="s">
        <v>23</v>
      </c>
      <c r="L888" s="15" t="s">
        <v>23</v>
      </c>
      <c r="M888" s="183"/>
    </row>
    <row r="889" spans="1:13" ht="15" customHeight="1" outlineLevel="1" x14ac:dyDescent="0.25">
      <c r="A889" s="148"/>
      <c r="B889" s="148"/>
      <c r="C889" s="148"/>
      <c r="D889" s="156">
        <f>$D$727</f>
        <v>43454</v>
      </c>
      <c r="E889" s="156" t="str">
        <f>E871</f>
        <v>676-п</v>
      </c>
      <c r="F889" s="50">
        <v>43466</v>
      </c>
      <c r="G889" s="50">
        <v>43646</v>
      </c>
      <c r="H889" s="168"/>
      <c r="I889" s="15" t="s">
        <v>23</v>
      </c>
      <c r="J889" s="15" t="s">
        <v>23</v>
      </c>
      <c r="K889" s="13">
        <f>$K$727</f>
        <v>28.71</v>
      </c>
      <c r="L889" s="13">
        <f>$L$727</f>
        <v>1960.5</v>
      </c>
      <c r="M889" s="196" t="s">
        <v>420</v>
      </c>
    </row>
    <row r="890" spans="1:13" ht="15" customHeight="1" outlineLevel="1" x14ac:dyDescent="0.25">
      <c r="A890" s="148"/>
      <c r="B890" s="148"/>
      <c r="C890" s="148"/>
      <c r="D890" s="156"/>
      <c r="E890" s="156"/>
      <c r="F890" s="50">
        <v>43647</v>
      </c>
      <c r="G890" s="50">
        <v>43830</v>
      </c>
      <c r="H890" s="168"/>
      <c r="I890" s="15" t="s">
        <v>23</v>
      </c>
      <c r="J890" s="15" t="s">
        <v>23</v>
      </c>
      <c r="K890" s="13">
        <f>$K$728</f>
        <v>29.28</v>
      </c>
      <c r="L890" s="13">
        <f>$L$728</f>
        <v>1999.67</v>
      </c>
      <c r="M890" s="198"/>
    </row>
    <row r="891" spans="1:13" ht="15" customHeight="1" outlineLevel="1" x14ac:dyDescent="0.25">
      <c r="A891" s="148"/>
      <c r="B891" s="148"/>
      <c r="C891" s="148"/>
      <c r="D891" s="156"/>
      <c r="E891" s="156"/>
      <c r="F891" s="50">
        <v>43466</v>
      </c>
      <c r="G891" s="50">
        <v>43646</v>
      </c>
      <c r="H891" s="168"/>
      <c r="I891" s="15" t="s">
        <v>23</v>
      </c>
      <c r="J891" s="15" t="s">
        <v>23</v>
      </c>
      <c r="K891" s="13">
        <f>$K$729</f>
        <v>28.71</v>
      </c>
      <c r="L891" s="13">
        <f>$L$729</f>
        <v>2147.2199999999998</v>
      </c>
      <c r="M891" s="196" t="s">
        <v>421</v>
      </c>
    </row>
    <row r="892" spans="1:13" ht="15" customHeight="1" outlineLevel="1" x14ac:dyDescent="0.25">
      <c r="A892" s="148"/>
      <c r="B892" s="148"/>
      <c r="C892" s="148"/>
      <c r="D892" s="156"/>
      <c r="E892" s="156"/>
      <c r="F892" s="50">
        <v>43647</v>
      </c>
      <c r="G892" s="50">
        <v>43830</v>
      </c>
      <c r="H892" s="168"/>
      <c r="I892" s="15" t="s">
        <v>23</v>
      </c>
      <c r="J892" s="15" t="s">
        <v>23</v>
      </c>
      <c r="K892" s="13">
        <f>$K$730</f>
        <v>29.28</v>
      </c>
      <c r="L892" s="13">
        <f>$L$730</f>
        <v>2190.16</v>
      </c>
      <c r="M892" s="198"/>
    </row>
    <row r="893" spans="1:13" ht="15" customHeight="1" outlineLevel="1" x14ac:dyDescent="0.25">
      <c r="A893" s="148"/>
      <c r="B893" s="148"/>
      <c r="C893" s="148"/>
      <c r="D893" s="156"/>
      <c r="E893" s="156"/>
      <c r="F893" s="50">
        <v>43466</v>
      </c>
      <c r="G893" s="50">
        <v>43646</v>
      </c>
      <c r="H893" s="168"/>
      <c r="I893" s="15" t="s">
        <v>23</v>
      </c>
      <c r="J893" s="15" t="s">
        <v>23</v>
      </c>
      <c r="K893" s="13">
        <f>$K$731</f>
        <v>28.71</v>
      </c>
      <c r="L893" s="13">
        <f>$L$731</f>
        <v>1828.03</v>
      </c>
      <c r="M893" s="196" t="s">
        <v>422</v>
      </c>
    </row>
    <row r="894" spans="1:13" ht="15" customHeight="1" outlineLevel="1" x14ac:dyDescent="0.25">
      <c r="A894" s="148"/>
      <c r="B894" s="148"/>
      <c r="C894" s="148"/>
      <c r="D894" s="156"/>
      <c r="E894" s="156"/>
      <c r="F894" s="50">
        <v>43647</v>
      </c>
      <c r="G894" s="50">
        <v>43830</v>
      </c>
      <c r="H894" s="168"/>
      <c r="I894" s="15" t="s">
        <v>23</v>
      </c>
      <c r="J894" s="15" t="s">
        <v>23</v>
      </c>
      <c r="K894" s="13">
        <f>$K$732</f>
        <v>29.28</v>
      </c>
      <c r="L894" s="13">
        <f>$L$732</f>
        <v>1864.59</v>
      </c>
      <c r="M894" s="198"/>
    </row>
    <row r="895" spans="1:13" ht="15" customHeight="1" outlineLevel="1" x14ac:dyDescent="0.25">
      <c r="A895" s="148"/>
      <c r="B895" s="148"/>
      <c r="C895" s="148"/>
      <c r="D895" s="156"/>
      <c r="E895" s="156"/>
      <c r="F895" s="50">
        <v>43466</v>
      </c>
      <c r="G895" s="50">
        <v>43646</v>
      </c>
      <c r="H895" s="168"/>
      <c r="I895" s="15" t="s">
        <v>23</v>
      </c>
      <c r="J895" s="15" t="s">
        <v>23</v>
      </c>
      <c r="K895" s="13">
        <f>$K$733</f>
        <v>28.71</v>
      </c>
      <c r="L895" s="13">
        <f>$L$733</f>
        <v>1960.5</v>
      </c>
      <c r="M895" s="196" t="s">
        <v>423</v>
      </c>
    </row>
    <row r="896" spans="1:13" ht="15" customHeight="1" outlineLevel="1" x14ac:dyDescent="0.25">
      <c r="A896" s="148"/>
      <c r="B896" s="148"/>
      <c r="C896" s="148"/>
      <c r="D896" s="156"/>
      <c r="E896" s="156"/>
      <c r="F896" s="50">
        <v>43647</v>
      </c>
      <c r="G896" s="50">
        <v>43830</v>
      </c>
      <c r="H896" s="168"/>
      <c r="I896" s="15" t="s">
        <v>23</v>
      </c>
      <c r="J896" s="15" t="s">
        <v>23</v>
      </c>
      <c r="K896" s="13">
        <f>$K$734</f>
        <v>29.28</v>
      </c>
      <c r="L896" s="13">
        <f>$L$734</f>
        <v>1999.71</v>
      </c>
      <c r="M896" s="198"/>
    </row>
    <row r="897" spans="1:13" ht="15" customHeight="1" outlineLevel="1" x14ac:dyDescent="0.25">
      <c r="A897" s="148"/>
      <c r="B897" s="148"/>
      <c r="C897" s="148"/>
      <c r="D897" s="156"/>
      <c r="E897" s="156"/>
      <c r="F897" s="50">
        <v>43466</v>
      </c>
      <c r="G897" s="50">
        <v>43646</v>
      </c>
      <c r="H897" s="168"/>
      <c r="I897" s="15" t="s">
        <v>23</v>
      </c>
      <c r="J897" s="15" t="s">
        <v>23</v>
      </c>
      <c r="K897" s="13">
        <f>$K$735</f>
        <v>28.71</v>
      </c>
      <c r="L897" s="13">
        <f>$L$735</f>
        <v>2049.61</v>
      </c>
      <c r="M897" s="196" t="s">
        <v>424</v>
      </c>
    </row>
    <row r="898" spans="1:13" ht="15" customHeight="1" outlineLevel="1" x14ac:dyDescent="0.25">
      <c r="A898" s="148"/>
      <c r="B898" s="148"/>
      <c r="C898" s="148"/>
      <c r="D898" s="156"/>
      <c r="E898" s="156"/>
      <c r="F898" s="50">
        <v>43647</v>
      </c>
      <c r="G898" s="50">
        <v>43830</v>
      </c>
      <c r="H898" s="168"/>
      <c r="I898" s="15" t="s">
        <v>23</v>
      </c>
      <c r="J898" s="15" t="s">
        <v>23</v>
      </c>
      <c r="K898" s="13">
        <f>$K$736</f>
        <v>29.28</v>
      </c>
      <c r="L898" s="13">
        <f>$L$736</f>
        <v>2090.61</v>
      </c>
      <c r="M898" s="198"/>
    </row>
    <row r="899" spans="1:13" ht="15" customHeight="1" outlineLevel="1" x14ac:dyDescent="0.25">
      <c r="A899" s="148"/>
      <c r="B899" s="148"/>
      <c r="C899" s="148"/>
      <c r="D899" s="156"/>
      <c r="E899" s="156"/>
      <c r="F899" s="50">
        <v>43466</v>
      </c>
      <c r="G899" s="50">
        <v>43646</v>
      </c>
      <c r="H899" s="168"/>
      <c r="I899" s="15" t="s">
        <v>23</v>
      </c>
      <c r="J899" s="15" t="s">
        <v>23</v>
      </c>
      <c r="K899" s="13">
        <f>$K$737</f>
        <v>28.71</v>
      </c>
      <c r="L899" s="13">
        <f>$L$737</f>
        <v>2217.62</v>
      </c>
      <c r="M899" s="196" t="s">
        <v>425</v>
      </c>
    </row>
    <row r="900" spans="1:13" ht="15" customHeight="1" outlineLevel="1" x14ac:dyDescent="0.25">
      <c r="A900" s="148"/>
      <c r="B900" s="148"/>
      <c r="C900" s="148"/>
      <c r="D900" s="156"/>
      <c r="E900" s="156"/>
      <c r="F900" s="50">
        <v>43647</v>
      </c>
      <c r="G900" s="50">
        <v>43830</v>
      </c>
      <c r="H900" s="168"/>
      <c r="I900" s="15" t="s">
        <v>23</v>
      </c>
      <c r="J900" s="15" t="s">
        <v>23</v>
      </c>
      <c r="K900" s="13">
        <f>$K$738</f>
        <v>29.28</v>
      </c>
      <c r="L900" s="13">
        <f>$L$738</f>
        <v>2261.9699999999998</v>
      </c>
      <c r="M900" s="198"/>
    </row>
    <row r="901" spans="1:13" ht="15" customHeight="1" outlineLevel="1" x14ac:dyDescent="0.25">
      <c r="A901" s="148"/>
      <c r="B901" s="148"/>
      <c r="C901" s="148"/>
      <c r="D901" s="156"/>
      <c r="E901" s="156"/>
      <c r="F901" s="50">
        <v>43466</v>
      </c>
      <c r="G901" s="50">
        <v>43646</v>
      </c>
      <c r="H901" s="168"/>
      <c r="I901" s="15" t="s">
        <v>23</v>
      </c>
      <c r="J901" s="15" t="s">
        <v>23</v>
      </c>
      <c r="K901" s="13">
        <f>$K$739</f>
        <v>28.71</v>
      </c>
      <c r="L901" s="13">
        <f>$L$739</f>
        <v>1878.81</v>
      </c>
      <c r="M901" s="196" t="s">
        <v>426</v>
      </c>
    </row>
    <row r="902" spans="1:13" ht="15" customHeight="1" outlineLevel="1" x14ac:dyDescent="0.25">
      <c r="A902" s="148"/>
      <c r="B902" s="148"/>
      <c r="C902" s="148"/>
      <c r="D902" s="156"/>
      <c r="E902" s="156"/>
      <c r="F902" s="50">
        <v>43647</v>
      </c>
      <c r="G902" s="50">
        <v>43830</v>
      </c>
      <c r="H902" s="168"/>
      <c r="I902" s="15" t="s">
        <v>23</v>
      </c>
      <c r="J902" s="15" t="s">
        <v>23</v>
      </c>
      <c r="K902" s="13">
        <f>$K$740</f>
        <v>29.28</v>
      </c>
      <c r="L902" s="13">
        <f>$L$740</f>
        <v>1916.39</v>
      </c>
      <c r="M902" s="198"/>
    </row>
    <row r="903" spans="1:13" ht="15" customHeight="1" outlineLevel="1" x14ac:dyDescent="0.25">
      <c r="A903" s="148"/>
      <c r="B903" s="148"/>
      <c r="C903" s="148"/>
      <c r="D903" s="156"/>
      <c r="E903" s="156"/>
      <c r="F903" s="50">
        <v>43466</v>
      </c>
      <c r="G903" s="50">
        <v>43646</v>
      </c>
      <c r="H903" s="168"/>
      <c r="I903" s="15" t="s">
        <v>23</v>
      </c>
      <c r="J903" s="15" t="s">
        <v>23</v>
      </c>
      <c r="K903" s="13">
        <f>$K$741</f>
        <v>28.71</v>
      </c>
      <c r="L903" s="13">
        <f>$L$741</f>
        <v>2049.61</v>
      </c>
      <c r="M903" s="196" t="s">
        <v>427</v>
      </c>
    </row>
    <row r="904" spans="1:13" ht="15" customHeight="1" outlineLevel="1" x14ac:dyDescent="0.25">
      <c r="A904" s="147"/>
      <c r="B904" s="147"/>
      <c r="C904" s="148"/>
      <c r="D904" s="156"/>
      <c r="E904" s="156"/>
      <c r="F904" s="50">
        <v>43647</v>
      </c>
      <c r="G904" s="50">
        <v>43830</v>
      </c>
      <c r="H904" s="168"/>
      <c r="I904" s="15" t="s">
        <v>23</v>
      </c>
      <c r="J904" s="15" t="s">
        <v>23</v>
      </c>
      <c r="K904" s="13">
        <f>$K$742</f>
        <v>29.28</v>
      </c>
      <c r="L904" s="13">
        <f>$L$742</f>
        <v>2090.61</v>
      </c>
      <c r="M904" s="198"/>
    </row>
    <row r="905" spans="1:13" ht="15" customHeight="1" outlineLevel="1" x14ac:dyDescent="0.25">
      <c r="A905" s="146" t="s">
        <v>243</v>
      </c>
      <c r="B905" s="146" t="s">
        <v>436</v>
      </c>
      <c r="C905" s="148"/>
      <c r="D905" s="156">
        <f>$D$725</f>
        <v>43453</v>
      </c>
      <c r="E905" s="156" t="str">
        <f>$E$725</f>
        <v>452-п</v>
      </c>
      <c r="F905" s="12">
        <v>43466</v>
      </c>
      <c r="G905" s="12">
        <v>43646</v>
      </c>
      <c r="H905" s="168"/>
      <c r="I905" s="66">
        <f>$I$725</f>
        <v>32.770000000000003</v>
      </c>
      <c r="J905" s="13">
        <f>$J$725</f>
        <v>2425.8200000000002</v>
      </c>
      <c r="K905" s="15" t="s">
        <v>23</v>
      </c>
      <c r="L905" s="15" t="s">
        <v>23</v>
      </c>
      <c r="M905" s="183"/>
    </row>
    <row r="906" spans="1:13" ht="15" customHeight="1" outlineLevel="1" x14ac:dyDescent="0.25">
      <c r="A906" s="148"/>
      <c r="B906" s="148"/>
      <c r="C906" s="148"/>
      <c r="D906" s="156"/>
      <c r="E906" s="156"/>
      <c r="F906" s="12">
        <v>43647</v>
      </c>
      <c r="G906" s="12">
        <v>43830</v>
      </c>
      <c r="H906" s="168"/>
      <c r="I906" s="66">
        <f>$I$726</f>
        <v>33.49</v>
      </c>
      <c r="J906" s="13">
        <f>$J$726</f>
        <v>2467.52</v>
      </c>
      <c r="K906" s="15" t="s">
        <v>23</v>
      </c>
      <c r="L906" s="15" t="s">
        <v>23</v>
      </c>
      <c r="M906" s="183"/>
    </row>
    <row r="907" spans="1:13" ht="15" customHeight="1" outlineLevel="1" x14ac:dyDescent="0.25">
      <c r="A907" s="148"/>
      <c r="B907" s="148"/>
      <c r="C907" s="148"/>
      <c r="D907" s="156">
        <f>$D$727</f>
        <v>43454</v>
      </c>
      <c r="E907" s="156" t="str">
        <f>E889</f>
        <v>676-п</v>
      </c>
      <c r="F907" s="50">
        <v>43466</v>
      </c>
      <c r="G907" s="50">
        <v>43646</v>
      </c>
      <c r="H907" s="168"/>
      <c r="I907" s="15" t="s">
        <v>23</v>
      </c>
      <c r="J907" s="15" t="s">
        <v>23</v>
      </c>
      <c r="K907" s="13">
        <f>$K$727</f>
        <v>28.71</v>
      </c>
      <c r="L907" s="13">
        <f>$L$727</f>
        <v>1960.5</v>
      </c>
      <c r="M907" s="196" t="s">
        <v>420</v>
      </c>
    </row>
    <row r="908" spans="1:13" ht="15" customHeight="1" outlineLevel="1" x14ac:dyDescent="0.25">
      <c r="A908" s="148"/>
      <c r="B908" s="148"/>
      <c r="C908" s="148"/>
      <c r="D908" s="156"/>
      <c r="E908" s="156"/>
      <c r="F908" s="50">
        <v>43647</v>
      </c>
      <c r="G908" s="50">
        <v>43830</v>
      </c>
      <c r="H908" s="168"/>
      <c r="I908" s="15" t="s">
        <v>23</v>
      </c>
      <c r="J908" s="15" t="s">
        <v>23</v>
      </c>
      <c r="K908" s="13">
        <f>$K$728</f>
        <v>29.28</v>
      </c>
      <c r="L908" s="13">
        <f>$L$728</f>
        <v>1999.67</v>
      </c>
      <c r="M908" s="198"/>
    </row>
    <row r="909" spans="1:13" ht="15" customHeight="1" outlineLevel="1" x14ac:dyDescent="0.25">
      <c r="A909" s="148"/>
      <c r="B909" s="148"/>
      <c r="C909" s="148"/>
      <c r="D909" s="156"/>
      <c r="E909" s="156"/>
      <c r="F909" s="50">
        <v>43466</v>
      </c>
      <c r="G909" s="50">
        <v>43646</v>
      </c>
      <c r="H909" s="168"/>
      <c r="I909" s="15" t="s">
        <v>23</v>
      </c>
      <c r="J909" s="15" t="s">
        <v>23</v>
      </c>
      <c r="K909" s="13">
        <f>$K$729</f>
        <v>28.71</v>
      </c>
      <c r="L909" s="13">
        <f>$L$729</f>
        <v>2147.2199999999998</v>
      </c>
      <c r="M909" s="196" t="s">
        <v>421</v>
      </c>
    </row>
    <row r="910" spans="1:13" ht="15" customHeight="1" outlineLevel="1" x14ac:dyDescent="0.25">
      <c r="A910" s="148"/>
      <c r="B910" s="148"/>
      <c r="C910" s="148"/>
      <c r="D910" s="156"/>
      <c r="E910" s="156"/>
      <c r="F910" s="50">
        <v>43647</v>
      </c>
      <c r="G910" s="50">
        <v>43830</v>
      </c>
      <c r="H910" s="168"/>
      <c r="I910" s="15" t="s">
        <v>23</v>
      </c>
      <c r="J910" s="15" t="s">
        <v>23</v>
      </c>
      <c r="K910" s="13">
        <f>$K$730</f>
        <v>29.28</v>
      </c>
      <c r="L910" s="13">
        <f>$L$730</f>
        <v>2190.16</v>
      </c>
      <c r="M910" s="198"/>
    </row>
    <row r="911" spans="1:13" ht="15" customHeight="1" outlineLevel="1" x14ac:dyDescent="0.25">
      <c r="A911" s="148"/>
      <c r="B911" s="148"/>
      <c r="C911" s="148"/>
      <c r="D911" s="156"/>
      <c r="E911" s="156"/>
      <c r="F911" s="50">
        <v>43466</v>
      </c>
      <c r="G911" s="50">
        <v>43646</v>
      </c>
      <c r="H911" s="168"/>
      <c r="I911" s="15" t="s">
        <v>23</v>
      </c>
      <c r="J911" s="15" t="s">
        <v>23</v>
      </c>
      <c r="K911" s="13">
        <f>$K$731</f>
        <v>28.71</v>
      </c>
      <c r="L911" s="13">
        <f>$L$731</f>
        <v>1828.03</v>
      </c>
      <c r="M911" s="196" t="s">
        <v>422</v>
      </c>
    </row>
    <row r="912" spans="1:13" ht="15" customHeight="1" outlineLevel="1" x14ac:dyDescent="0.25">
      <c r="A912" s="148"/>
      <c r="B912" s="148"/>
      <c r="C912" s="148"/>
      <c r="D912" s="156"/>
      <c r="E912" s="156"/>
      <c r="F912" s="50">
        <v>43647</v>
      </c>
      <c r="G912" s="50">
        <v>43830</v>
      </c>
      <c r="H912" s="168"/>
      <c r="I912" s="15" t="s">
        <v>23</v>
      </c>
      <c r="J912" s="15" t="s">
        <v>23</v>
      </c>
      <c r="K912" s="13">
        <f>$K$732</f>
        <v>29.28</v>
      </c>
      <c r="L912" s="13">
        <f>$L$732</f>
        <v>1864.59</v>
      </c>
      <c r="M912" s="198"/>
    </row>
    <row r="913" spans="1:13" ht="15" customHeight="1" outlineLevel="1" x14ac:dyDescent="0.25">
      <c r="A913" s="148"/>
      <c r="B913" s="148"/>
      <c r="C913" s="148"/>
      <c r="D913" s="156"/>
      <c r="E913" s="156"/>
      <c r="F913" s="50">
        <v>43466</v>
      </c>
      <c r="G913" s="50">
        <v>43646</v>
      </c>
      <c r="H913" s="168"/>
      <c r="I913" s="15" t="s">
        <v>23</v>
      </c>
      <c r="J913" s="15" t="s">
        <v>23</v>
      </c>
      <c r="K913" s="13">
        <f>$K$733</f>
        <v>28.71</v>
      </c>
      <c r="L913" s="13">
        <f>$L$733</f>
        <v>1960.5</v>
      </c>
      <c r="M913" s="196" t="s">
        <v>423</v>
      </c>
    </row>
    <row r="914" spans="1:13" ht="15" customHeight="1" outlineLevel="1" x14ac:dyDescent="0.25">
      <c r="A914" s="148"/>
      <c r="B914" s="148"/>
      <c r="C914" s="148"/>
      <c r="D914" s="156"/>
      <c r="E914" s="156"/>
      <c r="F914" s="50">
        <v>43647</v>
      </c>
      <c r="G914" s="50">
        <v>43830</v>
      </c>
      <c r="H914" s="168"/>
      <c r="I914" s="15" t="s">
        <v>23</v>
      </c>
      <c r="J914" s="15" t="s">
        <v>23</v>
      </c>
      <c r="K914" s="13">
        <f>$K$734</f>
        <v>29.28</v>
      </c>
      <c r="L914" s="13">
        <f>$L$734</f>
        <v>1999.71</v>
      </c>
      <c r="M914" s="198"/>
    </row>
    <row r="915" spans="1:13" ht="15" customHeight="1" outlineLevel="1" x14ac:dyDescent="0.25">
      <c r="A915" s="148"/>
      <c r="B915" s="148"/>
      <c r="C915" s="148"/>
      <c r="D915" s="156"/>
      <c r="E915" s="156"/>
      <c r="F915" s="50">
        <v>43466</v>
      </c>
      <c r="G915" s="50">
        <v>43646</v>
      </c>
      <c r="H915" s="168"/>
      <c r="I915" s="15" t="s">
        <v>23</v>
      </c>
      <c r="J915" s="15" t="s">
        <v>23</v>
      </c>
      <c r="K915" s="13">
        <f>$K$735</f>
        <v>28.71</v>
      </c>
      <c r="L915" s="13">
        <f>$L$735</f>
        <v>2049.61</v>
      </c>
      <c r="M915" s="196" t="s">
        <v>424</v>
      </c>
    </row>
    <row r="916" spans="1:13" ht="15" customHeight="1" outlineLevel="1" x14ac:dyDescent="0.25">
      <c r="A916" s="148"/>
      <c r="B916" s="148"/>
      <c r="C916" s="148"/>
      <c r="D916" s="156"/>
      <c r="E916" s="156"/>
      <c r="F916" s="50">
        <v>43647</v>
      </c>
      <c r="G916" s="50">
        <v>43830</v>
      </c>
      <c r="H916" s="168"/>
      <c r="I916" s="15" t="s">
        <v>23</v>
      </c>
      <c r="J916" s="15" t="s">
        <v>23</v>
      </c>
      <c r="K916" s="13">
        <f>$K$736</f>
        <v>29.28</v>
      </c>
      <c r="L916" s="13">
        <f>$L$736</f>
        <v>2090.61</v>
      </c>
      <c r="M916" s="198"/>
    </row>
    <row r="917" spans="1:13" ht="15" customHeight="1" outlineLevel="1" x14ac:dyDescent="0.25">
      <c r="A917" s="148"/>
      <c r="B917" s="148"/>
      <c r="C917" s="148"/>
      <c r="D917" s="156"/>
      <c r="E917" s="156"/>
      <c r="F917" s="50">
        <v>43466</v>
      </c>
      <c r="G917" s="50">
        <v>43646</v>
      </c>
      <c r="H917" s="168"/>
      <c r="I917" s="15" t="s">
        <v>23</v>
      </c>
      <c r="J917" s="15" t="s">
        <v>23</v>
      </c>
      <c r="K917" s="13">
        <f>$K$737</f>
        <v>28.71</v>
      </c>
      <c r="L917" s="13">
        <f>$L$737</f>
        <v>2217.62</v>
      </c>
      <c r="M917" s="196" t="s">
        <v>425</v>
      </c>
    </row>
    <row r="918" spans="1:13" ht="15" customHeight="1" outlineLevel="1" x14ac:dyDescent="0.25">
      <c r="A918" s="148"/>
      <c r="B918" s="148"/>
      <c r="C918" s="148"/>
      <c r="D918" s="156"/>
      <c r="E918" s="156"/>
      <c r="F918" s="50">
        <v>43647</v>
      </c>
      <c r="G918" s="50">
        <v>43830</v>
      </c>
      <c r="H918" s="168"/>
      <c r="I918" s="15" t="s">
        <v>23</v>
      </c>
      <c r="J918" s="15" t="s">
        <v>23</v>
      </c>
      <c r="K918" s="13">
        <f>$K$738</f>
        <v>29.28</v>
      </c>
      <c r="L918" s="13">
        <f>$L$738</f>
        <v>2261.9699999999998</v>
      </c>
      <c r="M918" s="198"/>
    </row>
    <row r="919" spans="1:13" ht="15" customHeight="1" outlineLevel="1" x14ac:dyDescent="0.25">
      <c r="A919" s="148"/>
      <c r="B919" s="148"/>
      <c r="C919" s="148"/>
      <c r="D919" s="156"/>
      <c r="E919" s="156"/>
      <c r="F919" s="50">
        <v>43466</v>
      </c>
      <c r="G919" s="50">
        <v>43646</v>
      </c>
      <c r="H919" s="168"/>
      <c r="I919" s="15" t="s">
        <v>23</v>
      </c>
      <c r="J919" s="15" t="s">
        <v>23</v>
      </c>
      <c r="K919" s="13">
        <f>$K$739</f>
        <v>28.71</v>
      </c>
      <c r="L919" s="13">
        <f>$L$739</f>
        <v>1878.81</v>
      </c>
      <c r="M919" s="196" t="s">
        <v>426</v>
      </c>
    </row>
    <row r="920" spans="1:13" ht="15" customHeight="1" outlineLevel="1" x14ac:dyDescent="0.25">
      <c r="A920" s="148"/>
      <c r="B920" s="148"/>
      <c r="C920" s="148"/>
      <c r="D920" s="156"/>
      <c r="E920" s="156"/>
      <c r="F920" s="50">
        <v>43647</v>
      </c>
      <c r="G920" s="50">
        <v>43830</v>
      </c>
      <c r="H920" s="168"/>
      <c r="I920" s="15" t="s">
        <v>23</v>
      </c>
      <c r="J920" s="15" t="s">
        <v>23</v>
      </c>
      <c r="K920" s="13">
        <f>$K$740</f>
        <v>29.28</v>
      </c>
      <c r="L920" s="13">
        <f>$L$740</f>
        <v>1916.39</v>
      </c>
      <c r="M920" s="198"/>
    </row>
    <row r="921" spans="1:13" ht="15" customHeight="1" outlineLevel="1" x14ac:dyDescent="0.25">
      <c r="A921" s="148"/>
      <c r="B921" s="148"/>
      <c r="C921" s="148"/>
      <c r="D921" s="156"/>
      <c r="E921" s="156"/>
      <c r="F921" s="50">
        <v>43466</v>
      </c>
      <c r="G921" s="50">
        <v>43646</v>
      </c>
      <c r="H921" s="168"/>
      <c r="I921" s="15" t="s">
        <v>23</v>
      </c>
      <c r="J921" s="15" t="s">
        <v>23</v>
      </c>
      <c r="K921" s="13">
        <f>$K$741</f>
        <v>28.71</v>
      </c>
      <c r="L921" s="13">
        <f>$L$741</f>
        <v>2049.61</v>
      </c>
      <c r="M921" s="196" t="s">
        <v>427</v>
      </c>
    </row>
    <row r="922" spans="1:13" ht="15" customHeight="1" outlineLevel="1" x14ac:dyDescent="0.25">
      <c r="A922" s="147"/>
      <c r="B922" s="147"/>
      <c r="C922" s="148"/>
      <c r="D922" s="156"/>
      <c r="E922" s="156"/>
      <c r="F922" s="50">
        <v>43647</v>
      </c>
      <c r="G922" s="50">
        <v>43830</v>
      </c>
      <c r="H922" s="168"/>
      <c r="I922" s="15" t="s">
        <v>23</v>
      </c>
      <c r="J922" s="15" t="s">
        <v>23</v>
      </c>
      <c r="K922" s="13">
        <f>$K$742</f>
        <v>29.28</v>
      </c>
      <c r="L922" s="13">
        <f>$L$742</f>
        <v>2090.61</v>
      </c>
      <c r="M922" s="198"/>
    </row>
    <row r="923" spans="1:13" ht="15" customHeight="1" outlineLevel="1" x14ac:dyDescent="0.25">
      <c r="A923" s="146" t="s">
        <v>243</v>
      </c>
      <c r="B923" s="146" t="s">
        <v>437</v>
      </c>
      <c r="C923" s="148"/>
      <c r="D923" s="156">
        <f>$D$725</f>
        <v>43453</v>
      </c>
      <c r="E923" s="156" t="str">
        <f>$E$725</f>
        <v>452-п</v>
      </c>
      <c r="F923" s="12">
        <v>43466</v>
      </c>
      <c r="G923" s="12">
        <v>43646</v>
      </c>
      <c r="H923" s="168"/>
      <c r="I923" s="66">
        <f>$I$725</f>
        <v>32.770000000000003</v>
      </c>
      <c r="J923" s="13">
        <f>$J$725</f>
        <v>2425.8200000000002</v>
      </c>
      <c r="K923" s="15" t="s">
        <v>23</v>
      </c>
      <c r="L923" s="15" t="s">
        <v>23</v>
      </c>
      <c r="M923" s="183"/>
    </row>
    <row r="924" spans="1:13" ht="15" customHeight="1" outlineLevel="1" x14ac:dyDescent="0.25">
      <c r="A924" s="148"/>
      <c r="B924" s="148"/>
      <c r="C924" s="148"/>
      <c r="D924" s="156"/>
      <c r="E924" s="156"/>
      <c r="F924" s="12">
        <v>43647</v>
      </c>
      <c r="G924" s="12">
        <v>43830</v>
      </c>
      <c r="H924" s="168"/>
      <c r="I924" s="66">
        <f>$I$726</f>
        <v>33.49</v>
      </c>
      <c r="J924" s="13">
        <f>$J$726</f>
        <v>2467.52</v>
      </c>
      <c r="K924" s="15" t="s">
        <v>23</v>
      </c>
      <c r="L924" s="15" t="s">
        <v>23</v>
      </c>
      <c r="M924" s="183"/>
    </row>
    <row r="925" spans="1:13" ht="15" customHeight="1" outlineLevel="1" x14ac:dyDescent="0.25">
      <c r="A925" s="148"/>
      <c r="B925" s="148"/>
      <c r="C925" s="148"/>
      <c r="D925" s="156">
        <f>$D$727</f>
        <v>43454</v>
      </c>
      <c r="E925" s="156" t="str">
        <f>E907</f>
        <v>676-п</v>
      </c>
      <c r="F925" s="50">
        <v>43466</v>
      </c>
      <c r="G925" s="50">
        <v>43646</v>
      </c>
      <c r="H925" s="168"/>
      <c r="I925" s="15" t="s">
        <v>23</v>
      </c>
      <c r="J925" s="15" t="s">
        <v>23</v>
      </c>
      <c r="K925" s="13">
        <f>$K$727</f>
        <v>28.71</v>
      </c>
      <c r="L925" s="13">
        <f>$L$727</f>
        <v>1960.5</v>
      </c>
      <c r="M925" s="196" t="s">
        <v>420</v>
      </c>
    </row>
    <row r="926" spans="1:13" ht="15" customHeight="1" outlineLevel="1" x14ac:dyDescent="0.25">
      <c r="A926" s="148"/>
      <c r="B926" s="148"/>
      <c r="C926" s="148"/>
      <c r="D926" s="156"/>
      <c r="E926" s="156"/>
      <c r="F926" s="50">
        <v>43647</v>
      </c>
      <c r="G926" s="50">
        <v>43830</v>
      </c>
      <c r="H926" s="168"/>
      <c r="I926" s="15" t="s">
        <v>23</v>
      </c>
      <c r="J926" s="15" t="s">
        <v>23</v>
      </c>
      <c r="K926" s="13">
        <f>$K$728</f>
        <v>29.28</v>
      </c>
      <c r="L926" s="13">
        <f>$L$728</f>
        <v>1999.67</v>
      </c>
      <c r="M926" s="198"/>
    </row>
    <row r="927" spans="1:13" ht="15" customHeight="1" outlineLevel="1" x14ac:dyDescent="0.25">
      <c r="A927" s="148"/>
      <c r="B927" s="148"/>
      <c r="C927" s="148"/>
      <c r="D927" s="156"/>
      <c r="E927" s="156"/>
      <c r="F927" s="50">
        <v>43466</v>
      </c>
      <c r="G927" s="50">
        <v>43646</v>
      </c>
      <c r="H927" s="168"/>
      <c r="I927" s="15" t="s">
        <v>23</v>
      </c>
      <c r="J927" s="15" t="s">
        <v>23</v>
      </c>
      <c r="K927" s="13">
        <f>$K$729</f>
        <v>28.71</v>
      </c>
      <c r="L927" s="13">
        <f>$L$729</f>
        <v>2147.2199999999998</v>
      </c>
      <c r="M927" s="196" t="s">
        <v>421</v>
      </c>
    </row>
    <row r="928" spans="1:13" ht="15" customHeight="1" outlineLevel="1" x14ac:dyDescent="0.25">
      <c r="A928" s="148"/>
      <c r="B928" s="148"/>
      <c r="C928" s="148"/>
      <c r="D928" s="156"/>
      <c r="E928" s="156"/>
      <c r="F928" s="50">
        <v>43647</v>
      </c>
      <c r="G928" s="50">
        <v>43830</v>
      </c>
      <c r="H928" s="168"/>
      <c r="I928" s="15" t="s">
        <v>23</v>
      </c>
      <c r="J928" s="15" t="s">
        <v>23</v>
      </c>
      <c r="K928" s="13">
        <f>$K$730</f>
        <v>29.28</v>
      </c>
      <c r="L928" s="13">
        <f>$L$730</f>
        <v>2190.16</v>
      </c>
      <c r="M928" s="198"/>
    </row>
    <row r="929" spans="1:13" ht="15" customHeight="1" outlineLevel="1" x14ac:dyDescent="0.25">
      <c r="A929" s="148"/>
      <c r="B929" s="148"/>
      <c r="C929" s="148"/>
      <c r="D929" s="156"/>
      <c r="E929" s="156"/>
      <c r="F929" s="50">
        <v>43466</v>
      </c>
      <c r="G929" s="50">
        <v>43646</v>
      </c>
      <c r="H929" s="168"/>
      <c r="I929" s="15" t="s">
        <v>23</v>
      </c>
      <c r="J929" s="15" t="s">
        <v>23</v>
      </c>
      <c r="K929" s="13">
        <f>$K$731</f>
        <v>28.71</v>
      </c>
      <c r="L929" s="13">
        <f>$L$731</f>
        <v>1828.03</v>
      </c>
      <c r="M929" s="196" t="s">
        <v>422</v>
      </c>
    </row>
    <row r="930" spans="1:13" ht="15" customHeight="1" outlineLevel="1" x14ac:dyDescent="0.25">
      <c r="A930" s="148"/>
      <c r="B930" s="148"/>
      <c r="C930" s="148"/>
      <c r="D930" s="156"/>
      <c r="E930" s="156"/>
      <c r="F930" s="50">
        <v>43647</v>
      </c>
      <c r="G930" s="50">
        <v>43830</v>
      </c>
      <c r="H930" s="168"/>
      <c r="I930" s="15" t="s">
        <v>23</v>
      </c>
      <c r="J930" s="15" t="s">
        <v>23</v>
      </c>
      <c r="K930" s="13">
        <f>$K$732</f>
        <v>29.28</v>
      </c>
      <c r="L930" s="13">
        <f>$L$732</f>
        <v>1864.59</v>
      </c>
      <c r="M930" s="198"/>
    </row>
    <row r="931" spans="1:13" ht="15" customHeight="1" outlineLevel="1" x14ac:dyDescent="0.25">
      <c r="A931" s="148"/>
      <c r="B931" s="148"/>
      <c r="C931" s="148"/>
      <c r="D931" s="156"/>
      <c r="E931" s="156"/>
      <c r="F931" s="50">
        <v>43466</v>
      </c>
      <c r="G931" s="50">
        <v>43646</v>
      </c>
      <c r="H931" s="168"/>
      <c r="I931" s="15" t="s">
        <v>23</v>
      </c>
      <c r="J931" s="15" t="s">
        <v>23</v>
      </c>
      <c r="K931" s="13">
        <f>$K$733</f>
        <v>28.71</v>
      </c>
      <c r="L931" s="13">
        <f>$L$733</f>
        <v>1960.5</v>
      </c>
      <c r="M931" s="196" t="s">
        <v>423</v>
      </c>
    </row>
    <row r="932" spans="1:13" ht="15" customHeight="1" outlineLevel="1" x14ac:dyDescent="0.25">
      <c r="A932" s="148"/>
      <c r="B932" s="148"/>
      <c r="C932" s="148"/>
      <c r="D932" s="156"/>
      <c r="E932" s="156"/>
      <c r="F932" s="50">
        <v>43647</v>
      </c>
      <c r="G932" s="50">
        <v>43830</v>
      </c>
      <c r="H932" s="168"/>
      <c r="I932" s="15" t="s">
        <v>23</v>
      </c>
      <c r="J932" s="15" t="s">
        <v>23</v>
      </c>
      <c r="K932" s="13">
        <f>$K$734</f>
        <v>29.28</v>
      </c>
      <c r="L932" s="13">
        <f>$L$734</f>
        <v>1999.71</v>
      </c>
      <c r="M932" s="198"/>
    </row>
    <row r="933" spans="1:13" ht="15" customHeight="1" outlineLevel="1" x14ac:dyDescent="0.25">
      <c r="A933" s="148"/>
      <c r="B933" s="148"/>
      <c r="C933" s="148"/>
      <c r="D933" s="156"/>
      <c r="E933" s="156"/>
      <c r="F933" s="50">
        <v>43466</v>
      </c>
      <c r="G933" s="50">
        <v>43646</v>
      </c>
      <c r="H933" s="168"/>
      <c r="I933" s="15" t="s">
        <v>23</v>
      </c>
      <c r="J933" s="15" t="s">
        <v>23</v>
      </c>
      <c r="K933" s="13">
        <f>$K$735</f>
        <v>28.71</v>
      </c>
      <c r="L933" s="13">
        <f>$L$735</f>
        <v>2049.61</v>
      </c>
      <c r="M933" s="196" t="s">
        <v>424</v>
      </c>
    </row>
    <row r="934" spans="1:13" ht="15" customHeight="1" outlineLevel="1" x14ac:dyDescent="0.25">
      <c r="A934" s="148"/>
      <c r="B934" s="148"/>
      <c r="C934" s="148"/>
      <c r="D934" s="156"/>
      <c r="E934" s="156"/>
      <c r="F934" s="50">
        <v>43647</v>
      </c>
      <c r="G934" s="50">
        <v>43830</v>
      </c>
      <c r="H934" s="168"/>
      <c r="I934" s="15" t="s">
        <v>23</v>
      </c>
      <c r="J934" s="15" t="s">
        <v>23</v>
      </c>
      <c r="K934" s="13">
        <f>$K$736</f>
        <v>29.28</v>
      </c>
      <c r="L934" s="13">
        <f>$L$736</f>
        <v>2090.61</v>
      </c>
      <c r="M934" s="198"/>
    </row>
    <row r="935" spans="1:13" ht="15" customHeight="1" outlineLevel="1" x14ac:dyDescent="0.25">
      <c r="A935" s="148"/>
      <c r="B935" s="148"/>
      <c r="C935" s="148"/>
      <c r="D935" s="156"/>
      <c r="E935" s="156"/>
      <c r="F935" s="50">
        <v>43466</v>
      </c>
      <c r="G935" s="50">
        <v>43646</v>
      </c>
      <c r="H935" s="168"/>
      <c r="I935" s="15" t="s">
        <v>23</v>
      </c>
      <c r="J935" s="15" t="s">
        <v>23</v>
      </c>
      <c r="K935" s="13">
        <f>$K$737</f>
        <v>28.71</v>
      </c>
      <c r="L935" s="13">
        <f>$L$737</f>
        <v>2217.62</v>
      </c>
      <c r="M935" s="196" t="s">
        <v>425</v>
      </c>
    </row>
    <row r="936" spans="1:13" ht="15" customHeight="1" outlineLevel="1" x14ac:dyDescent="0.25">
      <c r="A936" s="148"/>
      <c r="B936" s="148"/>
      <c r="C936" s="148"/>
      <c r="D936" s="156"/>
      <c r="E936" s="156"/>
      <c r="F936" s="50">
        <v>43647</v>
      </c>
      <c r="G936" s="50">
        <v>43830</v>
      </c>
      <c r="H936" s="168"/>
      <c r="I936" s="15" t="s">
        <v>23</v>
      </c>
      <c r="J936" s="15" t="s">
        <v>23</v>
      </c>
      <c r="K936" s="13">
        <f>$K$738</f>
        <v>29.28</v>
      </c>
      <c r="L936" s="13">
        <f>$L$738</f>
        <v>2261.9699999999998</v>
      </c>
      <c r="M936" s="198"/>
    </row>
    <row r="937" spans="1:13" ht="15" customHeight="1" outlineLevel="1" x14ac:dyDescent="0.25">
      <c r="A937" s="148"/>
      <c r="B937" s="148"/>
      <c r="C937" s="148"/>
      <c r="D937" s="156"/>
      <c r="E937" s="156"/>
      <c r="F937" s="50">
        <v>43466</v>
      </c>
      <c r="G937" s="50">
        <v>43646</v>
      </c>
      <c r="H937" s="168"/>
      <c r="I937" s="15" t="s">
        <v>23</v>
      </c>
      <c r="J937" s="15" t="s">
        <v>23</v>
      </c>
      <c r="K937" s="13">
        <f>$K$739</f>
        <v>28.71</v>
      </c>
      <c r="L937" s="13">
        <f>$L$739</f>
        <v>1878.81</v>
      </c>
      <c r="M937" s="196" t="s">
        <v>426</v>
      </c>
    </row>
    <row r="938" spans="1:13" ht="15" customHeight="1" outlineLevel="1" x14ac:dyDescent="0.25">
      <c r="A938" s="148"/>
      <c r="B938" s="148"/>
      <c r="C938" s="148"/>
      <c r="D938" s="156"/>
      <c r="E938" s="156"/>
      <c r="F938" s="50">
        <v>43647</v>
      </c>
      <c r="G938" s="50">
        <v>43830</v>
      </c>
      <c r="H938" s="168"/>
      <c r="I938" s="15" t="s">
        <v>23</v>
      </c>
      <c r="J938" s="15" t="s">
        <v>23</v>
      </c>
      <c r="K938" s="13">
        <f>$K$740</f>
        <v>29.28</v>
      </c>
      <c r="L938" s="13">
        <f>$L$740</f>
        <v>1916.39</v>
      </c>
      <c r="M938" s="198"/>
    </row>
    <row r="939" spans="1:13" ht="15" customHeight="1" outlineLevel="1" x14ac:dyDescent="0.25">
      <c r="A939" s="148"/>
      <c r="B939" s="148"/>
      <c r="C939" s="148"/>
      <c r="D939" s="156"/>
      <c r="E939" s="156"/>
      <c r="F939" s="50">
        <v>43466</v>
      </c>
      <c r="G939" s="50">
        <v>43646</v>
      </c>
      <c r="H939" s="168"/>
      <c r="I939" s="15" t="s">
        <v>23</v>
      </c>
      <c r="J939" s="15" t="s">
        <v>23</v>
      </c>
      <c r="K939" s="13">
        <f>$K$741</f>
        <v>28.71</v>
      </c>
      <c r="L939" s="13">
        <f>$L$741</f>
        <v>2049.61</v>
      </c>
      <c r="M939" s="196" t="s">
        <v>427</v>
      </c>
    </row>
    <row r="940" spans="1:13" ht="15" customHeight="1" outlineLevel="1" x14ac:dyDescent="0.25">
      <c r="A940" s="147"/>
      <c r="B940" s="147"/>
      <c r="C940" s="148"/>
      <c r="D940" s="156"/>
      <c r="E940" s="156"/>
      <c r="F940" s="50">
        <v>43647</v>
      </c>
      <c r="G940" s="50">
        <v>43830</v>
      </c>
      <c r="H940" s="168"/>
      <c r="I940" s="15" t="s">
        <v>23</v>
      </c>
      <c r="J940" s="15" t="s">
        <v>23</v>
      </c>
      <c r="K940" s="13">
        <f>$K$742</f>
        <v>29.28</v>
      </c>
      <c r="L940" s="13">
        <f>$L$742</f>
        <v>2090.61</v>
      </c>
      <c r="M940" s="198"/>
    </row>
    <row r="941" spans="1:13" ht="15" customHeight="1" outlineLevel="1" x14ac:dyDescent="0.25">
      <c r="A941" s="146" t="s">
        <v>243</v>
      </c>
      <c r="B941" s="146" t="s">
        <v>438</v>
      </c>
      <c r="C941" s="148"/>
      <c r="D941" s="156">
        <f>$D$725</f>
        <v>43453</v>
      </c>
      <c r="E941" s="156" t="str">
        <f>$E$725</f>
        <v>452-п</v>
      </c>
      <c r="F941" s="12">
        <v>43466</v>
      </c>
      <c r="G941" s="12">
        <v>43646</v>
      </c>
      <c r="H941" s="168"/>
      <c r="I941" s="66">
        <f>$I$725</f>
        <v>32.770000000000003</v>
      </c>
      <c r="J941" s="13">
        <f>$J$725</f>
        <v>2425.8200000000002</v>
      </c>
      <c r="K941" s="15" t="s">
        <v>23</v>
      </c>
      <c r="L941" s="15" t="s">
        <v>23</v>
      </c>
      <c r="M941" s="183"/>
    </row>
    <row r="942" spans="1:13" ht="15" customHeight="1" outlineLevel="1" x14ac:dyDescent="0.25">
      <c r="A942" s="148"/>
      <c r="B942" s="148"/>
      <c r="C942" s="148"/>
      <c r="D942" s="156"/>
      <c r="E942" s="156"/>
      <c r="F942" s="12">
        <v>43647</v>
      </c>
      <c r="G942" s="12">
        <v>43830</v>
      </c>
      <c r="H942" s="168"/>
      <c r="I942" s="66">
        <f>$I$726</f>
        <v>33.49</v>
      </c>
      <c r="J942" s="13">
        <f>$J$726</f>
        <v>2467.52</v>
      </c>
      <c r="K942" s="15" t="s">
        <v>23</v>
      </c>
      <c r="L942" s="15" t="s">
        <v>23</v>
      </c>
      <c r="M942" s="183"/>
    </row>
    <row r="943" spans="1:13" ht="15" customHeight="1" outlineLevel="1" x14ac:dyDescent="0.25">
      <c r="A943" s="148"/>
      <c r="B943" s="148"/>
      <c r="C943" s="148"/>
      <c r="D943" s="156">
        <f>$D$727</f>
        <v>43454</v>
      </c>
      <c r="E943" s="156" t="str">
        <f>E925</f>
        <v>676-п</v>
      </c>
      <c r="F943" s="50">
        <v>43466</v>
      </c>
      <c r="G943" s="50">
        <v>43646</v>
      </c>
      <c r="H943" s="168"/>
      <c r="I943" s="15" t="s">
        <v>23</v>
      </c>
      <c r="J943" s="15" t="s">
        <v>23</v>
      </c>
      <c r="K943" s="13">
        <f>$K$727</f>
        <v>28.71</v>
      </c>
      <c r="L943" s="13">
        <f>$L$727</f>
        <v>1960.5</v>
      </c>
      <c r="M943" s="196" t="s">
        <v>420</v>
      </c>
    </row>
    <row r="944" spans="1:13" ht="15" customHeight="1" outlineLevel="1" x14ac:dyDescent="0.25">
      <c r="A944" s="148"/>
      <c r="B944" s="148"/>
      <c r="C944" s="148"/>
      <c r="D944" s="156"/>
      <c r="E944" s="156"/>
      <c r="F944" s="50">
        <v>43647</v>
      </c>
      <c r="G944" s="50">
        <v>43830</v>
      </c>
      <c r="H944" s="168"/>
      <c r="I944" s="15" t="s">
        <v>23</v>
      </c>
      <c r="J944" s="15" t="s">
        <v>23</v>
      </c>
      <c r="K944" s="13">
        <f>$K$728</f>
        <v>29.28</v>
      </c>
      <c r="L944" s="13">
        <f>$L$728</f>
        <v>1999.67</v>
      </c>
      <c r="M944" s="198"/>
    </row>
    <row r="945" spans="1:13" ht="15" customHeight="1" outlineLevel="1" x14ac:dyDescent="0.25">
      <c r="A945" s="148"/>
      <c r="B945" s="148"/>
      <c r="C945" s="148"/>
      <c r="D945" s="156"/>
      <c r="E945" s="156"/>
      <c r="F945" s="50">
        <v>43466</v>
      </c>
      <c r="G945" s="50">
        <v>43646</v>
      </c>
      <c r="H945" s="168"/>
      <c r="I945" s="15" t="s">
        <v>23</v>
      </c>
      <c r="J945" s="15" t="s">
        <v>23</v>
      </c>
      <c r="K945" s="13">
        <f>$K$729</f>
        <v>28.71</v>
      </c>
      <c r="L945" s="13">
        <f>$L$729</f>
        <v>2147.2199999999998</v>
      </c>
      <c r="M945" s="196" t="s">
        <v>421</v>
      </c>
    </row>
    <row r="946" spans="1:13" ht="15" customHeight="1" outlineLevel="1" x14ac:dyDescent="0.25">
      <c r="A946" s="148"/>
      <c r="B946" s="148"/>
      <c r="C946" s="148"/>
      <c r="D946" s="156"/>
      <c r="E946" s="156"/>
      <c r="F946" s="50">
        <v>43647</v>
      </c>
      <c r="G946" s="50">
        <v>43830</v>
      </c>
      <c r="H946" s="168"/>
      <c r="I946" s="15" t="s">
        <v>23</v>
      </c>
      <c r="J946" s="15" t="s">
        <v>23</v>
      </c>
      <c r="K946" s="13">
        <f>$K$730</f>
        <v>29.28</v>
      </c>
      <c r="L946" s="13">
        <f>$L$730</f>
        <v>2190.16</v>
      </c>
      <c r="M946" s="198"/>
    </row>
    <row r="947" spans="1:13" ht="15" customHeight="1" outlineLevel="1" x14ac:dyDescent="0.25">
      <c r="A947" s="148"/>
      <c r="B947" s="148"/>
      <c r="C947" s="148"/>
      <c r="D947" s="156"/>
      <c r="E947" s="156"/>
      <c r="F947" s="50">
        <v>43466</v>
      </c>
      <c r="G947" s="50">
        <v>43646</v>
      </c>
      <c r="H947" s="168"/>
      <c r="I947" s="15" t="s">
        <v>23</v>
      </c>
      <c r="J947" s="15" t="s">
        <v>23</v>
      </c>
      <c r="K947" s="13">
        <f>$K$731</f>
        <v>28.71</v>
      </c>
      <c r="L947" s="13">
        <f>$L$731</f>
        <v>1828.03</v>
      </c>
      <c r="M947" s="196" t="s">
        <v>422</v>
      </c>
    </row>
    <row r="948" spans="1:13" ht="15" customHeight="1" outlineLevel="1" x14ac:dyDescent="0.25">
      <c r="A948" s="148"/>
      <c r="B948" s="148"/>
      <c r="C948" s="148"/>
      <c r="D948" s="156"/>
      <c r="E948" s="156"/>
      <c r="F948" s="50">
        <v>43647</v>
      </c>
      <c r="G948" s="50">
        <v>43830</v>
      </c>
      <c r="H948" s="168"/>
      <c r="I948" s="15" t="s">
        <v>23</v>
      </c>
      <c r="J948" s="15" t="s">
        <v>23</v>
      </c>
      <c r="K948" s="13">
        <f>$K$732</f>
        <v>29.28</v>
      </c>
      <c r="L948" s="13">
        <f>$L$732</f>
        <v>1864.59</v>
      </c>
      <c r="M948" s="198"/>
    </row>
    <row r="949" spans="1:13" ht="15" customHeight="1" outlineLevel="1" x14ac:dyDescent="0.25">
      <c r="A949" s="148"/>
      <c r="B949" s="148"/>
      <c r="C949" s="148"/>
      <c r="D949" s="156"/>
      <c r="E949" s="156"/>
      <c r="F949" s="50">
        <v>43466</v>
      </c>
      <c r="G949" s="50">
        <v>43646</v>
      </c>
      <c r="H949" s="168"/>
      <c r="I949" s="15" t="s">
        <v>23</v>
      </c>
      <c r="J949" s="15" t="s">
        <v>23</v>
      </c>
      <c r="K949" s="13">
        <f>$K$733</f>
        <v>28.71</v>
      </c>
      <c r="L949" s="13">
        <f>$L$733</f>
        <v>1960.5</v>
      </c>
      <c r="M949" s="196" t="s">
        <v>423</v>
      </c>
    </row>
    <row r="950" spans="1:13" ht="15" customHeight="1" outlineLevel="1" x14ac:dyDescent="0.25">
      <c r="A950" s="148"/>
      <c r="B950" s="148"/>
      <c r="C950" s="148"/>
      <c r="D950" s="156"/>
      <c r="E950" s="156"/>
      <c r="F950" s="50">
        <v>43647</v>
      </c>
      <c r="G950" s="50">
        <v>43830</v>
      </c>
      <c r="H950" s="168"/>
      <c r="I950" s="15" t="s">
        <v>23</v>
      </c>
      <c r="J950" s="15" t="s">
        <v>23</v>
      </c>
      <c r="K950" s="13">
        <f>$K$734</f>
        <v>29.28</v>
      </c>
      <c r="L950" s="13">
        <f>$L$734</f>
        <v>1999.71</v>
      </c>
      <c r="M950" s="198"/>
    </row>
    <row r="951" spans="1:13" ht="15" customHeight="1" outlineLevel="1" x14ac:dyDescent="0.25">
      <c r="A951" s="148"/>
      <c r="B951" s="148"/>
      <c r="C951" s="148"/>
      <c r="D951" s="156"/>
      <c r="E951" s="156"/>
      <c r="F951" s="50">
        <v>43466</v>
      </c>
      <c r="G951" s="50">
        <v>43646</v>
      </c>
      <c r="H951" s="168"/>
      <c r="I951" s="15" t="s">
        <v>23</v>
      </c>
      <c r="J951" s="15" t="s">
        <v>23</v>
      </c>
      <c r="K951" s="13">
        <f>$K$735</f>
        <v>28.71</v>
      </c>
      <c r="L951" s="13">
        <f>$L$735</f>
        <v>2049.61</v>
      </c>
      <c r="M951" s="196" t="s">
        <v>424</v>
      </c>
    </row>
    <row r="952" spans="1:13" ht="15" customHeight="1" outlineLevel="1" x14ac:dyDescent="0.25">
      <c r="A952" s="148"/>
      <c r="B952" s="148"/>
      <c r="C952" s="148"/>
      <c r="D952" s="156"/>
      <c r="E952" s="156"/>
      <c r="F952" s="50">
        <v>43647</v>
      </c>
      <c r="G952" s="50">
        <v>43830</v>
      </c>
      <c r="H952" s="168"/>
      <c r="I952" s="15" t="s">
        <v>23</v>
      </c>
      <c r="J952" s="15" t="s">
        <v>23</v>
      </c>
      <c r="K952" s="13">
        <f>$K$736</f>
        <v>29.28</v>
      </c>
      <c r="L952" s="13">
        <f>$L$736</f>
        <v>2090.61</v>
      </c>
      <c r="M952" s="198"/>
    </row>
    <row r="953" spans="1:13" ht="15" customHeight="1" outlineLevel="1" x14ac:dyDescent="0.25">
      <c r="A953" s="148"/>
      <c r="B953" s="148"/>
      <c r="C953" s="148"/>
      <c r="D953" s="156"/>
      <c r="E953" s="156"/>
      <c r="F953" s="50">
        <v>43466</v>
      </c>
      <c r="G953" s="50">
        <v>43646</v>
      </c>
      <c r="H953" s="168"/>
      <c r="I953" s="15" t="s">
        <v>23</v>
      </c>
      <c r="J953" s="15" t="s">
        <v>23</v>
      </c>
      <c r="K953" s="13">
        <f>$K$737</f>
        <v>28.71</v>
      </c>
      <c r="L953" s="13">
        <f>$L$737</f>
        <v>2217.62</v>
      </c>
      <c r="M953" s="196" t="s">
        <v>425</v>
      </c>
    </row>
    <row r="954" spans="1:13" ht="15" customHeight="1" outlineLevel="1" x14ac:dyDescent="0.25">
      <c r="A954" s="148"/>
      <c r="B954" s="148"/>
      <c r="C954" s="148"/>
      <c r="D954" s="156"/>
      <c r="E954" s="156"/>
      <c r="F954" s="50">
        <v>43647</v>
      </c>
      <c r="G954" s="50">
        <v>43830</v>
      </c>
      <c r="H954" s="168"/>
      <c r="I954" s="15" t="s">
        <v>23</v>
      </c>
      <c r="J954" s="15" t="s">
        <v>23</v>
      </c>
      <c r="K954" s="13">
        <f>$K$738</f>
        <v>29.28</v>
      </c>
      <c r="L954" s="13">
        <f>$L$738</f>
        <v>2261.9699999999998</v>
      </c>
      <c r="M954" s="198"/>
    </row>
    <row r="955" spans="1:13" ht="15" customHeight="1" outlineLevel="1" x14ac:dyDescent="0.25">
      <c r="A955" s="148"/>
      <c r="B955" s="148"/>
      <c r="C955" s="148"/>
      <c r="D955" s="156"/>
      <c r="E955" s="156"/>
      <c r="F955" s="50">
        <v>43466</v>
      </c>
      <c r="G955" s="50">
        <v>43646</v>
      </c>
      <c r="H955" s="168"/>
      <c r="I955" s="15" t="s">
        <v>23</v>
      </c>
      <c r="J955" s="15" t="s">
        <v>23</v>
      </c>
      <c r="K955" s="13">
        <f>$K$739</f>
        <v>28.71</v>
      </c>
      <c r="L955" s="13">
        <f>$L$739</f>
        <v>1878.81</v>
      </c>
      <c r="M955" s="196" t="s">
        <v>426</v>
      </c>
    </row>
    <row r="956" spans="1:13" ht="15" customHeight="1" outlineLevel="1" x14ac:dyDescent="0.25">
      <c r="A956" s="148"/>
      <c r="B956" s="148"/>
      <c r="C956" s="148"/>
      <c r="D956" s="156"/>
      <c r="E956" s="156"/>
      <c r="F956" s="50">
        <v>43647</v>
      </c>
      <c r="G956" s="50">
        <v>43830</v>
      </c>
      <c r="H956" s="168"/>
      <c r="I956" s="15" t="s">
        <v>23</v>
      </c>
      <c r="J956" s="15" t="s">
        <v>23</v>
      </c>
      <c r="K956" s="13">
        <f>$K$740</f>
        <v>29.28</v>
      </c>
      <c r="L956" s="13">
        <f>$L$740</f>
        <v>1916.39</v>
      </c>
      <c r="M956" s="198"/>
    </row>
    <row r="957" spans="1:13" ht="15" customHeight="1" outlineLevel="1" x14ac:dyDescent="0.25">
      <c r="A957" s="148"/>
      <c r="B957" s="148"/>
      <c r="C957" s="148"/>
      <c r="D957" s="156"/>
      <c r="E957" s="156"/>
      <c r="F957" s="50">
        <v>43466</v>
      </c>
      <c r="G957" s="50">
        <v>43646</v>
      </c>
      <c r="H957" s="168"/>
      <c r="I957" s="15" t="s">
        <v>23</v>
      </c>
      <c r="J957" s="15" t="s">
        <v>23</v>
      </c>
      <c r="K957" s="13">
        <f>$K$741</f>
        <v>28.71</v>
      </c>
      <c r="L957" s="13">
        <f>$L$741</f>
        <v>2049.61</v>
      </c>
      <c r="M957" s="196" t="s">
        <v>427</v>
      </c>
    </row>
    <row r="958" spans="1:13" ht="15" customHeight="1" outlineLevel="1" x14ac:dyDescent="0.25">
      <c r="A958" s="147"/>
      <c r="B958" s="147"/>
      <c r="C958" s="148"/>
      <c r="D958" s="156"/>
      <c r="E958" s="156"/>
      <c r="F958" s="50">
        <v>43647</v>
      </c>
      <c r="G958" s="50">
        <v>43830</v>
      </c>
      <c r="H958" s="168"/>
      <c r="I958" s="15" t="s">
        <v>23</v>
      </c>
      <c r="J958" s="15" t="s">
        <v>23</v>
      </c>
      <c r="K958" s="13">
        <f>$K$742</f>
        <v>29.28</v>
      </c>
      <c r="L958" s="13">
        <f>$L$742</f>
        <v>2090.61</v>
      </c>
      <c r="M958" s="198"/>
    </row>
    <row r="959" spans="1:13" ht="15" customHeight="1" outlineLevel="1" x14ac:dyDescent="0.25">
      <c r="A959" s="146" t="s">
        <v>243</v>
      </c>
      <c r="B959" s="146" t="s">
        <v>416</v>
      </c>
      <c r="C959" s="148"/>
      <c r="D959" s="156">
        <f>$D$725</f>
        <v>43453</v>
      </c>
      <c r="E959" s="156" t="str">
        <f>$E$725</f>
        <v>452-п</v>
      </c>
      <c r="F959" s="12">
        <v>43466</v>
      </c>
      <c r="G959" s="12">
        <v>43646</v>
      </c>
      <c r="H959" s="168"/>
      <c r="I959" s="66">
        <f>$I$725</f>
        <v>32.770000000000003</v>
      </c>
      <c r="J959" s="13">
        <f>$J$725</f>
        <v>2425.8200000000002</v>
      </c>
      <c r="K959" s="15" t="s">
        <v>23</v>
      </c>
      <c r="L959" s="15" t="s">
        <v>23</v>
      </c>
      <c r="M959" s="183"/>
    </row>
    <row r="960" spans="1:13" ht="15" customHeight="1" outlineLevel="1" x14ac:dyDescent="0.25">
      <c r="A960" s="148"/>
      <c r="B960" s="148"/>
      <c r="C960" s="148"/>
      <c r="D960" s="156"/>
      <c r="E960" s="156"/>
      <c r="F960" s="12">
        <v>43647</v>
      </c>
      <c r="G960" s="12">
        <v>43830</v>
      </c>
      <c r="H960" s="168"/>
      <c r="I960" s="66">
        <f>$I$726</f>
        <v>33.49</v>
      </c>
      <c r="J960" s="13">
        <f>$J$726</f>
        <v>2467.52</v>
      </c>
      <c r="K960" s="15" t="s">
        <v>23</v>
      </c>
      <c r="L960" s="15" t="s">
        <v>23</v>
      </c>
      <c r="M960" s="183"/>
    </row>
    <row r="961" spans="1:20" ht="15" customHeight="1" outlineLevel="1" x14ac:dyDescent="0.25">
      <c r="A961" s="148"/>
      <c r="B961" s="148"/>
      <c r="C961" s="148"/>
      <c r="D961" s="156">
        <f>$D$727</f>
        <v>43454</v>
      </c>
      <c r="E961" s="156" t="str">
        <f>E943</f>
        <v>676-п</v>
      </c>
      <c r="F961" s="50">
        <v>43466</v>
      </c>
      <c r="G961" s="50">
        <v>43646</v>
      </c>
      <c r="H961" s="168"/>
      <c r="I961" s="15" t="s">
        <v>23</v>
      </c>
      <c r="J961" s="15" t="s">
        <v>23</v>
      </c>
      <c r="K961" s="13">
        <f>$K$727</f>
        <v>28.71</v>
      </c>
      <c r="L961" s="13">
        <f>$L$727</f>
        <v>1960.5</v>
      </c>
      <c r="M961" s="196" t="s">
        <v>420</v>
      </c>
    </row>
    <row r="962" spans="1:20" ht="15" customHeight="1" outlineLevel="1" x14ac:dyDescent="0.25">
      <c r="A962" s="148"/>
      <c r="B962" s="148"/>
      <c r="C962" s="148"/>
      <c r="D962" s="156"/>
      <c r="E962" s="156"/>
      <c r="F962" s="50">
        <v>43647</v>
      </c>
      <c r="G962" s="50">
        <v>43830</v>
      </c>
      <c r="H962" s="168"/>
      <c r="I962" s="15" t="s">
        <v>23</v>
      </c>
      <c r="J962" s="15" t="s">
        <v>23</v>
      </c>
      <c r="K962" s="13">
        <f>$K$728</f>
        <v>29.28</v>
      </c>
      <c r="L962" s="13">
        <f>$L$728</f>
        <v>1999.67</v>
      </c>
      <c r="M962" s="198"/>
    </row>
    <row r="963" spans="1:20" ht="15" customHeight="1" outlineLevel="1" x14ac:dyDescent="0.25">
      <c r="A963" s="148"/>
      <c r="B963" s="148"/>
      <c r="C963" s="148"/>
      <c r="D963" s="156"/>
      <c r="E963" s="156"/>
      <c r="F963" s="50">
        <v>43466</v>
      </c>
      <c r="G963" s="50">
        <v>43646</v>
      </c>
      <c r="H963" s="168"/>
      <c r="I963" s="15" t="s">
        <v>23</v>
      </c>
      <c r="J963" s="15" t="s">
        <v>23</v>
      </c>
      <c r="K963" s="13">
        <f>$K$729</f>
        <v>28.71</v>
      </c>
      <c r="L963" s="13">
        <f>$L$729</f>
        <v>2147.2199999999998</v>
      </c>
      <c r="M963" s="196" t="s">
        <v>421</v>
      </c>
    </row>
    <row r="964" spans="1:20" ht="15" customHeight="1" outlineLevel="1" x14ac:dyDescent="0.25">
      <c r="A964" s="148"/>
      <c r="B964" s="148"/>
      <c r="C964" s="148"/>
      <c r="D964" s="156"/>
      <c r="E964" s="156"/>
      <c r="F964" s="50">
        <v>43647</v>
      </c>
      <c r="G964" s="50">
        <v>43830</v>
      </c>
      <c r="H964" s="168"/>
      <c r="I964" s="15" t="s">
        <v>23</v>
      </c>
      <c r="J964" s="15" t="s">
        <v>23</v>
      </c>
      <c r="K964" s="13">
        <f>$K$730</f>
        <v>29.28</v>
      </c>
      <c r="L964" s="13">
        <f>$L$730</f>
        <v>2190.16</v>
      </c>
      <c r="M964" s="198"/>
    </row>
    <row r="965" spans="1:20" ht="15" customHeight="1" outlineLevel="1" x14ac:dyDescent="0.25">
      <c r="A965" s="148"/>
      <c r="B965" s="148"/>
      <c r="C965" s="148"/>
      <c r="D965" s="156"/>
      <c r="E965" s="156"/>
      <c r="F965" s="50">
        <v>43466</v>
      </c>
      <c r="G965" s="50">
        <v>43646</v>
      </c>
      <c r="H965" s="168"/>
      <c r="I965" s="15" t="s">
        <v>23</v>
      </c>
      <c r="J965" s="15" t="s">
        <v>23</v>
      </c>
      <c r="K965" s="13">
        <f>$K$731</f>
        <v>28.71</v>
      </c>
      <c r="L965" s="13">
        <f>$L$731</f>
        <v>1828.03</v>
      </c>
      <c r="M965" s="196" t="s">
        <v>422</v>
      </c>
    </row>
    <row r="966" spans="1:20" ht="15" customHeight="1" outlineLevel="1" x14ac:dyDescent="0.25">
      <c r="A966" s="148"/>
      <c r="B966" s="148"/>
      <c r="C966" s="148"/>
      <c r="D966" s="156"/>
      <c r="E966" s="156"/>
      <c r="F966" s="50">
        <v>43647</v>
      </c>
      <c r="G966" s="50">
        <v>43830</v>
      </c>
      <c r="H966" s="168"/>
      <c r="I966" s="15" t="s">
        <v>23</v>
      </c>
      <c r="J966" s="15" t="s">
        <v>23</v>
      </c>
      <c r="K966" s="13">
        <f>$K$732</f>
        <v>29.28</v>
      </c>
      <c r="L966" s="13">
        <f>$L$732</f>
        <v>1864.59</v>
      </c>
      <c r="M966" s="198"/>
    </row>
    <row r="967" spans="1:20" ht="15" customHeight="1" outlineLevel="1" x14ac:dyDescent="0.25">
      <c r="A967" s="148"/>
      <c r="B967" s="148"/>
      <c r="C967" s="148"/>
      <c r="D967" s="156"/>
      <c r="E967" s="156"/>
      <c r="F967" s="50">
        <v>43466</v>
      </c>
      <c r="G967" s="50">
        <v>43646</v>
      </c>
      <c r="H967" s="168"/>
      <c r="I967" s="15" t="s">
        <v>23</v>
      </c>
      <c r="J967" s="15" t="s">
        <v>23</v>
      </c>
      <c r="K967" s="13">
        <f>$K$733</f>
        <v>28.71</v>
      </c>
      <c r="L967" s="13">
        <f>$L$733</f>
        <v>1960.5</v>
      </c>
      <c r="M967" s="196" t="s">
        <v>423</v>
      </c>
    </row>
    <row r="968" spans="1:20" ht="15" customHeight="1" outlineLevel="1" x14ac:dyDescent="0.25">
      <c r="A968" s="148"/>
      <c r="B968" s="148"/>
      <c r="C968" s="148"/>
      <c r="D968" s="156"/>
      <c r="E968" s="156"/>
      <c r="F968" s="50">
        <v>43647</v>
      </c>
      <c r="G968" s="50">
        <v>43830</v>
      </c>
      <c r="H968" s="168"/>
      <c r="I968" s="15" t="s">
        <v>23</v>
      </c>
      <c r="J968" s="15" t="s">
        <v>23</v>
      </c>
      <c r="K968" s="13">
        <f>$K$734</f>
        <v>29.28</v>
      </c>
      <c r="L968" s="13">
        <f>$L$734</f>
        <v>1999.71</v>
      </c>
      <c r="M968" s="198"/>
    </row>
    <row r="969" spans="1:20" ht="15" customHeight="1" outlineLevel="1" x14ac:dyDescent="0.25">
      <c r="A969" s="148"/>
      <c r="B969" s="148"/>
      <c r="C969" s="148"/>
      <c r="D969" s="156"/>
      <c r="E969" s="156"/>
      <c r="F969" s="50">
        <v>43466</v>
      </c>
      <c r="G969" s="50">
        <v>43646</v>
      </c>
      <c r="H969" s="168"/>
      <c r="I969" s="15" t="s">
        <v>23</v>
      </c>
      <c r="J969" s="15" t="s">
        <v>23</v>
      </c>
      <c r="K969" s="13">
        <f>$K$735</f>
        <v>28.71</v>
      </c>
      <c r="L969" s="13">
        <f>$L$735</f>
        <v>2049.61</v>
      </c>
      <c r="M969" s="196" t="s">
        <v>424</v>
      </c>
    </row>
    <row r="970" spans="1:20" ht="15" customHeight="1" outlineLevel="1" x14ac:dyDescent="0.25">
      <c r="A970" s="148"/>
      <c r="B970" s="148"/>
      <c r="C970" s="148"/>
      <c r="D970" s="156"/>
      <c r="E970" s="156"/>
      <c r="F970" s="50">
        <v>43647</v>
      </c>
      <c r="G970" s="50">
        <v>43830</v>
      </c>
      <c r="H970" s="168"/>
      <c r="I970" s="15" t="s">
        <v>23</v>
      </c>
      <c r="J970" s="15" t="s">
        <v>23</v>
      </c>
      <c r="K970" s="13">
        <f>$K$736</f>
        <v>29.28</v>
      </c>
      <c r="L970" s="13">
        <f>$L$736</f>
        <v>2090.61</v>
      </c>
      <c r="M970" s="198"/>
    </row>
    <row r="971" spans="1:20" ht="15" customHeight="1" outlineLevel="1" x14ac:dyDescent="0.25">
      <c r="A971" s="148"/>
      <c r="B971" s="148"/>
      <c r="C971" s="148"/>
      <c r="D971" s="156"/>
      <c r="E971" s="156"/>
      <c r="F971" s="50">
        <v>43466</v>
      </c>
      <c r="G971" s="50">
        <v>43646</v>
      </c>
      <c r="H971" s="168"/>
      <c r="I971" s="15" t="s">
        <v>23</v>
      </c>
      <c r="J971" s="15" t="s">
        <v>23</v>
      </c>
      <c r="K971" s="13">
        <f>$K$737</f>
        <v>28.71</v>
      </c>
      <c r="L971" s="13">
        <f>$L$737</f>
        <v>2217.62</v>
      </c>
      <c r="M971" s="196" t="s">
        <v>425</v>
      </c>
    </row>
    <row r="972" spans="1:20" ht="15" customHeight="1" outlineLevel="1" x14ac:dyDescent="0.25">
      <c r="A972" s="148"/>
      <c r="B972" s="148"/>
      <c r="C972" s="148"/>
      <c r="D972" s="156"/>
      <c r="E972" s="156"/>
      <c r="F972" s="50">
        <v>43647</v>
      </c>
      <c r="G972" s="50">
        <v>43830</v>
      </c>
      <c r="H972" s="168"/>
      <c r="I972" s="15" t="s">
        <v>23</v>
      </c>
      <c r="J972" s="15" t="s">
        <v>23</v>
      </c>
      <c r="K972" s="13">
        <f>$K$738</f>
        <v>29.28</v>
      </c>
      <c r="L972" s="13">
        <f>$L$738</f>
        <v>2261.9699999999998</v>
      </c>
      <c r="M972" s="198"/>
    </row>
    <row r="973" spans="1:20" ht="15" customHeight="1" outlineLevel="1" x14ac:dyDescent="0.25">
      <c r="A973" s="148"/>
      <c r="B973" s="148"/>
      <c r="C973" s="148"/>
      <c r="D973" s="156"/>
      <c r="E973" s="156"/>
      <c r="F973" s="50">
        <v>43466</v>
      </c>
      <c r="G973" s="50">
        <v>43646</v>
      </c>
      <c r="H973" s="168"/>
      <c r="I973" s="15" t="s">
        <v>23</v>
      </c>
      <c r="J973" s="15" t="s">
        <v>23</v>
      </c>
      <c r="K973" s="13">
        <f>$K$739</f>
        <v>28.71</v>
      </c>
      <c r="L973" s="13">
        <f>$L$739</f>
        <v>1878.81</v>
      </c>
      <c r="M973" s="196" t="s">
        <v>426</v>
      </c>
    </row>
    <row r="974" spans="1:20" s="10" customFormat="1" ht="28.5" customHeight="1" x14ac:dyDescent="0.25">
      <c r="A974" s="148"/>
      <c r="B974" s="148"/>
      <c r="C974" s="148"/>
      <c r="D974" s="156"/>
      <c r="E974" s="156"/>
      <c r="F974" s="50">
        <v>43647</v>
      </c>
      <c r="G974" s="50">
        <v>43830</v>
      </c>
      <c r="H974" s="168"/>
      <c r="I974" s="15" t="s">
        <v>23</v>
      </c>
      <c r="J974" s="15" t="s">
        <v>23</v>
      </c>
      <c r="K974" s="13">
        <f>$K$740</f>
        <v>29.28</v>
      </c>
      <c r="L974" s="13">
        <f>$L$740</f>
        <v>1916.39</v>
      </c>
      <c r="M974" s="198"/>
      <c r="N974" s="69"/>
      <c r="O974" s="11"/>
      <c r="Q974" s="64"/>
      <c r="R974" s="64"/>
      <c r="S974" s="65"/>
      <c r="T974" s="11"/>
    </row>
    <row r="975" spans="1:20" ht="15" customHeight="1" outlineLevel="1" x14ac:dyDescent="0.25">
      <c r="A975" s="148"/>
      <c r="B975" s="148"/>
      <c r="C975" s="148"/>
      <c r="D975" s="156"/>
      <c r="E975" s="156"/>
      <c r="F975" s="50">
        <v>43466</v>
      </c>
      <c r="G975" s="50">
        <v>43646</v>
      </c>
      <c r="H975" s="168"/>
      <c r="I975" s="15" t="s">
        <v>23</v>
      </c>
      <c r="J975" s="15" t="s">
        <v>23</v>
      </c>
      <c r="K975" s="13">
        <f>$K$741</f>
        <v>28.71</v>
      </c>
      <c r="L975" s="13">
        <f>$L$741</f>
        <v>2049.61</v>
      </c>
      <c r="M975" s="196" t="s">
        <v>427</v>
      </c>
    </row>
    <row r="976" spans="1:20" ht="15" customHeight="1" outlineLevel="1" x14ac:dyDescent="0.25">
      <c r="A976" s="147"/>
      <c r="B976" s="147"/>
      <c r="C976" s="148"/>
      <c r="D976" s="156"/>
      <c r="E976" s="156"/>
      <c r="F976" s="50">
        <v>43647</v>
      </c>
      <c r="G976" s="50">
        <v>43830</v>
      </c>
      <c r="H976" s="168"/>
      <c r="I976" s="15" t="s">
        <v>23</v>
      </c>
      <c r="J976" s="15" t="s">
        <v>23</v>
      </c>
      <c r="K976" s="13">
        <f>$K$742</f>
        <v>29.28</v>
      </c>
      <c r="L976" s="13">
        <f>$L$742</f>
        <v>2090.61</v>
      </c>
      <c r="M976" s="198"/>
    </row>
    <row r="977" spans="1:13" ht="15" customHeight="1" outlineLevel="1" x14ac:dyDescent="0.25">
      <c r="A977" s="146" t="s">
        <v>243</v>
      </c>
      <c r="B977" s="146" t="s">
        <v>439</v>
      </c>
      <c r="C977" s="148"/>
      <c r="D977" s="156">
        <f>$D$725</f>
        <v>43453</v>
      </c>
      <c r="E977" s="156" t="str">
        <f>$E$725</f>
        <v>452-п</v>
      </c>
      <c r="F977" s="12">
        <v>43466</v>
      </c>
      <c r="G977" s="12">
        <v>43646</v>
      </c>
      <c r="H977" s="168"/>
      <c r="I977" s="66">
        <f>$I$725</f>
        <v>32.770000000000003</v>
      </c>
      <c r="J977" s="13">
        <f>$J$725</f>
        <v>2425.8200000000002</v>
      </c>
      <c r="K977" s="15" t="s">
        <v>23</v>
      </c>
      <c r="L977" s="15" t="s">
        <v>23</v>
      </c>
      <c r="M977" s="183"/>
    </row>
    <row r="978" spans="1:13" ht="15" customHeight="1" outlineLevel="1" x14ac:dyDescent="0.25">
      <c r="A978" s="148"/>
      <c r="B978" s="148"/>
      <c r="C978" s="148"/>
      <c r="D978" s="156"/>
      <c r="E978" s="156"/>
      <c r="F978" s="12">
        <v>43647</v>
      </c>
      <c r="G978" s="12">
        <v>43830</v>
      </c>
      <c r="H978" s="168"/>
      <c r="I978" s="66">
        <f>$I$726</f>
        <v>33.49</v>
      </c>
      <c r="J978" s="13">
        <f>$J$726</f>
        <v>2467.52</v>
      </c>
      <c r="K978" s="15" t="s">
        <v>23</v>
      </c>
      <c r="L978" s="15" t="s">
        <v>23</v>
      </c>
      <c r="M978" s="183"/>
    </row>
    <row r="979" spans="1:13" ht="15" customHeight="1" outlineLevel="1" x14ac:dyDescent="0.25">
      <c r="A979" s="148"/>
      <c r="B979" s="148"/>
      <c r="C979" s="148"/>
      <c r="D979" s="156">
        <f>$D$727</f>
        <v>43454</v>
      </c>
      <c r="E979" s="156" t="str">
        <f>E961</f>
        <v>676-п</v>
      </c>
      <c r="F979" s="50">
        <v>43466</v>
      </c>
      <c r="G979" s="50">
        <v>43646</v>
      </c>
      <c r="H979" s="168"/>
      <c r="I979" s="15" t="s">
        <v>23</v>
      </c>
      <c r="J979" s="15" t="s">
        <v>23</v>
      </c>
      <c r="K979" s="13">
        <f>$K$727</f>
        <v>28.71</v>
      </c>
      <c r="L979" s="13">
        <f>$L$727</f>
        <v>1960.5</v>
      </c>
      <c r="M979" s="196" t="s">
        <v>420</v>
      </c>
    </row>
    <row r="980" spans="1:13" ht="15" customHeight="1" outlineLevel="1" x14ac:dyDescent="0.25">
      <c r="A980" s="148"/>
      <c r="B980" s="148"/>
      <c r="C980" s="148"/>
      <c r="D980" s="156"/>
      <c r="E980" s="156"/>
      <c r="F980" s="50">
        <v>43647</v>
      </c>
      <c r="G980" s="50">
        <v>43830</v>
      </c>
      <c r="H980" s="168"/>
      <c r="I980" s="15" t="s">
        <v>23</v>
      </c>
      <c r="J980" s="15" t="s">
        <v>23</v>
      </c>
      <c r="K980" s="13">
        <f>$K$728</f>
        <v>29.28</v>
      </c>
      <c r="L980" s="13">
        <f>$L$728</f>
        <v>1999.67</v>
      </c>
      <c r="M980" s="198"/>
    </row>
    <row r="981" spans="1:13" ht="15" customHeight="1" outlineLevel="1" x14ac:dyDescent="0.25">
      <c r="A981" s="148"/>
      <c r="B981" s="148"/>
      <c r="C981" s="148"/>
      <c r="D981" s="156"/>
      <c r="E981" s="156"/>
      <c r="F981" s="50">
        <v>43466</v>
      </c>
      <c r="G981" s="50">
        <v>43646</v>
      </c>
      <c r="H981" s="168"/>
      <c r="I981" s="15" t="s">
        <v>23</v>
      </c>
      <c r="J981" s="15" t="s">
        <v>23</v>
      </c>
      <c r="K981" s="13">
        <f>$K$729</f>
        <v>28.71</v>
      </c>
      <c r="L981" s="13">
        <f>$L$729</f>
        <v>2147.2199999999998</v>
      </c>
      <c r="M981" s="196" t="s">
        <v>421</v>
      </c>
    </row>
    <row r="982" spans="1:13" ht="15" customHeight="1" outlineLevel="1" x14ac:dyDescent="0.25">
      <c r="A982" s="148"/>
      <c r="B982" s="148"/>
      <c r="C982" s="148"/>
      <c r="D982" s="156"/>
      <c r="E982" s="156"/>
      <c r="F982" s="50">
        <v>43647</v>
      </c>
      <c r="G982" s="50">
        <v>43830</v>
      </c>
      <c r="H982" s="168"/>
      <c r="I982" s="15" t="s">
        <v>23</v>
      </c>
      <c r="J982" s="15" t="s">
        <v>23</v>
      </c>
      <c r="K982" s="13">
        <f>$K$730</f>
        <v>29.28</v>
      </c>
      <c r="L982" s="13">
        <f>$L$730</f>
        <v>2190.16</v>
      </c>
      <c r="M982" s="198"/>
    </row>
    <row r="983" spans="1:13" ht="15" customHeight="1" outlineLevel="1" x14ac:dyDescent="0.25">
      <c r="A983" s="148"/>
      <c r="B983" s="148"/>
      <c r="C983" s="148"/>
      <c r="D983" s="156"/>
      <c r="E983" s="156"/>
      <c r="F983" s="50">
        <v>43466</v>
      </c>
      <c r="G983" s="50">
        <v>43646</v>
      </c>
      <c r="H983" s="168"/>
      <c r="I983" s="15" t="s">
        <v>23</v>
      </c>
      <c r="J983" s="15" t="s">
        <v>23</v>
      </c>
      <c r="K983" s="13">
        <f>$K$731</f>
        <v>28.71</v>
      </c>
      <c r="L983" s="13">
        <f>$L$731</f>
        <v>1828.03</v>
      </c>
      <c r="M983" s="196" t="s">
        <v>422</v>
      </c>
    </row>
    <row r="984" spans="1:13" ht="15" customHeight="1" outlineLevel="1" x14ac:dyDescent="0.25">
      <c r="A984" s="148"/>
      <c r="B984" s="148"/>
      <c r="C984" s="148"/>
      <c r="D984" s="156"/>
      <c r="E984" s="156"/>
      <c r="F984" s="50">
        <v>43647</v>
      </c>
      <c r="G984" s="50">
        <v>43830</v>
      </c>
      <c r="H984" s="168"/>
      <c r="I984" s="15" t="s">
        <v>23</v>
      </c>
      <c r="J984" s="15" t="s">
        <v>23</v>
      </c>
      <c r="K984" s="13">
        <f>$K$732</f>
        <v>29.28</v>
      </c>
      <c r="L984" s="13">
        <f>$L$732</f>
        <v>1864.59</v>
      </c>
      <c r="M984" s="198"/>
    </row>
    <row r="985" spans="1:13" ht="15" customHeight="1" outlineLevel="1" x14ac:dyDescent="0.25">
      <c r="A985" s="148"/>
      <c r="B985" s="148"/>
      <c r="C985" s="148"/>
      <c r="D985" s="156"/>
      <c r="E985" s="156"/>
      <c r="F985" s="50">
        <v>43466</v>
      </c>
      <c r="G985" s="50">
        <v>43646</v>
      </c>
      <c r="H985" s="168"/>
      <c r="I985" s="15" t="s">
        <v>23</v>
      </c>
      <c r="J985" s="15" t="s">
        <v>23</v>
      </c>
      <c r="K985" s="13">
        <f>$K$733</f>
        <v>28.71</v>
      </c>
      <c r="L985" s="13">
        <f>$L$733</f>
        <v>1960.5</v>
      </c>
      <c r="M985" s="196" t="s">
        <v>423</v>
      </c>
    </row>
    <row r="986" spans="1:13" ht="15" customHeight="1" outlineLevel="1" x14ac:dyDescent="0.25">
      <c r="A986" s="148"/>
      <c r="B986" s="148"/>
      <c r="C986" s="148"/>
      <c r="D986" s="156"/>
      <c r="E986" s="156"/>
      <c r="F986" s="50">
        <v>43647</v>
      </c>
      <c r="G986" s="50">
        <v>43830</v>
      </c>
      <c r="H986" s="168"/>
      <c r="I986" s="15" t="s">
        <v>23</v>
      </c>
      <c r="J986" s="15" t="s">
        <v>23</v>
      </c>
      <c r="K986" s="13">
        <f>$K$734</f>
        <v>29.28</v>
      </c>
      <c r="L986" s="13">
        <f>$L$734</f>
        <v>1999.71</v>
      </c>
      <c r="M986" s="198"/>
    </row>
    <row r="987" spans="1:13" ht="15" customHeight="1" outlineLevel="1" x14ac:dyDescent="0.25">
      <c r="A987" s="148"/>
      <c r="B987" s="148"/>
      <c r="C987" s="148"/>
      <c r="D987" s="156"/>
      <c r="E987" s="156"/>
      <c r="F987" s="50">
        <v>43466</v>
      </c>
      <c r="G987" s="50">
        <v>43646</v>
      </c>
      <c r="H987" s="168"/>
      <c r="I987" s="15" t="s">
        <v>23</v>
      </c>
      <c r="J987" s="15" t="s">
        <v>23</v>
      </c>
      <c r="K987" s="13">
        <f>$K$735</f>
        <v>28.71</v>
      </c>
      <c r="L987" s="13">
        <f>$L$735</f>
        <v>2049.61</v>
      </c>
      <c r="M987" s="196" t="s">
        <v>424</v>
      </c>
    </row>
    <row r="988" spans="1:13" ht="15" customHeight="1" outlineLevel="1" x14ac:dyDescent="0.25">
      <c r="A988" s="148"/>
      <c r="B988" s="148"/>
      <c r="C988" s="148"/>
      <c r="D988" s="156"/>
      <c r="E988" s="156"/>
      <c r="F988" s="50">
        <v>43647</v>
      </c>
      <c r="G988" s="50">
        <v>43830</v>
      </c>
      <c r="H988" s="168"/>
      <c r="I988" s="15" t="s">
        <v>23</v>
      </c>
      <c r="J988" s="15" t="s">
        <v>23</v>
      </c>
      <c r="K988" s="13">
        <f>$K$736</f>
        <v>29.28</v>
      </c>
      <c r="L988" s="13">
        <f>$L$736</f>
        <v>2090.61</v>
      </c>
      <c r="M988" s="198"/>
    </row>
    <row r="989" spans="1:13" ht="15" customHeight="1" outlineLevel="1" x14ac:dyDescent="0.25">
      <c r="A989" s="148"/>
      <c r="B989" s="148"/>
      <c r="C989" s="148"/>
      <c r="D989" s="156"/>
      <c r="E989" s="156"/>
      <c r="F989" s="50">
        <v>43466</v>
      </c>
      <c r="G989" s="50">
        <v>43646</v>
      </c>
      <c r="H989" s="168"/>
      <c r="I989" s="15" t="s">
        <v>23</v>
      </c>
      <c r="J989" s="15" t="s">
        <v>23</v>
      </c>
      <c r="K989" s="13">
        <f>$K$737</f>
        <v>28.71</v>
      </c>
      <c r="L989" s="13">
        <f>$L$737</f>
        <v>2217.62</v>
      </c>
      <c r="M989" s="196" t="s">
        <v>425</v>
      </c>
    </row>
    <row r="990" spans="1:13" ht="15" customHeight="1" outlineLevel="1" x14ac:dyDescent="0.25">
      <c r="A990" s="148"/>
      <c r="B990" s="148"/>
      <c r="C990" s="148"/>
      <c r="D990" s="156"/>
      <c r="E990" s="156"/>
      <c r="F990" s="50">
        <v>43647</v>
      </c>
      <c r="G990" s="50">
        <v>43830</v>
      </c>
      <c r="H990" s="168"/>
      <c r="I990" s="15" t="s">
        <v>23</v>
      </c>
      <c r="J990" s="15" t="s">
        <v>23</v>
      </c>
      <c r="K990" s="13">
        <f>$K$738</f>
        <v>29.28</v>
      </c>
      <c r="L990" s="13">
        <f>$L$738</f>
        <v>2261.9699999999998</v>
      </c>
      <c r="M990" s="198"/>
    </row>
    <row r="991" spans="1:13" ht="15" customHeight="1" outlineLevel="1" x14ac:dyDescent="0.25">
      <c r="A991" s="148"/>
      <c r="B991" s="148"/>
      <c r="C991" s="148"/>
      <c r="D991" s="156"/>
      <c r="E991" s="156"/>
      <c r="F991" s="50">
        <v>43466</v>
      </c>
      <c r="G991" s="50">
        <v>43646</v>
      </c>
      <c r="H991" s="168"/>
      <c r="I991" s="15" t="s">
        <v>23</v>
      </c>
      <c r="J991" s="15" t="s">
        <v>23</v>
      </c>
      <c r="K991" s="13">
        <f>$K$739</f>
        <v>28.71</v>
      </c>
      <c r="L991" s="13">
        <f>$L$739</f>
        <v>1878.81</v>
      </c>
      <c r="M991" s="196" t="s">
        <v>426</v>
      </c>
    </row>
    <row r="992" spans="1:13" ht="15" customHeight="1" outlineLevel="1" x14ac:dyDescent="0.25">
      <c r="A992" s="148"/>
      <c r="B992" s="148"/>
      <c r="C992" s="148"/>
      <c r="D992" s="156"/>
      <c r="E992" s="156"/>
      <c r="F992" s="50">
        <v>43647</v>
      </c>
      <c r="G992" s="50">
        <v>43830</v>
      </c>
      <c r="H992" s="168"/>
      <c r="I992" s="15" t="s">
        <v>23</v>
      </c>
      <c r="J992" s="15" t="s">
        <v>23</v>
      </c>
      <c r="K992" s="13">
        <f>$K$740</f>
        <v>29.28</v>
      </c>
      <c r="L992" s="13">
        <f>$L$740</f>
        <v>1916.39</v>
      </c>
      <c r="M992" s="198"/>
    </row>
    <row r="993" spans="1:13" ht="15" customHeight="1" outlineLevel="1" x14ac:dyDescent="0.25">
      <c r="A993" s="148"/>
      <c r="B993" s="148"/>
      <c r="C993" s="148"/>
      <c r="D993" s="156"/>
      <c r="E993" s="156"/>
      <c r="F993" s="50">
        <v>43466</v>
      </c>
      <c r="G993" s="50">
        <v>43646</v>
      </c>
      <c r="H993" s="168"/>
      <c r="I993" s="15" t="s">
        <v>23</v>
      </c>
      <c r="J993" s="15" t="s">
        <v>23</v>
      </c>
      <c r="K993" s="13">
        <f>$K$741</f>
        <v>28.71</v>
      </c>
      <c r="L993" s="13">
        <f>$L$741</f>
        <v>2049.61</v>
      </c>
      <c r="M993" s="196" t="s">
        <v>427</v>
      </c>
    </row>
    <row r="994" spans="1:13" ht="15" customHeight="1" outlineLevel="1" x14ac:dyDescent="0.25">
      <c r="A994" s="147"/>
      <c r="B994" s="147"/>
      <c r="C994" s="148"/>
      <c r="D994" s="156"/>
      <c r="E994" s="156"/>
      <c r="F994" s="50">
        <v>43647</v>
      </c>
      <c r="G994" s="50">
        <v>43830</v>
      </c>
      <c r="H994" s="168"/>
      <c r="I994" s="15" t="s">
        <v>23</v>
      </c>
      <c r="J994" s="15" t="s">
        <v>23</v>
      </c>
      <c r="K994" s="13">
        <f>$K$742</f>
        <v>29.28</v>
      </c>
      <c r="L994" s="13">
        <f>$L$742</f>
        <v>2090.61</v>
      </c>
      <c r="M994" s="198"/>
    </row>
    <row r="995" spans="1:13" ht="15" customHeight="1" outlineLevel="1" x14ac:dyDescent="0.25">
      <c r="A995" s="146" t="s">
        <v>243</v>
      </c>
      <c r="B995" s="146" t="s">
        <v>418</v>
      </c>
      <c r="C995" s="148"/>
      <c r="D995" s="156">
        <f>$D$725</f>
        <v>43453</v>
      </c>
      <c r="E995" s="156" t="str">
        <f>$E$725</f>
        <v>452-п</v>
      </c>
      <c r="F995" s="12">
        <v>43466</v>
      </c>
      <c r="G995" s="12">
        <v>43646</v>
      </c>
      <c r="H995" s="168"/>
      <c r="I995" s="66">
        <f>$I$725</f>
        <v>32.770000000000003</v>
      </c>
      <c r="J995" s="13">
        <f>$J$725</f>
        <v>2425.8200000000002</v>
      </c>
      <c r="K995" s="15" t="s">
        <v>23</v>
      </c>
      <c r="L995" s="15" t="s">
        <v>23</v>
      </c>
      <c r="M995" s="183"/>
    </row>
    <row r="996" spans="1:13" ht="15" customHeight="1" outlineLevel="1" x14ac:dyDescent="0.25">
      <c r="A996" s="148"/>
      <c r="B996" s="148"/>
      <c r="C996" s="148"/>
      <c r="D996" s="156"/>
      <c r="E996" s="156"/>
      <c r="F996" s="12">
        <v>43647</v>
      </c>
      <c r="G996" s="12">
        <v>43830</v>
      </c>
      <c r="H996" s="168"/>
      <c r="I996" s="66">
        <f>$I$726</f>
        <v>33.49</v>
      </c>
      <c r="J996" s="13">
        <f>$J$726</f>
        <v>2467.52</v>
      </c>
      <c r="K996" s="15" t="s">
        <v>23</v>
      </c>
      <c r="L996" s="15" t="s">
        <v>23</v>
      </c>
      <c r="M996" s="183"/>
    </row>
    <row r="997" spans="1:13" ht="15" customHeight="1" outlineLevel="1" x14ac:dyDescent="0.25">
      <c r="A997" s="148"/>
      <c r="B997" s="148"/>
      <c r="C997" s="148"/>
      <c r="D997" s="156">
        <f>$D$727</f>
        <v>43454</v>
      </c>
      <c r="E997" s="156" t="str">
        <f>E979</f>
        <v>676-п</v>
      </c>
      <c r="F997" s="50">
        <v>43466</v>
      </c>
      <c r="G997" s="50">
        <v>43646</v>
      </c>
      <c r="H997" s="168"/>
      <c r="I997" s="15" t="s">
        <v>23</v>
      </c>
      <c r="J997" s="15" t="s">
        <v>23</v>
      </c>
      <c r="K997" s="13">
        <f>$K$727</f>
        <v>28.71</v>
      </c>
      <c r="L997" s="13">
        <f>$L$727</f>
        <v>1960.5</v>
      </c>
      <c r="M997" s="196" t="s">
        <v>420</v>
      </c>
    </row>
    <row r="998" spans="1:13" ht="15" customHeight="1" outlineLevel="1" x14ac:dyDescent="0.25">
      <c r="A998" s="148"/>
      <c r="B998" s="148"/>
      <c r="C998" s="148"/>
      <c r="D998" s="156"/>
      <c r="E998" s="156"/>
      <c r="F998" s="50">
        <v>43647</v>
      </c>
      <c r="G998" s="50">
        <v>43830</v>
      </c>
      <c r="H998" s="168"/>
      <c r="I998" s="15" t="s">
        <v>23</v>
      </c>
      <c r="J998" s="15" t="s">
        <v>23</v>
      </c>
      <c r="K998" s="13">
        <f>$K$728</f>
        <v>29.28</v>
      </c>
      <c r="L998" s="13">
        <f>$L$728</f>
        <v>1999.67</v>
      </c>
      <c r="M998" s="198"/>
    </row>
    <row r="999" spans="1:13" ht="15" customHeight="1" outlineLevel="1" x14ac:dyDescent="0.25">
      <c r="A999" s="148"/>
      <c r="B999" s="148"/>
      <c r="C999" s="148"/>
      <c r="D999" s="156"/>
      <c r="E999" s="156"/>
      <c r="F999" s="50">
        <v>43466</v>
      </c>
      <c r="G999" s="50">
        <v>43646</v>
      </c>
      <c r="H999" s="168"/>
      <c r="I999" s="15" t="s">
        <v>23</v>
      </c>
      <c r="J999" s="15" t="s">
        <v>23</v>
      </c>
      <c r="K999" s="13">
        <f>$K$729</f>
        <v>28.71</v>
      </c>
      <c r="L999" s="13">
        <f>$L$729</f>
        <v>2147.2199999999998</v>
      </c>
      <c r="M999" s="196" t="s">
        <v>421</v>
      </c>
    </row>
    <row r="1000" spans="1:13" ht="15" customHeight="1" outlineLevel="1" x14ac:dyDescent="0.25">
      <c r="A1000" s="148"/>
      <c r="B1000" s="148"/>
      <c r="C1000" s="148"/>
      <c r="D1000" s="156"/>
      <c r="E1000" s="156"/>
      <c r="F1000" s="50">
        <v>43647</v>
      </c>
      <c r="G1000" s="50">
        <v>43830</v>
      </c>
      <c r="H1000" s="168"/>
      <c r="I1000" s="15" t="s">
        <v>23</v>
      </c>
      <c r="J1000" s="15" t="s">
        <v>23</v>
      </c>
      <c r="K1000" s="13">
        <f>$K$730</f>
        <v>29.28</v>
      </c>
      <c r="L1000" s="13">
        <f>$L$730</f>
        <v>2190.16</v>
      </c>
      <c r="M1000" s="198"/>
    </row>
    <row r="1001" spans="1:13" ht="15" customHeight="1" outlineLevel="1" x14ac:dyDescent="0.25">
      <c r="A1001" s="148"/>
      <c r="B1001" s="148"/>
      <c r="C1001" s="148"/>
      <c r="D1001" s="156"/>
      <c r="E1001" s="156"/>
      <c r="F1001" s="50">
        <v>43466</v>
      </c>
      <c r="G1001" s="50">
        <v>43646</v>
      </c>
      <c r="H1001" s="168"/>
      <c r="I1001" s="15" t="s">
        <v>23</v>
      </c>
      <c r="J1001" s="15" t="s">
        <v>23</v>
      </c>
      <c r="K1001" s="13">
        <f>$K$731</f>
        <v>28.71</v>
      </c>
      <c r="L1001" s="13">
        <f>$L$731</f>
        <v>1828.03</v>
      </c>
      <c r="M1001" s="196" t="s">
        <v>422</v>
      </c>
    </row>
    <row r="1002" spans="1:13" ht="15" customHeight="1" outlineLevel="1" x14ac:dyDescent="0.25">
      <c r="A1002" s="148"/>
      <c r="B1002" s="148"/>
      <c r="C1002" s="148"/>
      <c r="D1002" s="156"/>
      <c r="E1002" s="156"/>
      <c r="F1002" s="50">
        <v>43647</v>
      </c>
      <c r="G1002" s="50">
        <v>43830</v>
      </c>
      <c r="H1002" s="168"/>
      <c r="I1002" s="15" t="s">
        <v>23</v>
      </c>
      <c r="J1002" s="15" t="s">
        <v>23</v>
      </c>
      <c r="K1002" s="13">
        <f>$K$732</f>
        <v>29.28</v>
      </c>
      <c r="L1002" s="13">
        <f>$L$732</f>
        <v>1864.59</v>
      </c>
      <c r="M1002" s="198"/>
    </row>
    <row r="1003" spans="1:13" ht="15" customHeight="1" outlineLevel="1" x14ac:dyDescent="0.25">
      <c r="A1003" s="148"/>
      <c r="B1003" s="148"/>
      <c r="C1003" s="148"/>
      <c r="D1003" s="156"/>
      <c r="E1003" s="156"/>
      <c r="F1003" s="50">
        <v>43466</v>
      </c>
      <c r="G1003" s="50">
        <v>43646</v>
      </c>
      <c r="H1003" s="168"/>
      <c r="I1003" s="15" t="s">
        <v>23</v>
      </c>
      <c r="J1003" s="15" t="s">
        <v>23</v>
      </c>
      <c r="K1003" s="13">
        <f>$K$733</f>
        <v>28.71</v>
      </c>
      <c r="L1003" s="13">
        <f>$L$733</f>
        <v>1960.5</v>
      </c>
      <c r="M1003" s="196" t="s">
        <v>423</v>
      </c>
    </row>
    <row r="1004" spans="1:13" ht="15" customHeight="1" outlineLevel="1" x14ac:dyDescent="0.25">
      <c r="A1004" s="148"/>
      <c r="B1004" s="148"/>
      <c r="C1004" s="148"/>
      <c r="D1004" s="156"/>
      <c r="E1004" s="156"/>
      <c r="F1004" s="50">
        <v>43647</v>
      </c>
      <c r="G1004" s="50">
        <v>43830</v>
      </c>
      <c r="H1004" s="168"/>
      <c r="I1004" s="15" t="s">
        <v>23</v>
      </c>
      <c r="J1004" s="15" t="s">
        <v>23</v>
      </c>
      <c r="K1004" s="13">
        <f>$K$734</f>
        <v>29.28</v>
      </c>
      <c r="L1004" s="13">
        <f>$L$734</f>
        <v>1999.71</v>
      </c>
      <c r="M1004" s="198"/>
    </row>
    <row r="1005" spans="1:13" ht="15" customHeight="1" outlineLevel="1" x14ac:dyDescent="0.25">
      <c r="A1005" s="148"/>
      <c r="B1005" s="148"/>
      <c r="C1005" s="148"/>
      <c r="D1005" s="156"/>
      <c r="E1005" s="156"/>
      <c r="F1005" s="50">
        <v>43466</v>
      </c>
      <c r="G1005" s="50">
        <v>43646</v>
      </c>
      <c r="H1005" s="168"/>
      <c r="I1005" s="15" t="s">
        <v>23</v>
      </c>
      <c r="J1005" s="15" t="s">
        <v>23</v>
      </c>
      <c r="K1005" s="13">
        <f>$K$735</f>
        <v>28.71</v>
      </c>
      <c r="L1005" s="13">
        <f>$L$735</f>
        <v>2049.61</v>
      </c>
      <c r="M1005" s="196" t="s">
        <v>424</v>
      </c>
    </row>
    <row r="1006" spans="1:13" ht="15" customHeight="1" outlineLevel="1" x14ac:dyDescent="0.25">
      <c r="A1006" s="148"/>
      <c r="B1006" s="148"/>
      <c r="C1006" s="148"/>
      <c r="D1006" s="156"/>
      <c r="E1006" s="156"/>
      <c r="F1006" s="50">
        <v>43647</v>
      </c>
      <c r="G1006" s="50">
        <v>43830</v>
      </c>
      <c r="H1006" s="168"/>
      <c r="I1006" s="15" t="s">
        <v>23</v>
      </c>
      <c r="J1006" s="15" t="s">
        <v>23</v>
      </c>
      <c r="K1006" s="13">
        <f>$K$736</f>
        <v>29.28</v>
      </c>
      <c r="L1006" s="13">
        <f>$L$736</f>
        <v>2090.61</v>
      </c>
      <c r="M1006" s="198"/>
    </row>
    <row r="1007" spans="1:13" ht="15" customHeight="1" outlineLevel="1" x14ac:dyDescent="0.25">
      <c r="A1007" s="148"/>
      <c r="B1007" s="148"/>
      <c r="C1007" s="148"/>
      <c r="D1007" s="156"/>
      <c r="E1007" s="156"/>
      <c r="F1007" s="50">
        <v>43466</v>
      </c>
      <c r="G1007" s="50">
        <v>43646</v>
      </c>
      <c r="H1007" s="168"/>
      <c r="I1007" s="15" t="s">
        <v>23</v>
      </c>
      <c r="J1007" s="15" t="s">
        <v>23</v>
      </c>
      <c r="K1007" s="13">
        <f>$K$737</f>
        <v>28.71</v>
      </c>
      <c r="L1007" s="13">
        <f>$L$737</f>
        <v>2217.62</v>
      </c>
      <c r="M1007" s="196" t="s">
        <v>425</v>
      </c>
    </row>
    <row r="1008" spans="1:13" ht="15" customHeight="1" outlineLevel="1" x14ac:dyDescent="0.25">
      <c r="A1008" s="148"/>
      <c r="B1008" s="148"/>
      <c r="C1008" s="148"/>
      <c r="D1008" s="156"/>
      <c r="E1008" s="156"/>
      <c r="F1008" s="50">
        <v>43647</v>
      </c>
      <c r="G1008" s="50">
        <v>43830</v>
      </c>
      <c r="H1008" s="168"/>
      <c r="I1008" s="15" t="s">
        <v>23</v>
      </c>
      <c r="J1008" s="15" t="s">
        <v>23</v>
      </c>
      <c r="K1008" s="13">
        <f>$K$738</f>
        <v>29.28</v>
      </c>
      <c r="L1008" s="13">
        <f>$L$738</f>
        <v>2261.9699999999998</v>
      </c>
      <c r="M1008" s="198"/>
    </row>
    <row r="1009" spans="1:13" ht="15" customHeight="1" outlineLevel="1" x14ac:dyDescent="0.25">
      <c r="A1009" s="148"/>
      <c r="B1009" s="148"/>
      <c r="C1009" s="148"/>
      <c r="D1009" s="156"/>
      <c r="E1009" s="156"/>
      <c r="F1009" s="50">
        <v>43466</v>
      </c>
      <c r="G1009" s="50">
        <v>43646</v>
      </c>
      <c r="H1009" s="168"/>
      <c r="I1009" s="15" t="s">
        <v>23</v>
      </c>
      <c r="J1009" s="15" t="s">
        <v>23</v>
      </c>
      <c r="K1009" s="13">
        <f>$K$739</f>
        <v>28.71</v>
      </c>
      <c r="L1009" s="13">
        <f>$L$739</f>
        <v>1878.81</v>
      </c>
      <c r="M1009" s="196" t="s">
        <v>426</v>
      </c>
    </row>
    <row r="1010" spans="1:13" ht="15" customHeight="1" outlineLevel="1" x14ac:dyDescent="0.25">
      <c r="A1010" s="148"/>
      <c r="B1010" s="148"/>
      <c r="C1010" s="148"/>
      <c r="D1010" s="156"/>
      <c r="E1010" s="156"/>
      <c r="F1010" s="50">
        <v>43647</v>
      </c>
      <c r="G1010" s="50">
        <v>43830</v>
      </c>
      <c r="H1010" s="168"/>
      <c r="I1010" s="15" t="s">
        <v>23</v>
      </c>
      <c r="J1010" s="15" t="s">
        <v>23</v>
      </c>
      <c r="K1010" s="13">
        <f>$K$740</f>
        <v>29.28</v>
      </c>
      <c r="L1010" s="13">
        <f>$L$740</f>
        <v>1916.39</v>
      </c>
      <c r="M1010" s="198"/>
    </row>
    <row r="1011" spans="1:13" ht="15" customHeight="1" outlineLevel="1" x14ac:dyDescent="0.25">
      <c r="A1011" s="148"/>
      <c r="B1011" s="148"/>
      <c r="C1011" s="148"/>
      <c r="D1011" s="156"/>
      <c r="E1011" s="156"/>
      <c r="F1011" s="50">
        <v>43466</v>
      </c>
      <c r="G1011" s="50">
        <v>43646</v>
      </c>
      <c r="H1011" s="168"/>
      <c r="I1011" s="15" t="s">
        <v>23</v>
      </c>
      <c r="J1011" s="15" t="s">
        <v>23</v>
      </c>
      <c r="K1011" s="13">
        <f>$K$741</f>
        <v>28.71</v>
      </c>
      <c r="L1011" s="13">
        <f>$L$741</f>
        <v>2049.61</v>
      </c>
      <c r="M1011" s="196" t="s">
        <v>427</v>
      </c>
    </row>
    <row r="1012" spans="1:13" ht="15" customHeight="1" outlineLevel="1" x14ac:dyDescent="0.25">
      <c r="A1012" s="147"/>
      <c r="B1012" s="147"/>
      <c r="C1012" s="147"/>
      <c r="D1012" s="156"/>
      <c r="E1012" s="156"/>
      <c r="F1012" s="50">
        <v>43647</v>
      </c>
      <c r="G1012" s="50">
        <v>43830</v>
      </c>
      <c r="H1012" s="168"/>
      <c r="I1012" s="15" t="s">
        <v>23</v>
      </c>
      <c r="J1012" s="15" t="s">
        <v>23</v>
      </c>
      <c r="K1012" s="13">
        <f>$K$742</f>
        <v>29.28</v>
      </c>
      <c r="L1012" s="13">
        <f>$L$742</f>
        <v>2090.61</v>
      </c>
      <c r="M1012" s="198"/>
    </row>
    <row r="1013" spans="1:13" ht="15" customHeight="1" outlineLevel="1" x14ac:dyDescent="0.25">
      <c r="A1013" s="59">
        <v>4</v>
      </c>
      <c r="B1013" s="7" t="s">
        <v>148</v>
      </c>
      <c r="C1013" s="60"/>
      <c r="D1013" s="61"/>
      <c r="E1013" s="61"/>
      <c r="F1013" s="61"/>
      <c r="G1013" s="61"/>
      <c r="H1013" s="61"/>
      <c r="I1013" s="61"/>
      <c r="J1013" s="61"/>
      <c r="K1013" s="62"/>
      <c r="L1013" s="62"/>
      <c r="M1013" s="63"/>
    </row>
    <row r="1014" spans="1:13" ht="15" customHeight="1" outlineLevel="1" x14ac:dyDescent="0.25">
      <c r="A1014" s="146" t="s">
        <v>65</v>
      </c>
      <c r="B1014" s="146" t="s">
        <v>361</v>
      </c>
      <c r="C1014" s="146" t="s">
        <v>448</v>
      </c>
      <c r="D1014" s="137">
        <v>43083</v>
      </c>
      <c r="E1014" s="137" t="s">
        <v>608</v>
      </c>
      <c r="F1014" s="12">
        <v>43466</v>
      </c>
      <c r="G1014" s="12">
        <v>43646</v>
      </c>
      <c r="H1014" s="149" t="s">
        <v>807</v>
      </c>
      <c r="I1014" s="66">
        <v>28.36</v>
      </c>
      <c r="J1014" s="13">
        <v>2872.24</v>
      </c>
      <c r="K1014" s="15" t="s">
        <v>23</v>
      </c>
      <c r="L1014" s="15" t="s">
        <v>23</v>
      </c>
      <c r="M1014" s="153"/>
    </row>
    <row r="1015" spans="1:13" ht="15" customHeight="1" outlineLevel="1" x14ac:dyDescent="0.25">
      <c r="A1015" s="148"/>
      <c r="B1015" s="148"/>
      <c r="C1015" s="148"/>
      <c r="D1015" s="141"/>
      <c r="E1015" s="141"/>
      <c r="F1015" s="12">
        <v>43647</v>
      </c>
      <c r="G1015" s="12">
        <v>43830</v>
      </c>
      <c r="H1015" s="151"/>
      <c r="I1015" s="66">
        <v>31.31</v>
      </c>
      <c r="J1015" s="13">
        <v>3270.55</v>
      </c>
      <c r="K1015" s="15" t="s">
        <v>23</v>
      </c>
      <c r="L1015" s="15" t="s">
        <v>23</v>
      </c>
      <c r="M1015" s="152"/>
    </row>
    <row r="1016" spans="1:13" ht="15" customHeight="1" outlineLevel="1" x14ac:dyDescent="0.25">
      <c r="A1016" s="148"/>
      <c r="B1016" s="148"/>
      <c r="C1016" s="148"/>
      <c r="D1016" s="137">
        <v>43454</v>
      </c>
      <c r="E1016" s="137" t="s">
        <v>808</v>
      </c>
      <c r="F1016" s="50">
        <v>43466</v>
      </c>
      <c r="G1016" s="50">
        <v>43646</v>
      </c>
      <c r="H1016" s="149"/>
      <c r="I1016" s="15"/>
      <c r="J1016" s="15" t="s">
        <v>23</v>
      </c>
      <c r="K1016" s="13">
        <v>20.010000000000002</v>
      </c>
      <c r="L1016" s="13">
        <v>1762.6160648489254</v>
      </c>
      <c r="M1016" s="196" t="s">
        <v>420</v>
      </c>
    </row>
    <row r="1017" spans="1:13" ht="15" customHeight="1" outlineLevel="1" x14ac:dyDescent="0.25">
      <c r="A1017" s="148"/>
      <c r="B1017" s="148"/>
      <c r="C1017" s="148"/>
      <c r="D1017" s="138"/>
      <c r="E1017" s="138"/>
      <c r="F1017" s="50">
        <v>43647</v>
      </c>
      <c r="G1017" s="50">
        <v>43830</v>
      </c>
      <c r="H1017" s="150"/>
      <c r="I1017" s="15" t="s">
        <v>23</v>
      </c>
      <c r="J1017" s="15" t="s">
        <v>23</v>
      </c>
      <c r="K1017" s="13">
        <v>20.410200000000003</v>
      </c>
      <c r="L1017" s="13">
        <v>1797.8683861459037</v>
      </c>
      <c r="M1017" s="198"/>
    </row>
    <row r="1018" spans="1:13" ht="15" customHeight="1" outlineLevel="1" x14ac:dyDescent="0.25">
      <c r="A1018" s="148"/>
      <c r="B1018" s="148"/>
      <c r="C1018" s="148"/>
      <c r="D1018" s="138"/>
      <c r="E1018" s="138"/>
      <c r="F1018" s="50">
        <v>43466</v>
      </c>
      <c r="G1018" s="50">
        <v>43646</v>
      </c>
      <c r="H1018" s="150"/>
      <c r="I1018" s="15" t="s">
        <v>23</v>
      </c>
      <c r="J1018" s="15" t="s">
        <v>23</v>
      </c>
      <c r="K1018" s="13">
        <v>20.010000000000002</v>
      </c>
      <c r="L1018" s="13">
        <v>1930.4842615012042</v>
      </c>
      <c r="M1018" s="196" t="s">
        <v>421</v>
      </c>
    </row>
    <row r="1019" spans="1:13" ht="15" customHeight="1" outlineLevel="1" x14ac:dyDescent="0.25">
      <c r="A1019" s="148"/>
      <c r="B1019" s="148"/>
      <c r="C1019" s="148"/>
      <c r="D1019" s="138"/>
      <c r="E1019" s="138"/>
      <c r="F1019" s="50">
        <v>43647</v>
      </c>
      <c r="G1019" s="50">
        <v>43830</v>
      </c>
      <c r="H1019" s="150"/>
      <c r="I1019" s="15" t="s">
        <v>23</v>
      </c>
      <c r="J1019" s="15" t="s">
        <v>23</v>
      </c>
      <c r="K1019" s="13">
        <v>20.410200000000003</v>
      </c>
      <c r="L1019" s="13">
        <v>1969.0939467312282</v>
      </c>
      <c r="M1019" s="198"/>
    </row>
    <row r="1020" spans="1:13" ht="15" customHeight="1" outlineLevel="1" x14ac:dyDescent="0.25">
      <c r="A1020" s="148"/>
      <c r="B1020" s="148"/>
      <c r="C1020" s="148"/>
      <c r="D1020" s="138"/>
      <c r="E1020" s="138"/>
      <c r="F1020" s="50">
        <v>43466</v>
      </c>
      <c r="G1020" s="50">
        <v>43646</v>
      </c>
      <c r="H1020" s="150"/>
      <c r="I1020" s="15" t="s">
        <v>23</v>
      </c>
      <c r="J1020" s="15" t="s">
        <v>23</v>
      </c>
      <c r="K1020" s="13">
        <v>20.010000000000002</v>
      </c>
      <c r="L1020" s="13">
        <v>1643.5203847915657</v>
      </c>
      <c r="M1020" s="196" t="s">
        <v>422</v>
      </c>
    </row>
    <row r="1021" spans="1:13" ht="15" customHeight="1" outlineLevel="1" x14ac:dyDescent="0.25">
      <c r="A1021" s="148"/>
      <c r="B1021" s="148"/>
      <c r="C1021" s="148"/>
      <c r="D1021" s="138"/>
      <c r="E1021" s="138"/>
      <c r="F1021" s="50">
        <v>43647</v>
      </c>
      <c r="G1021" s="50">
        <v>43830</v>
      </c>
      <c r="H1021" s="150"/>
      <c r="I1021" s="15" t="s">
        <v>23</v>
      </c>
      <c r="J1021" s="15" t="s">
        <v>23</v>
      </c>
      <c r="K1021" s="13">
        <v>20.410200000000003</v>
      </c>
      <c r="L1021" s="13">
        <v>1676.390792487397</v>
      </c>
      <c r="M1021" s="198"/>
    </row>
    <row r="1022" spans="1:13" ht="15" customHeight="1" outlineLevel="1" x14ac:dyDescent="0.25">
      <c r="A1022" s="148"/>
      <c r="B1022" s="148"/>
      <c r="C1022" s="148"/>
      <c r="D1022" s="138"/>
      <c r="E1022" s="138"/>
      <c r="F1022" s="50">
        <v>43466</v>
      </c>
      <c r="G1022" s="50">
        <v>43646</v>
      </c>
      <c r="H1022" s="150"/>
      <c r="I1022" s="15" t="s">
        <v>23</v>
      </c>
      <c r="J1022" s="15" t="s">
        <v>23</v>
      </c>
      <c r="K1022" s="13">
        <v>20.010000000000002</v>
      </c>
      <c r="L1022" s="13">
        <v>1762.6160648489254</v>
      </c>
      <c r="M1022" s="196" t="s">
        <v>423</v>
      </c>
    </row>
    <row r="1023" spans="1:13" ht="15" customHeight="1" outlineLevel="1" x14ac:dyDescent="0.25">
      <c r="A1023" s="148"/>
      <c r="B1023" s="148"/>
      <c r="C1023" s="148"/>
      <c r="D1023" s="138"/>
      <c r="E1023" s="138"/>
      <c r="F1023" s="50">
        <v>43647</v>
      </c>
      <c r="G1023" s="50">
        <v>43830</v>
      </c>
      <c r="H1023" s="150"/>
      <c r="I1023" s="15" t="s">
        <v>23</v>
      </c>
      <c r="J1023" s="15" t="s">
        <v>23</v>
      </c>
      <c r="K1023" s="13">
        <v>20.410200000000003</v>
      </c>
      <c r="L1023" s="13">
        <v>1797.8683861459037</v>
      </c>
      <c r="M1023" s="198"/>
    </row>
    <row r="1024" spans="1:13" ht="15" customHeight="1" outlineLevel="1" x14ac:dyDescent="0.25">
      <c r="A1024" s="148"/>
      <c r="B1024" s="148"/>
      <c r="C1024" s="148"/>
      <c r="D1024" s="138"/>
      <c r="E1024" s="138"/>
      <c r="F1024" s="50">
        <v>43466</v>
      </c>
      <c r="G1024" s="50">
        <v>43646</v>
      </c>
      <c r="H1024" s="150"/>
      <c r="I1024" s="15" t="s">
        <v>23</v>
      </c>
      <c r="J1024" s="15" t="s">
        <v>23</v>
      </c>
      <c r="K1024" s="13">
        <v>20.010000000000002</v>
      </c>
      <c r="L1024" s="13">
        <v>1842.7349768875129</v>
      </c>
      <c r="M1024" s="196" t="s">
        <v>424</v>
      </c>
    </row>
    <row r="1025" spans="1:17" ht="15" customHeight="1" outlineLevel="1" x14ac:dyDescent="0.25">
      <c r="A1025" s="148"/>
      <c r="B1025" s="148"/>
      <c r="C1025" s="148"/>
      <c r="D1025" s="138"/>
      <c r="E1025" s="138"/>
      <c r="F1025" s="50">
        <v>43647</v>
      </c>
      <c r="G1025" s="50">
        <v>43830</v>
      </c>
      <c r="H1025" s="150"/>
      <c r="I1025" s="15" t="s">
        <v>23</v>
      </c>
      <c r="J1025" s="15" t="s">
        <v>23</v>
      </c>
      <c r="K1025" s="13">
        <v>20.410200000000003</v>
      </c>
      <c r="L1025" s="13">
        <v>1879.5896764252632</v>
      </c>
      <c r="M1025" s="198"/>
    </row>
    <row r="1026" spans="1:17" ht="15" customHeight="1" outlineLevel="1" x14ac:dyDescent="0.25">
      <c r="A1026" s="148"/>
      <c r="B1026" s="148"/>
      <c r="C1026" s="148"/>
      <c r="D1026" s="138"/>
      <c r="E1026" s="138"/>
      <c r="F1026" s="50">
        <v>43466</v>
      </c>
      <c r="G1026" s="50">
        <v>43646</v>
      </c>
      <c r="H1026" s="150"/>
      <c r="I1026" s="15" t="s">
        <v>23</v>
      </c>
      <c r="J1026" s="15" t="s">
        <v>23</v>
      </c>
      <c r="K1026" s="13">
        <v>20.010000000000002</v>
      </c>
      <c r="L1026" s="13">
        <v>1993.7788274520633</v>
      </c>
      <c r="M1026" s="196" t="s">
        <v>425</v>
      </c>
    </row>
    <row r="1027" spans="1:17" ht="15" customHeight="1" outlineLevel="1" x14ac:dyDescent="0.25">
      <c r="A1027" s="148"/>
      <c r="B1027" s="148"/>
      <c r="C1027" s="148"/>
      <c r="D1027" s="138"/>
      <c r="E1027" s="138"/>
      <c r="F1027" s="50">
        <v>43647</v>
      </c>
      <c r="G1027" s="50">
        <v>43830</v>
      </c>
      <c r="H1027" s="150"/>
      <c r="I1027" s="15" t="s">
        <v>23</v>
      </c>
      <c r="J1027" s="15" t="s">
        <v>23</v>
      </c>
      <c r="K1027" s="13">
        <v>20.410200000000003</v>
      </c>
      <c r="L1027" s="13">
        <v>2033.6544040011045</v>
      </c>
      <c r="M1027" s="198"/>
    </row>
    <row r="1028" spans="1:17" ht="15" customHeight="1" outlineLevel="1" x14ac:dyDescent="0.25">
      <c r="A1028" s="148"/>
      <c r="B1028" s="148"/>
      <c r="C1028" s="148"/>
      <c r="D1028" s="138"/>
      <c r="E1028" s="138"/>
      <c r="F1028" s="50">
        <v>43466</v>
      </c>
      <c r="G1028" s="50">
        <v>43646</v>
      </c>
      <c r="H1028" s="150"/>
      <c r="I1028" s="15" t="s">
        <v>23</v>
      </c>
      <c r="J1028" s="15" t="s">
        <v>23</v>
      </c>
      <c r="K1028" s="13">
        <v>20.010000000000002</v>
      </c>
      <c r="L1028" s="13">
        <v>1689.1737288135537</v>
      </c>
      <c r="M1028" s="196" t="s">
        <v>426</v>
      </c>
    </row>
    <row r="1029" spans="1:17" ht="15" customHeight="1" outlineLevel="1" x14ac:dyDescent="0.25">
      <c r="A1029" s="148"/>
      <c r="B1029" s="148"/>
      <c r="C1029" s="148"/>
      <c r="D1029" s="138"/>
      <c r="E1029" s="138"/>
      <c r="F1029" s="50">
        <v>43647</v>
      </c>
      <c r="G1029" s="50">
        <v>43830</v>
      </c>
      <c r="H1029" s="150"/>
      <c r="I1029" s="15" t="s">
        <v>23</v>
      </c>
      <c r="J1029" s="15" t="s">
        <v>23</v>
      </c>
      <c r="K1029" s="13">
        <v>20.410200000000003</v>
      </c>
      <c r="L1029" s="13">
        <v>1722.9572033898248</v>
      </c>
      <c r="M1029" s="198"/>
    </row>
    <row r="1030" spans="1:17" ht="15" customHeight="1" outlineLevel="1" x14ac:dyDescent="0.25">
      <c r="A1030" s="148"/>
      <c r="B1030" s="148"/>
      <c r="C1030" s="148"/>
      <c r="D1030" s="138"/>
      <c r="E1030" s="138"/>
      <c r="F1030" s="50">
        <v>43466</v>
      </c>
      <c r="G1030" s="50">
        <v>43646</v>
      </c>
      <c r="H1030" s="150"/>
      <c r="I1030" s="15" t="s">
        <v>23</v>
      </c>
      <c r="J1030" s="15" t="s">
        <v>23</v>
      </c>
      <c r="K1030" s="13">
        <v>20.010000000000002</v>
      </c>
      <c r="L1030" s="13">
        <v>1842.7349768875129</v>
      </c>
      <c r="M1030" s="196" t="s">
        <v>427</v>
      </c>
    </row>
    <row r="1031" spans="1:17" ht="15" customHeight="1" outlineLevel="1" x14ac:dyDescent="0.25">
      <c r="A1031" s="147"/>
      <c r="B1031" s="147"/>
      <c r="C1031" s="147"/>
      <c r="D1031" s="141"/>
      <c r="E1031" s="141"/>
      <c r="F1031" s="50">
        <v>43647</v>
      </c>
      <c r="G1031" s="50">
        <v>43830</v>
      </c>
      <c r="H1031" s="151"/>
      <c r="I1031" s="15" t="s">
        <v>23</v>
      </c>
      <c r="J1031" s="15" t="s">
        <v>23</v>
      </c>
      <c r="K1031" s="13">
        <v>20.410200000000003</v>
      </c>
      <c r="L1031" s="13">
        <v>1879.5896764252632</v>
      </c>
      <c r="M1031" s="198"/>
    </row>
    <row r="1032" spans="1:17" ht="15" customHeight="1" outlineLevel="1" x14ac:dyDescent="0.25">
      <c r="A1032" s="146" t="s">
        <v>65</v>
      </c>
      <c r="B1032" s="146" t="s">
        <v>406</v>
      </c>
      <c r="C1032" s="146" t="s">
        <v>162</v>
      </c>
      <c r="D1032" s="137">
        <v>42723</v>
      </c>
      <c r="E1032" s="137" t="s">
        <v>643</v>
      </c>
      <c r="F1032" s="12">
        <v>43466</v>
      </c>
      <c r="G1032" s="12">
        <v>43646</v>
      </c>
      <c r="H1032" s="149" t="s">
        <v>645</v>
      </c>
      <c r="I1032" s="66">
        <v>20.28</v>
      </c>
      <c r="J1032" s="13">
        <v>2501.2800000000002</v>
      </c>
      <c r="K1032" s="15" t="s">
        <v>23</v>
      </c>
      <c r="L1032" s="15" t="s">
        <v>23</v>
      </c>
      <c r="M1032" s="153"/>
    </row>
    <row r="1033" spans="1:17" ht="15" customHeight="1" outlineLevel="1" x14ac:dyDescent="0.25">
      <c r="A1033" s="148"/>
      <c r="B1033" s="148"/>
      <c r="C1033" s="148"/>
      <c r="D1033" s="141"/>
      <c r="E1033" s="141"/>
      <c r="F1033" s="12">
        <v>43647</v>
      </c>
      <c r="G1033" s="12">
        <v>43830</v>
      </c>
      <c r="H1033" s="151"/>
      <c r="I1033" s="66">
        <v>36.979999999999997</v>
      </c>
      <c r="J1033" s="13">
        <v>2600.1999999999998</v>
      </c>
      <c r="K1033" s="15" t="s">
        <v>23</v>
      </c>
      <c r="L1033" s="15" t="s">
        <v>23</v>
      </c>
      <c r="M1033" s="152"/>
    </row>
    <row r="1034" spans="1:17" ht="15" customHeight="1" outlineLevel="1" x14ac:dyDescent="0.25">
      <c r="A1034" s="148"/>
      <c r="B1034" s="148"/>
      <c r="C1034" s="148"/>
      <c r="D1034" s="137">
        <v>43454</v>
      </c>
      <c r="E1034" s="137" t="s">
        <v>642</v>
      </c>
      <c r="F1034" s="50">
        <v>43466</v>
      </c>
      <c r="G1034" s="50">
        <v>43646</v>
      </c>
      <c r="H1034" s="149"/>
      <c r="I1034" s="15" t="s">
        <v>23</v>
      </c>
      <c r="J1034" s="15" t="s">
        <v>23</v>
      </c>
      <c r="K1034" s="13">
        <v>16.82</v>
      </c>
      <c r="L1034" s="13">
        <v>1354.16</v>
      </c>
      <c r="M1034" s="196" t="s">
        <v>420</v>
      </c>
      <c r="N1034" s="55">
        <f>K1034/1.2</f>
        <v>14.016666666666667</v>
      </c>
      <c r="O1034" s="55">
        <f>L1034/1.2</f>
        <v>1128.4666666666667</v>
      </c>
      <c r="P1034" s="122">
        <f>$I$1032-N1034</f>
        <v>6.2633333333333336</v>
      </c>
      <c r="Q1034" s="57">
        <f>$J$1032-O1034</f>
        <v>1372.8133333333335</v>
      </c>
    </row>
    <row r="1035" spans="1:17" ht="15" customHeight="1" outlineLevel="1" x14ac:dyDescent="0.25">
      <c r="A1035" s="148"/>
      <c r="B1035" s="148"/>
      <c r="C1035" s="148"/>
      <c r="D1035" s="138"/>
      <c r="E1035" s="138"/>
      <c r="F1035" s="50">
        <v>43647</v>
      </c>
      <c r="G1035" s="50">
        <v>43830</v>
      </c>
      <c r="H1035" s="150"/>
      <c r="I1035" s="15" t="s">
        <v>23</v>
      </c>
      <c r="J1035" s="15" t="s">
        <v>23</v>
      </c>
      <c r="K1035" s="13">
        <v>17.16</v>
      </c>
      <c r="L1035" s="13">
        <v>1381.24</v>
      </c>
      <c r="M1035" s="198"/>
      <c r="N1035" s="55">
        <f t="shared" ref="N1035:N1049" si="5">K1035/1.2</f>
        <v>14.3</v>
      </c>
      <c r="O1035" s="55">
        <f t="shared" ref="O1035:O1049" si="6">L1035/1.2</f>
        <v>1151.0333333333333</v>
      </c>
      <c r="P1035" s="122">
        <f t="shared" ref="P1035:P1049" si="7">$I$1032-N1035</f>
        <v>5.98</v>
      </c>
      <c r="Q1035" s="57">
        <f t="shared" ref="Q1035:Q1049" si="8">$J$1032-O1035</f>
        <v>1350.2466666666669</v>
      </c>
    </row>
    <row r="1036" spans="1:17" ht="15" customHeight="1" outlineLevel="1" x14ac:dyDescent="0.25">
      <c r="A1036" s="148"/>
      <c r="B1036" s="148"/>
      <c r="C1036" s="148"/>
      <c r="D1036" s="138"/>
      <c r="E1036" s="138"/>
      <c r="F1036" s="50">
        <v>43466</v>
      </c>
      <c r="G1036" s="50">
        <v>43646</v>
      </c>
      <c r="H1036" s="150"/>
      <c r="I1036" s="15" t="s">
        <v>23</v>
      </c>
      <c r="J1036" s="15" t="s">
        <v>23</v>
      </c>
      <c r="K1036" s="13">
        <v>16.82</v>
      </c>
      <c r="L1036" s="13">
        <v>1483.13</v>
      </c>
      <c r="M1036" s="196" t="s">
        <v>421</v>
      </c>
      <c r="N1036" s="55">
        <f t="shared" si="5"/>
        <v>14.016666666666667</v>
      </c>
      <c r="O1036" s="55">
        <f t="shared" si="6"/>
        <v>1235.9416666666668</v>
      </c>
      <c r="P1036" s="122">
        <f t="shared" si="7"/>
        <v>6.2633333333333336</v>
      </c>
      <c r="Q1036" s="57">
        <f t="shared" si="8"/>
        <v>1265.3383333333334</v>
      </c>
    </row>
    <row r="1037" spans="1:17" ht="15" customHeight="1" outlineLevel="1" x14ac:dyDescent="0.25">
      <c r="A1037" s="148"/>
      <c r="B1037" s="148"/>
      <c r="C1037" s="148"/>
      <c r="D1037" s="138"/>
      <c r="E1037" s="138"/>
      <c r="F1037" s="50">
        <v>43647</v>
      </c>
      <c r="G1037" s="50">
        <v>43830</v>
      </c>
      <c r="H1037" s="150"/>
      <c r="I1037" s="15" t="s">
        <v>23</v>
      </c>
      <c r="J1037" s="15" t="s">
        <v>23</v>
      </c>
      <c r="K1037" s="13">
        <v>17.16</v>
      </c>
      <c r="L1037" s="13">
        <v>1512.79</v>
      </c>
      <c r="M1037" s="198"/>
      <c r="N1037" s="55">
        <f t="shared" si="5"/>
        <v>14.3</v>
      </c>
      <c r="O1037" s="55">
        <f t="shared" si="6"/>
        <v>1260.6583333333333</v>
      </c>
      <c r="P1037" s="122">
        <f t="shared" si="7"/>
        <v>5.98</v>
      </c>
      <c r="Q1037" s="57">
        <f t="shared" si="8"/>
        <v>1240.6216666666669</v>
      </c>
    </row>
    <row r="1038" spans="1:17" ht="15" customHeight="1" outlineLevel="1" x14ac:dyDescent="0.25">
      <c r="A1038" s="148"/>
      <c r="B1038" s="148"/>
      <c r="C1038" s="148"/>
      <c r="D1038" s="138"/>
      <c r="E1038" s="138"/>
      <c r="F1038" s="50">
        <v>43466</v>
      </c>
      <c r="G1038" s="50">
        <v>43646</v>
      </c>
      <c r="H1038" s="150"/>
      <c r="I1038" s="15" t="s">
        <v>23</v>
      </c>
      <c r="J1038" s="15" t="s">
        <v>23</v>
      </c>
      <c r="K1038" s="13">
        <v>16.82</v>
      </c>
      <c r="L1038" s="13">
        <v>1262.6600000000001</v>
      </c>
      <c r="M1038" s="196" t="s">
        <v>422</v>
      </c>
      <c r="N1038" s="55">
        <f t="shared" si="5"/>
        <v>14.016666666666667</v>
      </c>
      <c r="O1038" s="55">
        <f t="shared" si="6"/>
        <v>1052.2166666666667</v>
      </c>
      <c r="P1038" s="122">
        <f t="shared" si="7"/>
        <v>6.2633333333333336</v>
      </c>
      <c r="Q1038" s="57">
        <f t="shared" si="8"/>
        <v>1449.0633333333335</v>
      </c>
    </row>
    <row r="1039" spans="1:17" ht="15" customHeight="1" outlineLevel="1" x14ac:dyDescent="0.25">
      <c r="A1039" s="148"/>
      <c r="B1039" s="148"/>
      <c r="C1039" s="148"/>
      <c r="D1039" s="138"/>
      <c r="E1039" s="138"/>
      <c r="F1039" s="50">
        <v>43647</v>
      </c>
      <c r="G1039" s="50">
        <v>43830</v>
      </c>
      <c r="H1039" s="150"/>
      <c r="I1039" s="15" t="s">
        <v>23</v>
      </c>
      <c r="J1039" s="15" t="s">
        <v>23</v>
      </c>
      <c r="K1039" s="13">
        <v>17.16</v>
      </c>
      <c r="L1039" s="13">
        <v>1287.92</v>
      </c>
      <c r="M1039" s="198"/>
      <c r="N1039" s="55">
        <f t="shared" si="5"/>
        <v>14.3</v>
      </c>
      <c r="O1039" s="55">
        <f t="shared" si="6"/>
        <v>1073.2666666666669</v>
      </c>
      <c r="P1039" s="122">
        <f t="shared" si="7"/>
        <v>5.98</v>
      </c>
      <c r="Q1039" s="57">
        <f t="shared" si="8"/>
        <v>1428.0133333333333</v>
      </c>
    </row>
    <row r="1040" spans="1:17" ht="15" customHeight="1" outlineLevel="1" x14ac:dyDescent="0.25">
      <c r="A1040" s="148"/>
      <c r="B1040" s="148"/>
      <c r="C1040" s="148"/>
      <c r="D1040" s="138"/>
      <c r="E1040" s="138"/>
      <c r="F1040" s="50">
        <v>43466</v>
      </c>
      <c r="G1040" s="50">
        <v>43646</v>
      </c>
      <c r="H1040" s="150"/>
      <c r="I1040" s="15" t="s">
        <v>23</v>
      </c>
      <c r="J1040" s="15" t="s">
        <v>23</v>
      </c>
      <c r="K1040" s="13">
        <v>16.82</v>
      </c>
      <c r="L1040" s="13">
        <v>1354.16</v>
      </c>
      <c r="M1040" s="196" t="s">
        <v>423</v>
      </c>
      <c r="N1040" s="55">
        <f t="shared" si="5"/>
        <v>14.016666666666667</v>
      </c>
      <c r="O1040" s="55">
        <f t="shared" si="6"/>
        <v>1128.4666666666667</v>
      </c>
      <c r="P1040" s="122">
        <f t="shared" si="7"/>
        <v>6.2633333333333336</v>
      </c>
      <c r="Q1040" s="57">
        <f t="shared" si="8"/>
        <v>1372.8133333333335</v>
      </c>
    </row>
    <row r="1041" spans="1:17" ht="15" customHeight="1" outlineLevel="1" x14ac:dyDescent="0.25">
      <c r="A1041" s="148"/>
      <c r="B1041" s="148"/>
      <c r="C1041" s="148"/>
      <c r="D1041" s="138"/>
      <c r="E1041" s="138"/>
      <c r="F1041" s="50">
        <v>43647</v>
      </c>
      <c r="G1041" s="50">
        <v>43830</v>
      </c>
      <c r="H1041" s="150"/>
      <c r="I1041" s="15" t="s">
        <v>23</v>
      </c>
      <c r="J1041" s="15" t="s">
        <v>23</v>
      </c>
      <c r="K1041" s="13">
        <v>17.16</v>
      </c>
      <c r="L1041" s="13">
        <v>1381.24</v>
      </c>
      <c r="M1041" s="198"/>
      <c r="N1041" s="55">
        <f t="shared" si="5"/>
        <v>14.3</v>
      </c>
      <c r="O1041" s="55">
        <f t="shared" si="6"/>
        <v>1151.0333333333333</v>
      </c>
      <c r="P1041" s="122">
        <f t="shared" si="7"/>
        <v>5.98</v>
      </c>
      <c r="Q1041" s="57">
        <f t="shared" si="8"/>
        <v>1350.2466666666669</v>
      </c>
    </row>
    <row r="1042" spans="1:17" ht="15" customHeight="1" outlineLevel="1" x14ac:dyDescent="0.25">
      <c r="A1042" s="148"/>
      <c r="B1042" s="148"/>
      <c r="C1042" s="148"/>
      <c r="D1042" s="138"/>
      <c r="E1042" s="138"/>
      <c r="F1042" s="50">
        <v>43466</v>
      </c>
      <c r="G1042" s="50">
        <v>43646</v>
      </c>
      <c r="H1042" s="150"/>
      <c r="I1042" s="15" t="s">
        <v>23</v>
      </c>
      <c r="J1042" s="15" t="s">
        <v>23</v>
      </c>
      <c r="K1042" s="13">
        <v>16.82</v>
      </c>
      <c r="L1042" s="13">
        <v>1415.72</v>
      </c>
      <c r="M1042" s="196" t="s">
        <v>424</v>
      </c>
      <c r="N1042" s="55">
        <f t="shared" si="5"/>
        <v>14.016666666666667</v>
      </c>
      <c r="O1042" s="55">
        <f t="shared" si="6"/>
        <v>1179.7666666666667</v>
      </c>
      <c r="P1042" s="122">
        <f t="shared" si="7"/>
        <v>6.2633333333333336</v>
      </c>
      <c r="Q1042" s="57">
        <f t="shared" si="8"/>
        <v>1321.5133333333335</v>
      </c>
    </row>
    <row r="1043" spans="1:17" ht="15" customHeight="1" outlineLevel="1" x14ac:dyDescent="0.25">
      <c r="A1043" s="148"/>
      <c r="B1043" s="148"/>
      <c r="C1043" s="148"/>
      <c r="D1043" s="138"/>
      <c r="E1043" s="138"/>
      <c r="F1043" s="50">
        <v>43647</v>
      </c>
      <c r="G1043" s="50">
        <v>43830</v>
      </c>
      <c r="H1043" s="150"/>
      <c r="I1043" s="15" t="s">
        <v>23</v>
      </c>
      <c r="J1043" s="15" t="s">
        <v>23</v>
      </c>
      <c r="K1043" s="13">
        <v>17.16</v>
      </c>
      <c r="L1043" s="13">
        <v>1444.03</v>
      </c>
      <c r="M1043" s="198"/>
      <c r="N1043" s="55">
        <f t="shared" si="5"/>
        <v>14.3</v>
      </c>
      <c r="O1043" s="55">
        <f t="shared" si="6"/>
        <v>1203.3583333333333</v>
      </c>
      <c r="P1043" s="122">
        <f t="shared" si="7"/>
        <v>5.98</v>
      </c>
      <c r="Q1043" s="57">
        <f t="shared" si="8"/>
        <v>1297.9216666666669</v>
      </c>
    </row>
    <row r="1044" spans="1:17" ht="15" customHeight="1" outlineLevel="1" x14ac:dyDescent="0.25">
      <c r="A1044" s="148"/>
      <c r="B1044" s="148"/>
      <c r="C1044" s="148"/>
      <c r="D1044" s="138"/>
      <c r="E1044" s="138"/>
      <c r="F1044" s="50">
        <v>43466</v>
      </c>
      <c r="G1044" s="50">
        <v>43646</v>
      </c>
      <c r="H1044" s="150"/>
      <c r="I1044" s="15" t="s">
        <v>23</v>
      </c>
      <c r="J1044" s="15" t="s">
        <v>23</v>
      </c>
      <c r="K1044" s="13">
        <v>16.82</v>
      </c>
      <c r="L1044" s="13">
        <v>1531.76</v>
      </c>
      <c r="M1044" s="196" t="s">
        <v>425</v>
      </c>
      <c r="N1044" s="55">
        <f t="shared" si="5"/>
        <v>14.016666666666667</v>
      </c>
      <c r="O1044" s="55">
        <f t="shared" si="6"/>
        <v>1276.4666666666667</v>
      </c>
      <c r="P1044" s="122">
        <f t="shared" si="7"/>
        <v>6.2633333333333336</v>
      </c>
      <c r="Q1044" s="57">
        <f t="shared" si="8"/>
        <v>1224.8133333333335</v>
      </c>
    </row>
    <row r="1045" spans="1:17" ht="15" customHeight="1" outlineLevel="1" x14ac:dyDescent="0.25">
      <c r="A1045" s="148"/>
      <c r="B1045" s="148"/>
      <c r="C1045" s="148"/>
      <c r="D1045" s="138"/>
      <c r="E1045" s="138"/>
      <c r="F1045" s="50">
        <v>43647</v>
      </c>
      <c r="G1045" s="50">
        <v>43830</v>
      </c>
      <c r="H1045" s="150"/>
      <c r="I1045" s="15" t="s">
        <v>23</v>
      </c>
      <c r="J1045" s="15" t="s">
        <v>23</v>
      </c>
      <c r="K1045" s="13">
        <v>17.16</v>
      </c>
      <c r="L1045" s="13">
        <v>1562.39</v>
      </c>
      <c r="M1045" s="198"/>
      <c r="N1045" s="55">
        <f t="shared" si="5"/>
        <v>14.3</v>
      </c>
      <c r="O1045" s="55">
        <f t="shared" si="6"/>
        <v>1301.9916666666668</v>
      </c>
      <c r="P1045" s="122">
        <f t="shared" si="7"/>
        <v>5.98</v>
      </c>
      <c r="Q1045" s="57">
        <f t="shared" si="8"/>
        <v>1199.2883333333334</v>
      </c>
    </row>
    <row r="1046" spans="1:17" ht="15" customHeight="1" outlineLevel="1" x14ac:dyDescent="0.25">
      <c r="A1046" s="148"/>
      <c r="B1046" s="148"/>
      <c r="C1046" s="148"/>
      <c r="D1046" s="138"/>
      <c r="E1046" s="138"/>
      <c r="F1046" s="50">
        <v>43466</v>
      </c>
      <c r="G1046" s="50">
        <v>43646</v>
      </c>
      <c r="H1046" s="150"/>
      <c r="I1046" s="15" t="s">
        <v>23</v>
      </c>
      <c r="J1046" s="15" t="s">
        <v>23</v>
      </c>
      <c r="K1046" s="13">
        <v>16.82</v>
      </c>
      <c r="L1046" s="13">
        <v>1297.74</v>
      </c>
      <c r="M1046" s="196" t="s">
        <v>426</v>
      </c>
      <c r="N1046" s="55">
        <f t="shared" si="5"/>
        <v>14.016666666666667</v>
      </c>
      <c r="O1046" s="55">
        <f t="shared" si="6"/>
        <v>1081.45</v>
      </c>
      <c r="P1046" s="122">
        <f t="shared" si="7"/>
        <v>6.2633333333333336</v>
      </c>
      <c r="Q1046" s="57">
        <f t="shared" si="8"/>
        <v>1419.8300000000002</v>
      </c>
    </row>
    <row r="1047" spans="1:17" ht="15" customHeight="1" outlineLevel="1" x14ac:dyDescent="0.25">
      <c r="A1047" s="148"/>
      <c r="B1047" s="148"/>
      <c r="C1047" s="148"/>
      <c r="D1047" s="138"/>
      <c r="E1047" s="138"/>
      <c r="F1047" s="50">
        <v>43647</v>
      </c>
      <c r="G1047" s="50">
        <v>43830</v>
      </c>
      <c r="H1047" s="150"/>
      <c r="I1047" s="15" t="s">
        <v>23</v>
      </c>
      <c r="J1047" s="15" t="s">
        <v>23</v>
      </c>
      <c r="K1047" s="13">
        <v>17.16</v>
      </c>
      <c r="L1047" s="13">
        <v>1323.69</v>
      </c>
      <c r="M1047" s="198"/>
      <c r="N1047" s="55">
        <f t="shared" si="5"/>
        <v>14.3</v>
      </c>
      <c r="O1047" s="55">
        <f t="shared" si="6"/>
        <v>1103.075</v>
      </c>
      <c r="P1047" s="122">
        <f t="shared" si="7"/>
        <v>5.98</v>
      </c>
      <c r="Q1047" s="57">
        <f t="shared" si="8"/>
        <v>1398.2050000000002</v>
      </c>
    </row>
    <row r="1048" spans="1:17" ht="15" customHeight="1" outlineLevel="1" x14ac:dyDescent="0.25">
      <c r="A1048" s="148"/>
      <c r="B1048" s="148"/>
      <c r="C1048" s="148"/>
      <c r="D1048" s="138"/>
      <c r="E1048" s="138"/>
      <c r="F1048" s="50">
        <v>43466</v>
      </c>
      <c r="G1048" s="50">
        <v>43646</v>
      </c>
      <c r="H1048" s="150"/>
      <c r="I1048" s="15" t="s">
        <v>23</v>
      </c>
      <c r="J1048" s="15" t="s">
        <v>23</v>
      </c>
      <c r="K1048" s="13">
        <v>16.82</v>
      </c>
      <c r="L1048" s="13">
        <v>1415.72</v>
      </c>
      <c r="M1048" s="196" t="s">
        <v>427</v>
      </c>
      <c r="N1048" s="55">
        <f t="shared" si="5"/>
        <v>14.016666666666667</v>
      </c>
      <c r="O1048" s="55">
        <f t="shared" si="6"/>
        <v>1179.7666666666667</v>
      </c>
      <c r="P1048" s="122">
        <f t="shared" si="7"/>
        <v>6.2633333333333336</v>
      </c>
      <c r="Q1048" s="57">
        <f t="shared" si="8"/>
        <v>1321.5133333333335</v>
      </c>
    </row>
    <row r="1049" spans="1:17" ht="15" customHeight="1" outlineLevel="1" x14ac:dyDescent="0.25">
      <c r="A1049" s="147"/>
      <c r="B1049" s="147"/>
      <c r="C1049" s="148"/>
      <c r="D1049" s="141"/>
      <c r="E1049" s="141"/>
      <c r="F1049" s="50">
        <v>43647</v>
      </c>
      <c r="G1049" s="50">
        <v>43830</v>
      </c>
      <c r="H1049" s="151"/>
      <c r="I1049" s="15" t="s">
        <v>23</v>
      </c>
      <c r="J1049" s="15" t="s">
        <v>23</v>
      </c>
      <c r="K1049" s="13">
        <v>17.16</v>
      </c>
      <c r="L1049" s="13">
        <v>1444.03</v>
      </c>
      <c r="M1049" s="198"/>
      <c r="N1049" s="55">
        <f t="shared" si="5"/>
        <v>14.3</v>
      </c>
      <c r="O1049" s="55">
        <f t="shared" si="6"/>
        <v>1203.3583333333333</v>
      </c>
      <c r="P1049" s="122">
        <f t="shared" si="7"/>
        <v>5.98</v>
      </c>
      <c r="Q1049" s="57">
        <f t="shared" si="8"/>
        <v>1297.9216666666669</v>
      </c>
    </row>
    <row r="1050" spans="1:17" ht="15" customHeight="1" outlineLevel="1" x14ac:dyDescent="0.25">
      <c r="A1050" s="146" t="s">
        <v>65</v>
      </c>
      <c r="B1050" s="146" t="s">
        <v>570</v>
      </c>
      <c r="C1050" s="148"/>
      <c r="D1050" s="137">
        <v>42723</v>
      </c>
      <c r="E1050" s="137" t="s">
        <v>643</v>
      </c>
      <c r="F1050" s="12">
        <v>43466</v>
      </c>
      <c r="G1050" s="12">
        <v>43646</v>
      </c>
      <c r="H1050" s="149" t="s">
        <v>645</v>
      </c>
      <c r="I1050" s="66">
        <v>20.28</v>
      </c>
      <c r="J1050" s="13">
        <v>2501.2800000000002</v>
      </c>
      <c r="K1050" s="15" t="s">
        <v>23</v>
      </c>
      <c r="L1050" s="15" t="s">
        <v>23</v>
      </c>
      <c r="M1050" s="153"/>
    </row>
    <row r="1051" spans="1:17" ht="15" customHeight="1" outlineLevel="1" x14ac:dyDescent="0.25">
      <c r="A1051" s="148"/>
      <c r="B1051" s="148"/>
      <c r="C1051" s="148"/>
      <c r="D1051" s="141"/>
      <c r="E1051" s="141"/>
      <c r="F1051" s="12">
        <v>43647</v>
      </c>
      <c r="G1051" s="12">
        <v>43830</v>
      </c>
      <c r="H1051" s="151"/>
      <c r="I1051" s="66">
        <v>36.979999999999997</v>
      </c>
      <c r="J1051" s="13">
        <v>2600.1999999999998</v>
      </c>
      <c r="K1051" s="15" t="s">
        <v>23</v>
      </c>
      <c r="L1051" s="15" t="s">
        <v>23</v>
      </c>
      <c r="M1051" s="152"/>
    </row>
    <row r="1052" spans="1:17" ht="15" customHeight="1" outlineLevel="1" x14ac:dyDescent="0.25">
      <c r="A1052" s="148"/>
      <c r="B1052" s="148"/>
      <c r="C1052" s="148"/>
      <c r="D1052" s="137">
        <v>43454</v>
      </c>
      <c r="E1052" s="137" t="s">
        <v>642</v>
      </c>
      <c r="F1052" s="50">
        <v>43466</v>
      </c>
      <c r="G1052" s="50">
        <v>43646</v>
      </c>
      <c r="H1052" s="149"/>
      <c r="I1052" s="15" t="s">
        <v>23</v>
      </c>
      <c r="J1052" s="15" t="s">
        <v>23</v>
      </c>
      <c r="K1052" s="13">
        <v>16.87</v>
      </c>
      <c r="L1052" s="13">
        <v>1359.11</v>
      </c>
      <c r="M1052" s="196" t="s">
        <v>420</v>
      </c>
      <c r="N1052" s="55">
        <f>K1052/1.2</f>
        <v>14.058333333333335</v>
      </c>
      <c r="O1052" s="55">
        <f>L1052/1.2</f>
        <v>1132.5916666666667</v>
      </c>
      <c r="P1052" s="56">
        <f>$I$1032-N1052</f>
        <v>6.2216666666666658</v>
      </c>
      <c r="Q1052" s="57">
        <f>$J$1032-O1052</f>
        <v>1368.6883333333335</v>
      </c>
    </row>
    <row r="1053" spans="1:17" ht="15" customHeight="1" outlineLevel="1" x14ac:dyDescent="0.25">
      <c r="A1053" s="148"/>
      <c r="B1053" s="148"/>
      <c r="C1053" s="148"/>
      <c r="D1053" s="138"/>
      <c r="E1053" s="138"/>
      <c r="F1053" s="50">
        <v>43647</v>
      </c>
      <c r="G1053" s="50">
        <v>43830</v>
      </c>
      <c r="H1053" s="150"/>
      <c r="I1053" s="15" t="s">
        <v>23</v>
      </c>
      <c r="J1053" s="15" t="s">
        <v>23</v>
      </c>
      <c r="K1053" s="13">
        <v>17.21</v>
      </c>
      <c r="L1053" s="13">
        <v>1386.43</v>
      </c>
      <c r="M1053" s="198"/>
      <c r="N1053" s="55">
        <f t="shared" ref="N1053:N1067" si="9">K1053/1.2</f>
        <v>14.341666666666669</v>
      </c>
      <c r="O1053" s="55">
        <f t="shared" ref="O1053:O1067" si="10">L1053/1.2</f>
        <v>1155.3583333333333</v>
      </c>
      <c r="P1053" s="56">
        <f t="shared" ref="P1053:P1067" si="11">$I$1032-N1053</f>
        <v>5.9383333333333326</v>
      </c>
      <c r="Q1053" s="57">
        <f t="shared" ref="Q1053:Q1067" si="12">$J$1032-O1053</f>
        <v>1345.9216666666669</v>
      </c>
    </row>
    <row r="1054" spans="1:17" ht="15" customHeight="1" outlineLevel="1" x14ac:dyDescent="0.25">
      <c r="A1054" s="148"/>
      <c r="B1054" s="148"/>
      <c r="C1054" s="148"/>
      <c r="D1054" s="138"/>
      <c r="E1054" s="138"/>
      <c r="F1054" s="50">
        <v>43466</v>
      </c>
      <c r="G1054" s="50">
        <v>43646</v>
      </c>
      <c r="H1054" s="150"/>
      <c r="I1054" s="15" t="s">
        <v>23</v>
      </c>
      <c r="J1054" s="15" t="s">
        <v>23</v>
      </c>
      <c r="K1054" s="13">
        <v>16.87</v>
      </c>
      <c r="L1054" s="13">
        <v>1488.62</v>
      </c>
      <c r="M1054" s="196" t="s">
        <v>421</v>
      </c>
      <c r="N1054" s="55">
        <f t="shared" si="9"/>
        <v>14.058333333333335</v>
      </c>
      <c r="O1054" s="55">
        <f t="shared" si="10"/>
        <v>1240.5166666666667</v>
      </c>
      <c r="P1054" s="56">
        <f t="shared" si="11"/>
        <v>6.2216666666666658</v>
      </c>
      <c r="Q1054" s="57">
        <f t="shared" si="12"/>
        <v>1260.7633333333335</v>
      </c>
    </row>
    <row r="1055" spans="1:17" ht="15" customHeight="1" outlineLevel="1" x14ac:dyDescent="0.25">
      <c r="A1055" s="148"/>
      <c r="B1055" s="148"/>
      <c r="C1055" s="148"/>
      <c r="D1055" s="138"/>
      <c r="E1055" s="138"/>
      <c r="F1055" s="50">
        <v>43647</v>
      </c>
      <c r="G1055" s="50">
        <v>43830</v>
      </c>
      <c r="H1055" s="150"/>
      <c r="I1055" s="15" t="s">
        <v>23</v>
      </c>
      <c r="J1055" s="15" t="s">
        <v>23</v>
      </c>
      <c r="K1055" s="13">
        <v>17.21</v>
      </c>
      <c r="L1055" s="13">
        <v>1518.39</v>
      </c>
      <c r="M1055" s="198"/>
      <c r="N1055" s="55">
        <f t="shared" si="9"/>
        <v>14.341666666666669</v>
      </c>
      <c r="O1055" s="55">
        <f t="shared" si="10"/>
        <v>1265.325</v>
      </c>
      <c r="P1055" s="56">
        <f t="shared" si="11"/>
        <v>5.9383333333333326</v>
      </c>
      <c r="Q1055" s="57">
        <f t="shared" si="12"/>
        <v>1235.9550000000002</v>
      </c>
    </row>
    <row r="1056" spans="1:17" ht="15" customHeight="1" outlineLevel="1" x14ac:dyDescent="0.25">
      <c r="A1056" s="148"/>
      <c r="B1056" s="148"/>
      <c r="C1056" s="148"/>
      <c r="D1056" s="138"/>
      <c r="E1056" s="138"/>
      <c r="F1056" s="50">
        <v>43466</v>
      </c>
      <c r="G1056" s="50">
        <v>43646</v>
      </c>
      <c r="H1056" s="150"/>
      <c r="I1056" s="15" t="s">
        <v>23</v>
      </c>
      <c r="J1056" s="15" t="s">
        <v>23</v>
      </c>
      <c r="K1056" s="13">
        <v>16.87</v>
      </c>
      <c r="L1056" s="13">
        <v>1267.3399999999999</v>
      </c>
      <c r="M1056" s="196" t="s">
        <v>422</v>
      </c>
      <c r="N1056" s="55">
        <f t="shared" si="9"/>
        <v>14.058333333333335</v>
      </c>
      <c r="O1056" s="55">
        <f t="shared" si="10"/>
        <v>1056.1166666666666</v>
      </c>
      <c r="P1056" s="56">
        <f t="shared" si="11"/>
        <v>6.2216666666666658</v>
      </c>
      <c r="Q1056" s="57">
        <f t="shared" si="12"/>
        <v>1445.1633333333336</v>
      </c>
    </row>
    <row r="1057" spans="1:17" ht="15" customHeight="1" outlineLevel="1" x14ac:dyDescent="0.25">
      <c r="A1057" s="148"/>
      <c r="B1057" s="148"/>
      <c r="C1057" s="148"/>
      <c r="D1057" s="138"/>
      <c r="E1057" s="138"/>
      <c r="F1057" s="50">
        <v>43647</v>
      </c>
      <c r="G1057" s="50">
        <v>43830</v>
      </c>
      <c r="H1057" s="150"/>
      <c r="I1057" s="15" t="s">
        <v>23</v>
      </c>
      <c r="J1057" s="15" t="s">
        <v>23</v>
      </c>
      <c r="K1057" s="13">
        <v>17.21</v>
      </c>
      <c r="L1057" s="13">
        <v>1292.69</v>
      </c>
      <c r="M1057" s="198"/>
      <c r="N1057" s="55">
        <f t="shared" si="9"/>
        <v>14.341666666666669</v>
      </c>
      <c r="O1057" s="55">
        <f t="shared" si="10"/>
        <v>1077.2416666666668</v>
      </c>
      <c r="P1057" s="56">
        <f t="shared" si="11"/>
        <v>5.9383333333333326</v>
      </c>
      <c r="Q1057" s="57">
        <f t="shared" si="12"/>
        <v>1424.0383333333334</v>
      </c>
    </row>
    <row r="1058" spans="1:17" ht="15" customHeight="1" outlineLevel="1" x14ac:dyDescent="0.25">
      <c r="A1058" s="148"/>
      <c r="B1058" s="148"/>
      <c r="C1058" s="148"/>
      <c r="D1058" s="138"/>
      <c r="E1058" s="138"/>
      <c r="F1058" s="50">
        <v>43466</v>
      </c>
      <c r="G1058" s="50">
        <v>43646</v>
      </c>
      <c r="H1058" s="150"/>
      <c r="I1058" s="15" t="s">
        <v>23</v>
      </c>
      <c r="J1058" s="15" t="s">
        <v>23</v>
      </c>
      <c r="K1058" s="13">
        <v>16.87</v>
      </c>
      <c r="L1058" s="13">
        <v>1359.17</v>
      </c>
      <c r="M1058" s="196" t="s">
        <v>423</v>
      </c>
      <c r="N1058" s="55">
        <f t="shared" si="9"/>
        <v>14.058333333333335</v>
      </c>
      <c r="O1058" s="55">
        <f t="shared" si="10"/>
        <v>1132.6416666666669</v>
      </c>
      <c r="P1058" s="56">
        <f t="shared" si="11"/>
        <v>6.2216666666666658</v>
      </c>
      <c r="Q1058" s="57">
        <f t="shared" si="12"/>
        <v>1368.6383333333333</v>
      </c>
    </row>
    <row r="1059" spans="1:17" ht="15" customHeight="1" outlineLevel="1" x14ac:dyDescent="0.25">
      <c r="A1059" s="148"/>
      <c r="B1059" s="148"/>
      <c r="C1059" s="148"/>
      <c r="D1059" s="138"/>
      <c r="E1059" s="138"/>
      <c r="F1059" s="50">
        <v>43647</v>
      </c>
      <c r="G1059" s="50">
        <v>43830</v>
      </c>
      <c r="H1059" s="150"/>
      <c r="I1059" s="15" t="s">
        <v>23</v>
      </c>
      <c r="J1059" s="15" t="s">
        <v>23</v>
      </c>
      <c r="K1059" s="13">
        <v>17.21</v>
      </c>
      <c r="L1059" s="13">
        <v>1386.36</v>
      </c>
      <c r="M1059" s="198"/>
      <c r="N1059" s="55">
        <f t="shared" si="9"/>
        <v>14.341666666666669</v>
      </c>
      <c r="O1059" s="55">
        <f t="shared" si="10"/>
        <v>1155.3</v>
      </c>
      <c r="P1059" s="56">
        <f t="shared" si="11"/>
        <v>5.9383333333333326</v>
      </c>
      <c r="Q1059" s="57">
        <f t="shared" si="12"/>
        <v>1345.9800000000002</v>
      </c>
    </row>
    <row r="1060" spans="1:17" ht="15" customHeight="1" outlineLevel="1" x14ac:dyDescent="0.25">
      <c r="A1060" s="148"/>
      <c r="B1060" s="148"/>
      <c r="C1060" s="148"/>
      <c r="D1060" s="138"/>
      <c r="E1060" s="138"/>
      <c r="F1060" s="50">
        <v>43466</v>
      </c>
      <c r="G1060" s="50">
        <v>43646</v>
      </c>
      <c r="H1060" s="150"/>
      <c r="I1060" s="15" t="s">
        <v>23</v>
      </c>
      <c r="J1060" s="15" t="s">
        <v>23</v>
      </c>
      <c r="K1060" s="13">
        <v>16.87</v>
      </c>
      <c r="L1060" s="13">
        <v>1420.95</v>
      </c>
      <c r="M1060" s="196" t="s">
        <v>424</v>
      </c>
      <c r="N1060" s="55">
        <f t="shared" si="9"/>
        <v>14.058333333333335</v>
      </c>
      <c r="O1060" s="55">
        <f t="shared" si="10"/>
        <v>1184.125</v>
      </c>
      <c r="P1060" s="56">
        <f t="shared" si="11"/>
        <v>6.2216666666666658</v>
      </c>
      <c r="Q1060" s="57">
        <f t="shared" si="12"/>
        <v>1317.1550000000002</v>
      </c>
    </row>
    <row r="1061" spans="1:17" ht="15" customHeight="1" outlineLevel="1" x14ac:dyDescent="0.25">
      <c r="A1061" s="148"/>
      <c r="B1061" s="148"/>
      <c r="C1061" s="148"/>
      <c r="D1061" s="138"/>
      <c r="E1061" s="138"/>
      <c r="F1061" s="50">
        <v>43647</v>
      </c>
      <c r="G1061" s="50">
        <v>43830</v>
      </c>
      <c r="H1061" s="150"/>
      <c r="I1061" s="15" t="s">
        <v>23</v>
      </c>
      <c r="J1061" s="15" t="s">
        <v>23</v>
      </c>
      <c r="K1061" s="13">
        <v>17.21</v>
      </c>
      <c r="L1061" s="13">
        <v>1449.37</v>
      </c>
      <c r="M1061" s="198"/>
      <c r="N1061" s="55">
        <f t="shared" si="9"/>
        <v>14.341666666666669</v>
      </c>
      <c r="O1061" s="55">
        <f t="shared" si="10"/>
        <v>1207.8083333333334</v>
      </c>
      <c r="P1061" s="56">
        <f t="shared" si="11"/>
        <v>5.9383333333333326</v>
      </c>
      <c r="Q1061" s="57">
        <f t="shared" si="12"/>
        <v>1293.4716666666668</v>
      </c>
    </row>
    <row r="1062" spans="1:17" ht="15" customHeight="1" outlineLevel="1" x14ac:dyDescent="0.25">
      <c r="A1062" s="148"/>
      <c r="B1062" s="148"/>
      <c r="C1062" s="148"/>
      <c r="D1062" s="138"/>
      <c r="E1062" s="138"/>
      <c r="F1062" s="50">
        <v>43466</v>
      </c>
      <c r="G1062" s="50">
        <v>43646</v>
      </c>
      <c r="H1062" s="150"/>
      <c r="I1062" s="15" t="s">
        <v>23</v>
      </c>
      <c r="J1062" s="15" t="s">
        <v>23</v>
      </c>
      <c r="K1062" s="13">
        <v>16.87</v>
      </c>
      <c r="L1062" s="13">
        <v>1537.42</v>
      </c>
      <c r="M1062" s="196" t="s">
        <v>425</v>
      </c>
      <c r="N1062" s="55">
        <f t="shared" si="9"/>
        <v>14.058333333333335</v>
      </c>
      <c r="O1062" s="55">
        <f t="shared" si="10"/>
        <v>1281.1833333333334</v>
      </c>
      <c r="P1062" s="56">
        <f t="shared" si="11"/>
        <v>6.2216666666666658</v>
      </c>
      <c r="Q1062" s="57">
        <f t="shared" si="12"/>
        <v>1220.0966666666668</v>
      </c>
    </row>
    <row r="1063" spans="1:17" ht="15" customHeight="1" outlineLevel="1" x14ac:dyDescent="0.25">
      <c r="A1063" s="148"/>
      <c r="B1063" s="148"/>
      <c r="C1063" s="148"/>
      <c r="D1063" s="138"/>
      <c r="E1063" s="138"/>
      <c r="F1063" s="50">
        <v>43647</v>
      </c>
      <c r="G1063" s="50">
        <v>43830</v>
      </c>
      <c r="H1063" s="150"/>
      <c r="I1063" s="15" t="s">
        <v>23</v>
      </c>
      <c r="J1063" s="15" t="s">
        <v>23</v>
      </c>
      <c r="K1063" s="13">
        <v>17.21</v>
      </c>
      <c r="L1063" s="13">
        <v>1568.17</v>
      </c>
      <c r="M1063" s="198"/>
      <c r="N1063" s="55">
        <f t="shared" si="9"/>
        <v>14.341666666666669</v>
      </c>
      <c r="O1063" s="55">
        <f t="shared" si="10"/>
        <v>1306.8083333333334</v>
      </c>
      <c r="P1063" s="56">
        <f t="shared" si="11"/>
        <v>5.9383333333333326</v>
      </c>
      <c r="Q1063" s="57">
        <f t="shared" si="12"/>
        <v>1194.4716666666668</v>
      </c>
    </row>
    <row r="1064" spans="1:17" ht="15" customHeight="1" outlineLevel="1" x14ac:dyDescent="0.25">
      <c r="A1064" s="148"/>
      <c r="B1064" s="148"/>
      <c r="C1064" s="148"/>
      <c r="D1064" s="138"/>
      <c r="E1064" s="138"/>
      <c r="F1064" s="50">
        <v>43466</v>
      </c>
      <c r="G1064" s="50">
        <v>43646</v>
      </c>
      <c r="H1064" s="150"/>
      <c r="I1064" s="15" t="s">
        <v>23</v>
      </c>
      <c r="J1064" s="15" t="s">
        <v>23</v>
      </c>
      <c r="K1064" s="13">
        <v>16.87</v>
      </c>
      <c r="L1064" s="13">
        <v>1302.54</v>
      </c>
      <c r="M1064" s="196" t="s">
        <v>426</v>
      </c>
      <c r="N1064" s="55">
        <f t="shared" si="9"/>
        <v>14.058333333333335</v>
      </c>
      <c r="O1064" s="55">
        <f t="shared" si="10"/>
        <v>1085.45</v>
      </c>
      <c r="P1064" s="56">
        <f t="shared" si="11"/>
        <v>6.2216666666666658</v>
      </c>
      <c r="Q1064" s="57">
        <f t="shared" si="12"/>
        <v>1415.8300000000002</v>
      </c>
    </row>
    <row r="1065" spans="1:17" ht="15" customHeight="1" outlineLevel="1" x14ac:dyDescent="0.25">
      <c r="A1065" s="148"/>
      <c r="B1065" s="148"/>
      <c r="C1065" s="148"/>
      <c r="D1065" s="138"/>
      <c r="E1065" s="138"/>
      <c r="F1065" s="50">
        <v>43647</v>
      </c>
      <c r="G1065" s="50">
        <v>43830</v>
      </c>
      <c r="H1065" s="150"/>
      <c r="I1065" s="15" t="s">
        <v>23</v>
      </c>
      <c r="J1065" s="15" t="s">
        <v>23</v>
      </c>
      <c r="K1065" s="13">
        <v>17.21</v>
      </c>
      <c r="L1065" s="13">
        <v>1328.59</v>
      </c>
      <c r="M1065" s="198"/>
      <c r="N1065" s="55">
        <f t="shared" si="9"/>
        <v>14.341666666666669</v>
      </c>
      <c r="O1065" s="55">
        <f t="shared" si="10"/>
        <v>1107.1583333333333</v>
      </c>
      <c r="P1065" s="56">
        <f t="shared" si="11"/>
        <v>5.9383333333333326</v>
      </c>
      <c r="Q1065" s="57">
        <f t="shared" si="12"/>
        <v>1394.1216666666669</v>
      </c>
    </row>
    <row r="1066" spans="1:17" ht="15" customHeight="1" outlineLevel="1" x14ac:dyDescent="0.25">
      <c r="A1066" s="148"/>
      <c r="B1066" s="148"/>
      <c r="C1066" s="148"/>
      <c r="D1066" s="138"/>
      <c r="E1066" s="138"/>
      <c r="F1066" s="50">
        <v>43466</v>
      </c>
      <c r="G1066" s="50">
        <v>43646</v>
      </c>
      <c r="H1066" s="150"/>
      <c r="I1066" s="15" t="s">
        <v>23</v>
      </c>
      <c r="J1066" s="15" t="s">
        <v>23</v>
      </c>
      <c r="K1066" s="13">
        <v>16.87</v>
      </c>
      <c r="L1066" s="13">
        <v>1420.95</v>
      </c>
      <c r="M1066" s="196" t="s">
        <v>427</v>
      </c>
      <c r="N1066" s="55">
        <f t="shared" si="9"/>
        <v>14.058333333333335</v>
      </c>
      <c r="O1066" s="55">
        <f t="shared" si="10"/>
        <v>1184.125</v>
      </c>
      <c r="P1066" s="56">
        <f t="shared" si="11"/>
        <v>6.2216666666666658</v>
      </c>
      <c r="Q1066" s="57">
        <f t="shared" si="12"/>
        <v>1317.1550000000002</v>
      </c>
    </row>
    <row r="1067" spans="1:17" ht="15" customHeight="1" outlineLevel="1" x14ac:dyDescent="0.25">
      <c r="A1067" s="147"/>
      <c r="B1067" s="147"/>
      <c r="C1067" s="148"/>
      <c r="D1067" s="141"/>
      <c r="E1067" s="141"/>
      <c r="F1067" s="50">
        <v>43647</v>
      </c>
      <c r="G1067" s="50">
        <v>43830</v>
      </c>
      <c r="H1067" s="151"/>
      <c r="I1067" s="15" t="s">
        <v>23</v>
      </c>
      <c r="J1067" s="15" t="s">
        <v>23</v>
      </c>
      <c r="K1067" s="13">
        <v>17.21</v>
      </c>
      <c r="L1067" s="13">
        <v>1449.37</v>
      </c>
      <c r="M1067" s="198"/>
      <c r="N1067" s="55">
        <f t="shared" si="9"/>
        <v>14.341666666666669</v>
      </c>
      <c r="O1067" s="55">
        <f t="shared" si="10"/>
        <v>1207.8083333333334</v>
      </c>
      <c r="P1067" s="56">
        <f t="shared" si="11"/>
        <v>5.9383333333333326</v>
      </c>
      <c r="Q1067" s="57">
        <f t="shared" si="12"/>
        <v>1293.4716666666668</v>
      </c>
    </row>
    <row r="1068" spans="1:17" ht="15" customHeight="1" outlineLevel="1" x14ac:dyDescent="0.25">
      <c r="A1068" s="146" t="s">
        <v>65</v>
      </c>
      <c r="B1068" s="146" t="s">
        <v>169</v>
      </c>
      <c r="C1068" s="148"/>
      <c r="D1068" s="137">
        <v>42723</v>
      </c>
      <c r="E1068" s="137" t="s">
        <v>643</v>
      </c>
      <c r="F1068" s="12">
        <v>43466</v>
      </c>
      <c r="G1068" s="12">
        <v>43646</v>
      </c>
      <c r="H1068" s="149" t="s">
        <v>645</v>
      </c>
      <c r="I1068" s="66">
        <v>20.28</v>
      </c>
      <c r="J1068" s="13">
        <v>2501.2800000000002</v>
      </c>
      <c r="K1068" s="15" t="s">
        <v>23</v>
      </c>
      <c r="L1068" s="15" t="s">
        <v>23</v>
      </c>
      <c r="M1068" s="153"/>
    </row>
    <row r="1069" spans="1:17" ht="15" customHeight="1" outlineLevel="1" x14ac:dyDescent="0.25">
      <c r="A1069" s="148"/>
      <c r="B1069" s="148"/>
      <c r="C1069" s="148"/>
      <c r="D1069" s="141"/>
      <c r="E1069" s="141"/>
      <c r="F1069" s="12">
        <v>43647</v>
      </c>
      <c r="G1069" s="12">
        <v>43830</v>
      </c>
      <c r="H1069" s="151"/>
      <c r="I1069" s="66">
        <v>36.979999999999997</v>
      </c>
      <c r="J1069" s="13">
        <v>2600.1999999999998</v>
      </c>
      <c r="K1069" s="15" t="s">
        <v>23</v>
      </c>
      <c r="L1069" s="15" t="s">
        <v>23</v>
      </c>
      <c r="M1069" s="152"/>
    </row>
    <row r="1070" spans="1:17" ht="15" customHeight="1" outlineLevel="1" x14ac:dyDescent="0.25">
      <c r="A1070" s="148"/>
      <c r="B1070" s="148"/>
      <c r="C1070" s="148"/>
      <c r="D1070" s="137">
        <v>43454</v>
      </c>
      <c r="E1070" s="137" t="s">
        <v>642</v>
      </c>
      <c r="F1070" s="50">
        <v>43466</v>
      </c>
      <c r="G1070" s="50">
        <v>43646</v>
      </c>
      <c r="H1070" s="149"/>
      <c r="I1070" s="15" t="s">
        <v>23</v>
      </c>
      <c r="J1070" s="15" t="s">
        <v>23</v>
      </c>
      <c r="K1070" s="13">
        <v>12.49</v>
      </c>
      <c r="L1070" s="13">
        <v>1192.04</v>
      </c>
      <c r="M1070" s="196" t="s">
        <v>420</v>
      </c>
      <c r="N1070" s="55">
        <f>K1070/1.2</f>
        <v>10.408333333333333</v>
      </c>
      <c r="O1070" s="55">
        <f>L1070/1.2</f>
        <v>993.36666666666667</v>
      </c>
      <c r="P1070" s="121">
        <f>$I$1068-N1070</f>
        <v>9.8716666666666679</v>
      </c>
      <c r="Q1070" s="57">
        <f>$J$1068-O1070</f>
        <v>1507.9133333333334</v>
      </c>
    </row>
    <row r="1071" spans="1:17" ht="15" customHeight="1" outlineLevel="1" x14ac:dyDescent="0.25">
      <c r="A1071" s="148"/>
      <c r="B1071" s="148"/>
      <c r="C1071" s="148"/>
      <c r="D1071" s="138"/>
      <c r="E1071" s="138"/>
      <c r="F1071" s="50">
        <v>43647</v>
      </c>
      <c r="G1071" s="50">
        <v>43830</v>
      </c>
      <c r="H1071" s="150"/>
      <c r="I1071" s="15" t="s">
        <v>23</v>
      </c>
      <c r="J1071" s="15" t="s">
        <v>23</v>
      </c>
      <c r="K1071" s="13">
        <v>12.74</v>
      </c>
      <c r="L1071" s="13">
        <v>1215.8800000000001</v>
      </c>
      <c r="M1071" s="198"/>
      <c r="N1071" s="55">
        <f t="shared" ref="N1071:N1085" si="13">K1071/1.2</f>
        <v>10.616666666666667</v>
      </c>
      <c r="O1071" s="55">
        <f t="shared" ref="O1071:O1085" si="14">L1071/1.2</f>
        <v>1013.2333333333335</v>
      </c>
      <c r="P1071" s="121">
        <f t="shared" ref="P1071:P1085" si="15">$I$1068-N1071</f>
        <v>9.663333333333334</v>
      </c>
      <c r="Q1071" s="57">
        <f t="shared" ref="Q1071:Q1085" si="16">$J$1068-O1071</f>
        <v>1488.0466666666666</v>
      </c>
    </row>
    <row r="1072" spans="1:17" ht="15" customHeight="1" outlineLevel="1" x14ac:dyDescent="0.25">
      <c r="A1072" s="148"/>
      <c r="B1072" s="148"/>
      <c r="C1072" s="148"/>
      <c r="D1072" s="138"/>
      <c r="E1072" s="138"/>
      <c r="F1072" s="50">
        <v>43466</v>
      </c>
      <c r="G1072" s="50">
        <v>43646</v>
      </c>
      <c r="H1072" s="150"/>
      <c r="I1072" s="15" t="s">
        <v>23</v>
      </c>
      <c r="J1072" s="15" t="s">
        <v>23</v>
      </c>
      <c r="K1072" s="13">
        <v>12.49</v>
      </c>
      <c r="L1072" s="13">
        <v>1305.57</v>
      </c>
      <c r="M1072" s="196" t="s">
        <v>421</v>
      </c>
      <c r="N1072" s="55">
        <f t="shared" si="13"/>
        <v>10.408333333333333</v>
      </c>
      <c r="O1072" s="55">
        <f t="shared" si="14"/>
        <v>1087.9749999999999</v>
      </c>
      <c r="P1072" s="121">
        <f t="shared" si="15"/>
        <v>9.8716666666666679</v>
      </c>
      <c r="Q1072" s="57">
        <f t="shared" si="16"/>
        <v>1413.3050000000003</v>
      </c>
    </row>
    <row r="1073" spans="1:17" ht="15" customHeight="1" outlineLevel="1" x14ac:dyDescent="0.25">
      <c r="A1073" s="148"/>
      <c r="B1073" s="148"/>
      <c r="C1073" s="148"/>
      <c r="D1073" s="138"/>
      <c r="E1073" s="138"/>
      <c r="F1073" s="50">
        <v>43647</v>
      </c>
      <c r="G1073" s="50">
        <v>43830</v>
      </c>
      <c r="H1073" s="150"/>
      <c r="I1073" s="15" t="s">
        <v>23</v>
      </c>
      <c r="J1073" s="15" t="s">
        <v>23</v>
      </c>
      <c r="K1073" s="13">
        <v>12.74</v>
      </c>
      <c r="L1073" s="13">
        <v>1331.68</v>
      </c>
      <c r="M1073" s="198"/>
      <c r="N1073" s="55">
        <f t="shared" si="13"/>
        <v>10.616666666666667</v>
      </c>
      <c r="O1073" s="55">
        <f t="shared" si="14"/>
        <v>1109.7333333333333</v>
      </c>
      <c r="P1073" s="121">
        <f t="shared" si="15"/>
        <v>9.663333333333334</v>
      </c>
      <c r="Q1073" s="57">
        <f t="shared" si="16"/>
        <v>1391.5466666666669</v>
      </c>
    </row>
    <row r="1074" spans="1:17" ht="15" customHeight="1" outlineLevel="1" x14ac:dyDescent="0.25">
      <c r="A1074" s="148"/>
      <c r="B1074" s="148"/>
      <c r="C1074" s="148"/>
      <c r="D1074" s="138"/>
      <c r="E1074" s="138"/>
      <c r="F1074" s="50">
        <v>43466</v>
      </c>
      <c r="G1074" s="50">
        <v>43646</v>
      </c>
      <c r="H1074" s="150"/>
      <c r="I1074" s="15" t="s">
        <v>23</v>
      </c>
      <c r="J1074" s="15" t="s">
        <v>23</v>
      </c>
      <c r="K1074" s="13">
        <v>12.49</v>
      </c>
      <c r="L1074" s="13">
        <v>1111.49</v>
      </c>
      <c r="M1074" s="196" t="s">
        <v>422</v>
      </c>
      <c r="N1074" s="55">
        <f t="shared" si="13"/>
        <v>10.408333333333333</v>
      </c>
      <c r="O1074" s="55">
        <f t="shared" si="14"/>
        <v>926.24166666666667</v>
      </c>
      <c r="P1074" s="121">
        <f t="shared" si="15"/>
        <v>9.8716666666666679</v>
      </c>
      <c r="Q1074" s="57">
        <f t="shared" si="16"/>
        <v>1575.0383333333334</v>
      </c>
    </row>
    <row r="1075" spans="1:17" ht="15" customHeight="1" outlineLevel="1" x14ac:dyDescent="0.25">
      <c r="A1075" s="148"/>
      <c r="B1075" s="148"/>
      <c r="C1075" s="148"/>
      <c r="D1075" s="138"/>
      <c r="E1075" s="138"/>
      <c r="F1075" s="50">
        <v>43647</v>
      </c>
      <c r="G1075" s="50">
        <v>43830</v>
      </c>
      <c r="H1075" s="150"/>
      <c r="I1075" s="15" t="s">
        <v>23</v>
      </c>
      <c r="J1075" s="15" t="s">
        <v>23</v>
      </c>
      <c r="K1075" s="13">
        <v>12.74</v>
      </c>
      <c r="L1075" s="13">
        <v>1133.72</v>
      </c>
      <c r="M1075" s="198"/>
      <c r="N1075" s="55">
        <f t="shared" si="13"/>
        <v>10.616666666666667</v>
      </c>
      <c r="O1075" s="55">
        <f t="shared" si="14"/>
        <v>944.76666666666677</v>
      </c>
      <c r="P1075" s="121">
        <f t="shared" si="15"/>
        <v>9.663333333333334</v>
      </c>
      <c r="Q1075" s="57">
        <f t="shared" si="16"/>
        <v>1556.5133333333333</v>
      </c>
    </row>
    <row r="1076" spans="1:17" ht="15" customHeight="1" outlineLevel="1" x14ac:dyDescent="0.25">
      <c r="A1076" s="148"/>
      <c r="B1076" s="148"/>
      <c r="C1076" s="148"/>
      <c r="D1076" s="138"/>
      <c r="E1076" s="138"/>
      <c r="F1076" s="50">
        <v>43466</v>
      </c>
      <c r="G1076" s="50">
        <v>43646</v>
      </c>
      <c r="H1076" s="150"/>
      <c r="I1076" s="15" t="s">
        <v>23</v>
      </c>
      <c r="J1076" s="15" t="s">
        <v>23</v>
      </c>
      <c r="K1076" s="13">
        <v>12.49</v>
      </c>
      <c r="L1076" s="13">
        <v>1192.04</v>
      </c>
      <c r="M1076" s="196" t="s">
        <v>423</v>
      </c>
      <c r="N1076" s="55">
        <f t="shared" si="13"/>
        <v>10.408333333333333</v>
      </c>
      <c r="O1076" s="55">
        <f t="shared" si="14"/>
        <v>993.36666666666667</v>
      </c>
      <c r="P1076" s="121">
        <f t="shared" si="15"/>
        <v>9.8716666666666679</v>
      </c>
      <c r="Q1076" s="57">
        <f t="shared" si="16"/>
        <v>1507.9133333333334</v>
      </c>
    </row>
    <row r="1077" spans="1:17" ht="15" customHeight="1" outlineLevel="1" x14ac:dyDescent="0.25">
      <c r="A1077" s="148"/>
      <c r="B1077" s="148"/>
      <c r="C1077" s="148"/>
      <c r="D1077" s="138"/>
      <c r="E1077" s="138"/>
      <c r="F1077" s="50">
        <v>43647</v>
      </c>
      <c r="G1077" s="50">
        <v>43830</v>
      </c>
      <c r="H1077" s="150"/>
      <c r="I1077" s="15" t="s">
        <v>23</v>
      </c>
      <c r="J1077" s="15" t="s">
        <v>23</v>
      </c>
      <c r="K1077" s="13">
        <v>12.74</v>
      </c>
      <c r="L1077" s="13">
        <v>1215.8800000000001</v>
      </c>
      <c r="M1077" s="198"/>
      <c r="N1077" s="55">
        <f t="shared" si="13"/>
        <v>10.616666666666667</v>
      </c>
      <c r="O1077" s="55">
        <f t="shared" si="14"/>
        <v>1013.2333333333335</v>
      </c>
      <c r="P1077" s="121">
        <f t="shared" si="15"/>
        <v>9.663333333333334</v>
      </c>
      <c r="Q1077" s="57">
        <f t="shared" si="16"/>
        <v>1488.0466666666666</v>
      </c>
    </row>
    <row r="1078" spans="1:17" ht="15" customHeight="1" outlineLevel="1" x14ac:dyDescent="0.25">
      <c r="A1078" s="148"/>
      <c r="B1078" s="148"/>
      <c r="C1078" s="148"/>
      <c r="D1078" s="138"/>
      <c r="E1078" s="138"/>
      <c r="F1078" s="50">
        <v>43466</v>
      </c>
      <c r="G1078" s="50">
        <v>43646</v>
      </c>
      <c r="H1078" s="150"/>
      <c r="I1078" s="15" t="s">
        <v>23</v>
      </c>
      <c r="J1078" s="15" t="s">
        <v>23</v>
      </c>
      <c r="K1078" s="13">
        <v>12.49</v>
      </c>
      <c r="L1078" s="13">
        <v>1246.22</v>
      </c>
      <c r="M1078" s="196" t="s">
        <v>424</v>
      </c>
      <c r="N1078" s="55">
        <f t="shared" si="13"/>
        <v>10.408333333333333</v>
      </c>
      <c r="O1078" s="55">
        <f t="shared" si="14"/>
        <v>1038.5166666666667</v>
      </c>
      <c r="P1078" s="121">
        <f t="shared" si="15"/>
        <v>9.8716666666666679</v>
      </c>
      <c r="Q1078" s="57">
        <f t="shared" si="16"/>
        <v>1462.7633333333335</v>
      </c>
    </row>
    <row r="1079" spans="1:17" ht="15" customHeight="1" outlineLevel="1" x14ac:dyDescent="0.25">
      <c r="A1079" s="148"/>
      <c r="B1079" s="148"/>
      <c r="C1079" s="148"/>
      <c r="D1079" s="138"/>
      <c r="E1079" s="138"/>
      <c r="F1079" s="50">
        <v>43647</v>
      </c>
      <c r="G1079" s="50">
        <v>43830</v>
      </c>
      <c r="H1079" s="150"/>
      <c r="I1079" s="15" t="s">
        <v>23</v>
      </c>
      <c r="J1079" s="15" t="s">
        <v>23</v>
      </c>
      <c r="K1079" s="13">
        <v>12.74</v>
      </c>
      <c r="L1079" s="13">
        <v>1271.1400000000001</v>
      </c>
      <c r="M1079" s="198"/>
      <c r="N1079" s="55">
        <f t="shared" si="13"/>
        <v>10.616666666666667</v>
      </c>
      <c r="O1079" s="55">
        <f t="shared" si="14"/>
        <v>1059.2833333333335</v>
      </c>
      <c r="P1079" s="121">
        <f t="shared" si="15"/>
        <v>9.663333333333334</v>
      </c>
      <c r="Q1079" s="57">
        <f t="shared" si="16"/>
        <v>1441.9966666666667</v>
      </c>
    </row>
    <row r="1080" spans="1:17" ht="15" customHeight="1" outlineLevel="1" x14ac:dyDescent="0.25">
      <c r="A1080" s="148"/>
      <c r="B1080" s="148"/>
      <c r="C1080" s="148"/>
      <c r="D1080" s="138"/>
      <c r="E1080" s="138"/>
      <c r="F1080" s="50">
        <v>43466</v>
      </c>
      <c r="G1080" s="50">
        <v>43646</v>
      </c>
      <c r="H1080" s="150"/>
      <c r="I1080" s="15" t="s">
        <v>23</v>
      </c>
      <c r="J1080" s="15" t="s">
        <v>23</v>
      </c>
      <c r="K1080" s="13">
        <v>12.49</v>
      </c>
      <c r="L1080" s="13">
        <v>1348.37</v>
      </c>
      <c r="M1080" s="196" t="s">
        <v>425</v>
      </c>
      <c r="N1080" s="55">
        <f t="shared" si="13"/>
        <v>10.408333333333333</v>
      </c>
      <c r="O1080" s="55">
        <f t="shared" si="14"/>
        <v>1123.6416666666667</v>
      </c>
      <c r="P1080" s="121">
        <f t="shared" si="15"/>
        <v>9.8716666666666679</v>
      </c>
      <c r="Q1080" s="57">
        <f t="shared" si="16"/>
        <v>1377.6383333333335</v>
      </c>
    </row>
    <row r="1081" spans="1:17" ht="15" customHeight="1" outlineLevel="1" x14ac:dyDescent="0.25">
      <c r="A1081" s="148"/>
      <c r="B1081" s="148"/>
      <c r="C1081" s="148"/>
      <c r="D1081" s="138"/>
      <c r="E1081" s="138"/>
      <c r="F1081" s="50">
        <v>43647</v>
      </c>
      <c r="G1081" s="50">
        <v>43830</v>
      </c>
      <c r="H1081" s="150"/>
      <c r="I1081" s="15" t="s">
        <v>23</v>
      </c>
      <c r="J1081" s="15" t="s">
        <v>23</v>
      </c>
      <c r="K1081" s="13">
        <v>12.74</v>
      </c>
      <c r="L1081" s="13">
        <v>1375.34</v>
      </c>
      <c r="M1081" s="198"/>
      <c r="N1081" s="55">
        <f t="shared" si="13"/>
        <v>10.616666666666667</v>
      </c>
      <c r="O1081" s="55">
        <f t="shared" si="14"/>
        <v>1146.1166666666666</v>
      </c>
      <c r="P1081" s="121">
        <f t="shared" si="15"/>
        <v>9.663333333333334</v>
      </c>
      <c r="Q1081" s="57">
        <f t="shared" si="16"/>
        <v>1355.1633333333336</v>
      </c>
    </row>
    <row r="1082" spans="1:17" ht="15" customHeight="1" outlineLevel="1" x14ac:dyDescent="0.25">
      <c r="A1082" s="148"/>
      <c r="B1082" s="148"/>
      <c r="C1082" s="148"/>
      <c r="D1082" s="138"/>
      <c r="E1082" s="138"/>
      <c r="F1082" s="50">
        <v>43466</v>
      </c>
      <c r="G1082" s="50">
        <v>43646</v>
      </c>
      <c r="H1082" s="150"/>
      <c r="I1082" s="15" t="s">
        <v>23</v>
      </c>
      <c r="J1082" s="15" t="s">
        <v>23</v>
      </c>
      <c r="K1082" s="13">
        <v>12.49</v>
      </c>
      <c r="L1082" s="13">
        <v>1142.3699999999999</v>
      </c>
      <c r="M1082" s="196" t="s">
        <v>426</v>
      </c>
      <c r="N1082" s="55">
        <f t="shared" si="13"/>
        <v>10.408333333333333</v>
      </c>
      <c r="O1082" s="55">
        <f t="shared" si="14"/>
        <v>951.97499999999991</v>
      </c>
      <c r="P1082" s="121">
        <f t="shared" si="15"/>
        <v>9.8716666666666679</v>
      </c>
      <c r="Q1082" s="57">
        <f t="shared" si="16"/>
        <v>1549.3050000000003</v>
      </c>
    </row>
    <row r="1083" spans="1:17" ht="15" customHeight="1" outlineLevel="1" x14ac:dyDescent="0.25">
      <c r="A1083" s="148"/>
      <c r="B1083" s="148"/>
      <c r="C1083" s="148"/>
      <c r="D1083" s="138"/>
      <c r="E1083" s="138"/>
      <c r="F1083" s="50">
        <v>43647</v>
      </c>
      <c r="G1083" s="50">
        <v>43830</v>
      </c>
      <c r="H1083" s="150"/>
      <c r="I1083" s="15" t="s">
        <v>23</v>
      </c>
      <c r="J1083" s="15" t="s">
        <v>23</v>
      </c>
      <c r="K1083" s="13">
        <v>12.74</v>
      </c>
      <c r="L1083" s="13">
        <v>1165.22</v>
      </c>
      <c r="M1083" s="198"/>
      <c r="N1083" s="55">
        <f t="shared" si="13"/>
        <v>10.616666666666667</v>
      </c>
      <c r="O1083" s="55">
        <f t="shared" si="14"/>
        <v>971.01666666666677</v>
      </c>
      <c r="P1083" s="121">
        <f t="shared" si="15"/>
        <v>9.663333333333334</v>
      </c>
      <c r="Q1083" s="57">
        <f t="shared" si="16"/>
        <v>1530.2633333333333</v>
      </c>
    </row>
    <row r="1084" spans="1:17" ht="15" customHeight="1" outlineLevel="1" x14ac:dyDescent="0.25">
      <c r="A1084" s="148"/>
      <c r="B1084" s="148"/>
      <c r="C1084" s="148"/>
      <c r="D1084" s="138"/>
      <c r="E1084" s="138"/>
      <c r="F1084" s="50">
        <v>43466</v>
      </c>
      <c r="G1084" s="50">
        <v>43646</v>
      </c>
      <c r="H1084" s="150"/>
      <c r="I1084" s="15" t="s">
        <v>23</v>
      </c>
      <c r="J1084" s="15" t="s">
        <v>23</v>
      </c>
      <c r="K1084" s="13">
        <v>12.49</v>
      </c>
      <c r="L1084" s="13">
        <v>1246.22</v>
      </c>
      <c r="M1084" s="196" t="s">
        <v>427</v>
      </c>
      <c r="N1084" s="55">
        <f t="shared" si="13"/>
        <v>10.408333333333333</v>
      </c>
      <c r="O1084" s="55">
        <f t="shared" si="14"/>
        <v>1038.5166666666667</v>
      </c>
      <c r="P1084" s="121">
        <f t="shared" si="15"/>
        <v>9.8716666666666679</v>
      </c>
      <c r="Q1084" s="57">
        <f t="shared" si="16"/>
        <v>1462.7633333333335</v>
      </c>
    </row>
    <row r="1085" spans="1:17" ht="15" customHeight="1" outlineLevel="1" x14ac:dyDescent="0.25">
      <c r="A1085" s="147"/>
      <c r="B1085" s="147"/>
      <c r="C1085" s="148"/>
      <c r="D1085" s="141"/>
      <c r="E1085" s="141"/>
      <c r="F1085" s="50">
        <v>43647</v>
      </c>
      <c r="G1085" s="50">
        <v>43830</v>
      </c>
      <c r="H1085" s="151"/>
      <c r="I1085" s="15" t="s">
        <v>23</v>
      </c>
      <c r="J1085" s="15" t="s">
        <v>23</v>
      </c>
      <c r="K1085" s="13">
        <v>12.74</v>
      </c>
      <c r="L1085" s="13">
        <v>1271.1400000000001</v>
      </c>
      <c r="M1085" s="198"/>
      <c r="N1085" s="55">
        <f t="shared" si="13"/>
        <v>10.616666666666667</v>
      </c>
      <c r="O1085" s="55">
        <f t="shared" si="14"/>
        <v>1059.2833333333335</v>
      </c>
      <c r="P1085" s="121">
        <f t="shared" si="15"/>
        <v>9.663333333333334</v>
      </c>
      <c r="Q1085" s="57">
        <f t="shared" si="16"/>
        <v>1441.9966666666667</v>
      </c>
    </row>
    <row r="1086" spans="1:17" ht="15" customHeight="1" outlineLevel="1" x14ac:dyDescent="0.25">
      <c r="A1086" s="146" t="s">
        <v>65</v>
      </c>
      <c r="B1086" s="146" t="s">
        <v>168</v>
      </c>
      <c r="C1086" s="148"/>
      <c r="D1086" s="137">
        <v>42723</v>
      </c>
      <c r="E1086" s="137" t="s">
        <v>643</v>
      </c>
      <c r="F1086" s="12">
        <v>43466</v>
      </c>
      <c r="G1086" s="12">
        <v>43646</v>
      </c>
      <c r="H1086" s="149" t="s">
        <v>645</v>
      </c>
      <c r="I1086" s="66">
        <v>20.28</v>
      </c>
      <c r="J1086" s="13">
        <v>2501.2800000000002</v>
      </c>
      <c r="K1086" s="15" t="s">
        <v>23</v>
      </c>
      <c r="L1086" s="15" t="s">
        <v>23</v>
      </c>
      <c r="M1086" s="153"/>
    </row>
    <row r="1087" spans="1:17" ht="15" customHeight="1" outlineLevel="1" x14ac:dyDescent="0.25">
      <c r="A1087" s="148"/>
      <c r="B1087" s="148"/>
      <c r="C1087" s="148"/>
      <c r="D1087" s="141"/>
      <c r="E1087" s="141"/>
      <c r="F1087" s="12">
        <v>43647</v>
      </c>
      <c r="G1087" s="12">
        <v>43830</v>
      </c>
      <c r="H1087" s="151"/>
      <c r="I1087" s="66">
        <v>36.979999999999997</v>
      </c>
      <c r="J1087" s="13">
        <v>2600.1999999999998</v>
      </c>
      <c r="K1087" s="15" t="s">
        <v>23</v>
      </c>
      <c r="L1087" s="15" t="s">
        <v>23</v>
      </c>
      <c r="M1087" s="152"/>
    </row>
    <row r="1088" spans="1:17" ht="15" customHeight="1" outlineLevel="1" x14ac:dyDescent="0.25">
      <c r="A1088" s="148"/>
      <c r="B1088" s="148"/>
      <c r="C1088" s="148"/>
      <c r="D1088" s="137">
        <v>43454</v>
      </c>
      <c r="E1088" s="137" t="s">
        <v>642</v>
      </c>
      <c r="F1088" s="50">
        <v>43466</v>
      </c>
      <c r="G1088" s="50">
        <v>43646</v>
      </c>
      <c r="H1088" s="149"/>
      <c r="I1088" s="15" t="s">
        <v>23</v>
      </c>
      <c r="J1088" s="15" t="s">
        <v>23</v>
      </c>
      <c r="K1088" s="13">
        <v>15.33</v>
      </c>
      <c r="L1088" s="13">
        <v>1301.4000000000001</v>
      </c>
      <c r="M1088" s="196" t="s">
        <v>420</v>
      </c>
      <c r="N1088" s="55">
        <f>K1088/1.2</f>
        <v>12.775</v>
      </c>
      <c r="O1088" s="55">
        <f>L1088/1.2</f>
        <v>1084.5000000000002</v>
      </c>
      <c r="P1088" s="56">
        <f>$I$1032-N1088</f>
        <v>7.5050000000000008</v>
      </c>
      <c r="Q1088" s="57">
        <f>$J$1032-O1088</f>
        <v>1416.78</v>
      </c>
    </row>
    <row r="1089" spans="1:17" ht="15" customHeight="1" outlineLevel="1" x14ac:dyDescent="0.25">
      <c r="A1089" s="148"/>
      <c r="B1089" s="148"/>
      <c r="C1089" s="148"/>
      <c r="D1089" s="138"/>
      <c r="E1089" s="138"/>
      <c r="F1089" s="50">
        <v>43647</v>
      </c>
      <c r="G1089" s="50">
        <v>43830</v>
      </c>
      <c r="H1089" s="150"/>
      <c r="I1089" s="15" t="s">
        <v>23</v>
      </c>
      <c r="J1089" s="15" t="s">
        <v>23</v>
      </c>
      <c r="K1089" s="13">
        <v>15.63</v>
      </c>
      <c r="L1089" s="13">
        <v>1327.43</v>
      </c>
      <c r="M1089" s="198"/>
      <c r="N1089" s="55">
        <f t="shared" ref="N1089:N1103" si="17">K1089/1.2</f>
        <v>13.025</v>
      </c>
      <c r="O1089" s="55">
        <f t="shared" ref="O1089:O1103" si="18">L1089/1.2</f>
        <v>1106.1916666666668</v>
      </c>
      <c r="P1089" s="56">
        <f t="shared" ref="P1089:P1103" si="19">$I$1032-N1089</f>
        <v>7.2550000000000008</v>
      </c>
      <c r="Q1089" s="57">
        <f t="shared" ref="Q1089:Q1103" si="20">$J$1032-O1089</f>
        <v>1395.0883333333334</v>
      </c>
    </row>
    <row r="1090" spans="1:17" ht="15" customHeight="1" outlineLevel="1" x14ac:dyDescent="0.25">
      <c r="A1090" s="148"/>
      <c r="B1090" s="148"/>
      <c r="C1090" s="148"/>
      <c r="D1090" s="138"/>
      <c r="E1090" s="138"/>
      <c r="F1090" s="50">
        <v>43466</v>
      </c>
      <c r="G1090" s="50">
        <v>43646</v>
      </c>
      <c r="H1090" s="150"/>
      <c r="I1090" s="15" t="s">
        <v>23</v>
      </c>
      <c r="J1090" s="15" t="s">
        <v>23</v>
      </c>
      <c r="K1090" s="13">
        <v>15.33</v>
      </c>
      <c r="L1090" s="13">
        <v>1425.35</v>
      </c>
      <c r="M1090" s="196" t="s">
        <v>421</v>
      </c>
      <c r="N1090" s="55">
        <f t="shared" si="17"/>
        <v>12.775</v>
      </c>
      <c r="O1090" s="55">
        <f t="shared" si="18"/>
        <v>1187.7916666666667</v>
      </c>
      <c r="P1090" s="56">
        <f t="shared" si="19"/>
        <v>7.5050000000000008</v>
      </c>
      <c r="Q1090" s="57">
        <f t="shared" si="20"/>
        <v>1313.4883333333335</v>
      </c>
    </row>
    <row r="1091" spans="1:17" ht="15" customHeight="1" outlineLevel="1" x14ac:dyDescent="0.25">
      <c r="A1091" s="148"/>
      <c r="B1091" s="148"/>
      <c r="C1091" s="148"/>
      <c r="D1091" s="138"/>
      <c r="E1091" s="138"/>
      <c r="F1091" s="50">
        <v>43647</v>
      </c>
      <c r="G1091" s="50">
        <v>43830</v>
      </c>
      <c r="H1091" s="150"/>
      <c r="I1091" s="15" t="s">
        <v>23</v>
      </c>
      <c r="J1091" s="15" t="s">
        <v>23</v>
      </c>
      <c r="K1091" s="13">
        <v>15.63</v>
      </c>
      <c r="L1091" s="13">
        <v>1453.85</v>
      </c>
      <c r="M1091" s="198"/>
      <c r="N1091" s="55">
        <f t="shared" si="17"/>
        <v>13.025</v>
      </c>
      <c r="O1091" s="55">
        <f t="shared" si="18"/>
        <v>1211.5416666666667</v>
      </c>
      <c r="P1091" s="56">
        <f t="shared" si="19"/>
        <v>7.2550000000000008</v>
      </c>
      <c r="Q1091" s="57">
        <f t="shared" si="20"/>
        <v>1289.7383333333335</v>
      </c>
    </row>
    <row r="1092" spans="1:17" ht="15" customHeight="1" outlineLevel="1" x14ac:dyDescent="0.25">
      <c r="A1092" s="148"/>
      <c r="B1092" s="148"/>
      <c r="C1092" s="148"/>
      <c r="D1092" s="138"/>
      <c r="E1092" s="138"/>
      <c r="F1092" s="50">
        <v>43466</v>
      </c>
      <c r="G1092" s="50">
        <v>43646</v>
      </c>
      <c r="H1092" s="150"/>
      <c r="I1092" s="15" t="s">
        <v>23</v>
      </c>
      <c r="J1092" s="15" t="s">
        <v>23</v>
      </c>
      <c r="K1092" s="13">
        <v>15.33</v>
      </c>
      <c r="L1092" s="13">
        <v>1213.46</v>
      </c>
      <c r="M1092" s="196" t="s">
        <v>422</v>
      </c>
      <c r="N1092" s="55">
        <f t="shared" si="17"/>
        <v>12.775</v>
      </c>
      <c r="O1092" s="55">
        <f t="shared" si="18"/>
        <v>1011.2166666666667</v>
      </c>
      <c r="P1092" s="56">
        <f t="shared" si="19"/>
        <v>7.5050000000000008</v>
      </c>
      <c r="Q1092" s="57">
        <f t="shared" si="20"/>
        <v>1490.0633333333335</v>
      </c>
    </row>
    <row r="1093" spans="1:17" ht="15" customHeight="1" outlineLevel="1" x14ac:dyDescent="0.25">
      <c r="A1093" s="148"/>
      <c r="B1093" s="148"/>
      <c r="C1093" s="148"/>
      <c r="D1093" s="138"/>
      <c r="E1093" s="138"/>
      <c r="F1093" s="50">
        <v>43647</v>
      </c>
      <c r="G1093" s="50">
        <v>43830</v>
      </c>
      <c r="H1093" s="150"/>
      <c r="I1093" s="15" t="s">
        <v>23</v>
      </c>
      <c r="J1093" s="15" t="s">
        <v>23</v>
      </c>
      <c r="K1093" s="13">
        <v>15.63</v>
      </c>
      <c r="L1093" s="13">
        <v>1237.73</v>
      </c>
      <c r="M1093" s="198"/>
      <c r="N1093" s="55">
        <f t="shared" si="17"/>
        <v>13.025</v>
      </c>
      <c r="O1093" s="55">
        <f t="shared" si="18"/>
        <v>1031.4416666666668</v>
      </c>
      <c r="P1093" s="56">
        <f t="shared" si="19"/>
        <v>7.2550000000000008</v>
      </c>
      <c r="Q1093" s="57">
        <f t="shared" si="20"/>
        <v>1469.8383333333334</v>
      </c>
    </row>
    <row r="1094" spans="1:17" ht="15" customHeight="1" outlineLevel="1" x14ac:dyDescent="0.25">
      <c r="A1094" s="148"/>
      <c r="B1094" s="148"/>
      <c r="C1094" s="148"/>
      <c r="D1094" s="138"/>
      <c r="E1094" s="138"/>
      <c r="F1094" s="50">
        <v>43466</v>
      </c>
      <c r="G1094" s="50">
        <v>43646</v>
      </c>
      <c r="H1094" s="150"/>
      <c r="I1094" s="15" t="s">
        <v>23</v>
      </c>
      <c r="J1094" s="15" t="s">
        <v>23</v>
      </c>
      <c r="K1094" s="13">
        <v>15.33</v>
      </c>
      <c r="L1094" s="13">
        <v>1301.4000000000001</v>
      </c>
      <c r="M1094" s="196" t="s">
        <v>423</v>
      </c>
      <c r="N1094" s="55">
        <f t="shared" si="17"/>
        <v>12.775</v>
      </c>
      <c r="O1094" s="55">
        <f t="shared" si="18"/>
        <v>1084.5000000000002</v>
      </c>
      <c r="P1094" s="56">
        <f t="shared" si="19"/>
        <v>7.5050000000000008</v>
      </c>
      <c r="Q1094" s="57">
        <f t="shared" si="20"/>
        <v>1416.78</v>
      </c>
    </row>
    <row r="1095" spans="1:17" ht="15" customHeight="1" outlineLevel="1" x14ac:dyDescent="0.25">
      <c r="A1095" s="148"/>
      <c r="B1095" s="148"/>
      <c r="C1095" s="148"/>
      <c r="D1095" s="138"/>
      <c r="E1095" s="138"/>
      <c r="F1095" s="50">
        <v>43647</v>
      </c>
      <c r="G1095" s="50">
        <v>43830</v>
      </c>
      <c r="H1095" s="150"/>
      <c r="I1095" s="15" t="s">
        <v>23</v>
      </c>
      <c r="J1095" s="15" t="s">
        <v>23</v>
      </c>
      <c r="K1095" s="13">
        <v>15.63</v>
      </c>
      <c r="L1095" s="13">
        <v>1327.43</v>
      </c>
      <c r="M1095" s="198"/>
      <c r="N1095" s="55">
        <f t="shared" si="17"/>
        <v>13.025</v>
      </c>
      <c r="O1095" s="55">
        <f t="shared" si="18"/>
        <v>1106.1916666666668</v>
      </c>
      <c r="P1095" s="56">
        <f t="shared" si="19"/>
        <v>7.2550000000000008</v>
      </c>
      <c r="Q1095" s="57">
        <f t="shared" si="20"/>
        <v>1395.0883333333334</v>
      </c>
    </row>
    <row r="1096" spans="1:17" ht="15" customHeight="1" outlineLevel="1" x14ac:dyDescent="0.25">
      <c r="A1096" s="148"/>
      <c r="B1096" s="148"/>
      <c r="C1096" s="148"/>
      <c r="D1096" s="138"/>
      <c r="E1096" s="138"/>
      <c r="F1096" s="50">
        <v>43466</v>
      </c>
      <c r="G1096" s="50">
        <v>43646</v>
      </c>
      <c r="H1096" s="150"/>
      <c r="I1096" s="15" t="s">
        <v>23</v>
      </c>
      <c r="J1096" s="15" t="s">
        <v>23</v>
      </c>
      <c r="K1096" s="13">
        <v>15.33</v>
      </c>
      <c r="L1096" s="13">
        <v>1360.56</v>
      </c>
      <c r="M1096" s="196" t="s">
        <v>424</v>
      </c>
      <c r="N1096" s="55">
        <f t="shared" si="17"/>
        <v>12.775</v>
      </c>
      <c r="O1096" s="55">
        <f t="shared" si="18"/>
        <v>1133.8</v>
      </c>
      <c r="P1096" s="56">
        <f t="shared" si="19"/>
        <v>7.5050000000000008</v>
      </c>
      <c r="Q1096" s="57">
        <f t="shared" si="20"/>
        <v>1367.4800000000002</v>
      </c>
    </row>
    <row r="1097" spans="1:17" ht="15" customHeight="1" outlineLevel="1" x14ac:dyDescent="0.25">
      <c r="A1097" s="148"/>
      <c r="B1097" s="148"/>
      <c r="C1097" s="148"/>
      <c r="D1097" s="138"/>
      <c r="E1097" s="138"/>
      <c r="F1097" s="50">
        <v>43647</v>
      </c>
      <c r="G1097" s="50">
        <v>43830</v>
      </c>
      <c r="H1097" s="150"/>
      <c r="I1097" s="15" t="s">
        <v>23</v>
      </c>
      <c r="J1097" s="15" t="s">
        <v>23</v>
      </c>
      <c r="K1097" s="13">
        <v>15.63</v>
      </c>
      <c r="L1097" s="13">
        <v>1387.77</v>
      </c>
      <c r="M1097" s="198"/>
      <c r="N1097" s="55">
        <f t="shared" si="17"/>
        <v>13.025</v>
      </c>
      <c r="O1097" s="55">
        <f t="shared" si="18"/>
        <v>1156.4750000000001</v>
      </c>
      <c r="P1097" s="56">
        <f t="shared" si="19"/>
        <v>7.2550000000000008</v>
      </c>
      <c r="Q1097" s="57">
        <f t="shared" si="20"/>
        <v>1344.8050000000001</v>
      </c>
    </row>
    <row r="1098" spans="1:17" ht="15" customHeight="1" outlineLevel="1" x14ac:dyDescent="0.25">
      <c r="A1098" s="148"/>
      <c r="B1098" s="148"/>
      <c r="C1098" s="148"/>
      <c r="D1098" s="138"/>
      <c r="E1098" s="138"/>
      <c r="F1098" s="50">
        <v>43466</v>
      </c>
      <c r="G1098" s="50">
        <v>43646</v>
      </c>
      <c r="H1098" s="150"/>
      <c r="I1098" s="15" t="s">
        <v>23</v>
      </c>
      <c r="J1098" s="15" t="s">
        <v>23</v>
      </c>
      <c r="K1098" s="13">
        <v>15.33</v>
      </c>
      <c r="L1098" s="13">
        <v>1472.07</v>
      </c>
      <c r="M1098" s="196" t="s">
        <v>425</v>
      </c>
      <c r="N1098" s="55">
        <f t="shared" si="17"/>
        <v>12.775</v>
      </c>
      <c r="O1098" s="55">
        <f t="shared" si="18"/>
        <v>1226.7249999999999</v>
      </c>
      <c r="P1098" s="56">
        <f t="shared" si="19"/>
        <v>7.5050000000000008</v>
      </c>
      <c r="Q1098" s="57">
        <f t="shared" si="20"/>
        <v>1274.5550000000003</v>
      </c>
    </row>
    <row r="1099" spans="1:17" ht="15" customHeight="1" outlineLevel="1" x14ac:dyDescent="0.25">
      <c r="A1099" s="148"/>
      <c r="B1099" s="148"/>
      <c r="C1099" s="148"/>
      <c r="D1099" s="138"/>
      <c r="E1099" s="138"/>
      <c r="F1099" s="50">
        <v>43647</v>
      </c>
      <c r="G1099" s="50">
        <v>43830</v>
      </c>
      <c r="H1099" s="150"/>
      <c r="I1099" s="15" t="s">
        <v>23</v>
      </c>
      <c r="J1099" s="15" t="s">
        <v>23</v>
      </c>
      <c r="K1099" s="13">
        <v>15.63</v>
      </c>
      <c r="L1099" s="13">
        <v>1501.52</v>
      </c>
      <c r="M1099" s="198"/>
      <c r="N1099" s="55">
        <f t="shared" si="17"/>
        <v>13.025</v>
      </c>
      <c r="O1099" s="55">
        <f t="shared" si="18"/>
        <v>1251.2666666666667</v>
      </c>
      <c r="P1099" s="56">
        <f t="shared" si="19"/>
        <v>7.2550000000000008</v>
      </c>
      <c r="Q1099" s="57">
        <f t="shared" si="20"/>
        <v>1250.0133333333335</v>
      </c>
    </row>
    <row r="1100" spans="1:17" ht="15" customHeight="1" outlineLevel="1" x14ac:dyDescent="0.25">
      <c r="A1100" s="148"/>
      <c r="B1100" s="148"/>
      <c r="C1100" s="148"/>
      <c r="D1100" s="138"/>
      <c r="E1100" s="138"/>
      <c r="F1100" s="50">
        <v>43466</v>
      </c>
      <c r="G1100" s="50">
        <v>43646</v>
      </c>
      <c r="H1100" s="150"/>
      <c r="I1100" s="15" t="s">
        <v>23</v>
      </c>
      <c r="J1100" s="15" t="s">
        <v>23</v>
      </c>
      <c r="K1100" s="13">
        <v>15.33</v>
      </c>
      <c r="L1100" s="13">
        <v>1247.18</v>
      </c>
      <c r="M1100" s="196" t="s">
        <v>426</v>
      </c>
      <c r="N1100" s="55">
        <f t="shared" si="17"/>
        <v>12.775</v>
      </c>
      <c r="O1100" s="55">
        <f t="shared" si="18"/>
        <v>1039.3166666666668</v>
      </c>
      <c r="P1100" s="56">
        <f t="shared" si="19"/>
        <v>7.5050000000000008</v>
      </c>
      <c r="Q1100" s="57">
        <f t="shared" si="20"/>
        <v>1461.9633333333334</v>
      </c>
    </row>
    <row r="1101" spans="1:17" ht="15" customHeight="1" outlineLevel="1" x14ac:dyDescent="0.25">
      <c r="A1101" s="148"/>
      <c r="B1101" s="148"/>
      <c r="C1101" s="148"/>
      <c r="D1101" s="138"/>
      <c r="E1101" s="138"/>
      <c r="F1101" s="50">
        <v>43647</v>
      </c>
      <c r="G1101" s="50">
        <v>43830</v>
      </c>
      <c r="H1101" s="150"/>
      <c r="I1101" s="15" t="s">
        <v>23</v>
      </c>
      <c r="J1101" s="15" t="s">
        <v>23</v>
      </c>
      <c r="K1101" s="13">
        <v>15.63</v>
      </c>
      <c r="L1101" s="13">
        <v>1272.1199999999999</v>
      </c>
      <c r="M1101" s="198"/>
      <c r="N1101" s="55">
        <f t="shared" si="17"/>
        <v>13.025</v>
      </c>
      <c r="O1101" s="55">
        <f t="shared" si="18"/>
        <v>1060.0999999999999</v>
      </c>
      <c r="P1101" s="56">
        <f t="shared" si="19"/>
        <v>7.2550000000000008</v>
      </c>
      <c r="Q1101" s="57">
        <f t="shared" si="20"/>
        <v>1441.1800000000003</v>
      </c>
    </row>
    <row r="1102" spans="1:17" ht="15" customHeight="1" outlineLevel="1" x14ac:dyDescent="0.25">
      <c r="A1102" s="148"/>
      <c r="B1102" s="148"/>
      <c r="C1102" s="148"/>
      <c r="D1102" s="138"/>
      <c r="E1102" s="138"/>
      <c r="F1102" s="50">
        <v>43466</v>
      </c>
      <c r="G1102" s="50">
        <v>43646</v>
      </c>
      <c r="H1102" s="150"/>
      <c r="I1102" s="15" t="s">
        <v>23</v>
      </c>
      <c r="J1102" s="15" t="s">
        <v>23</v>
      </c>
      <c r="K1102" s="13">
        <v>15.33</v>
      </c>
      <c r="L1102" s="13">
        <v>1360.56</v>
      </c>
      <c r="M1102" s="196" t="s">
        <v>427</v>
      </c>
      <c r="N1102" s="55">
        <f t="shared" si="17"/>
        <v>12.775</v>
      </c>
      <c r="O1102" s="55">
        <f t="shared" si="18"/>
        <v>1133.8</v>
      </c>
      <c r="P1102" s="56">
        <f t="shared" si="19"/>
        <v>7.5050000000000008</v>
      </c>
      <c r="Q1102" s="57">
        <f t="shared" si="20"/>
        <v>1367.4800000000002</v>
      </c>
    </row>
    <row r="1103" spans="1:17" ht="15" customHeight="1" outlineLevel="1" x14ac:dyDescent="0.25">
      <c r="A1103" s="147"/>
      <c r="B1103" s="147"/>
      <c r="C1103" s="148"/>
      <c r="D1103" s="141"/>
      <c r="E1103" s="141"/>
      <c r="F1103" s="50">
        <v>43647</v>
      </c>
      <c r="G1103" s="50">
        <v>43830</v>
      </c>
      <c r="H1103" s="151"/>
      <c r="I1103" s="15" t="s">
        <v>23</v>
      </c>
      <c r="J1103" s="15" t="s">
        <v>23</v>
      </c>
      <c r="K1103" s="13">
        <v>15.63</v>
      </c>
      <c r="L1103" s="13">
        <v>1387.77</v>
      </c>
      <c r="M1103" s="198"/>
      <c r="N1103" s="55">
        <f t="shared" si="17"/>
        <v>13.025</v>
      </c>
      <c r="O1103" s="55">
        <f t="shared" si="18"/>
        <v>1156.4750000000001</v>
      </c>
      <c r="P1103" s="56">
        <f t="shared" si="19"/>
        <v>7.2550000000000008</v>
      </c>
      <c r="Q1103" s="57">
        <f t="shared" si="20"/>
        <v>1344.8050000000001</v>
      </c>
    </row>
    <row r="1104" spans="1:17" ht="15" customHeight="1" outlineLevel="1" x14ac:dyDescent="0.25">
      <c r="A1104" s="146" t="s">
        <v>65</v>
      </c>
      <c r="B1104" s="146" t="s">
        <v>165</v>
      </c>
      <c r="C1104" s="148"/>
      <c r="D1104" s="137">
        <v>42723</v>
      </c>
      <c r="E1104" s="137" t="s">
        <v>643</v>
      </c>
      <c r="F1104" s="12">
        <v>43466</v>
      </c>
      <c r="G1104" s="12">
        <v>43646</v>
      </c>
      <c r="H1104" s="149" t="s">
        <v>645</v>
      </c>
      <c r="I1104" s="66">
        <v>20.28</v>
      </c>
      <c r="J1104" s="13">
        <v>2501.2800000000002</v>
      </c>
      <c r="K1104" s="15" t="s">
        <v>23</v>
      </c>
      <c r="L1104" s="15" t="s">
        <v>23</v>
      </c>
      <c r="M1104" s="153"/>
    </row>
    <row r="1105" spans="1:17" ht="15" customHeight="1" outlineLevel="1" x14ac:dyDescent="0.25">
      <c r="A1105" s="148"/>
      <c r="B1105" s="148"/>
      <c r="C1105" s="148"/>
      <c r="D1105" s="141"/>
      <c r="E1105" s="141"/>
      <c r="F1105" s="12">
        <v>43647</v>
      </c>
      <c r="G1105" s="12">
        <v>43830</v>
      </c>
      <c r="H1105" s="151"/>
      <c r="I1105" s="66">
        <v>36.979999999999997</v>
      </c>
      <c r="J1105" s="13">
        <v>2600.1999999999998</v>
      </c>
      <c r="K1105" s="15" t="s">
        <v>23</v>
      </c>
      <c r="L1105" s="15" t="s">
        <v>23</v>
      </c>
      <c r="M1105" s="152"/>
    </row>
    <row r="1106" spans="1:17" ht="15" customHeight="1" outlineLevel="1" x14ac:dyDescent="0.25">
      <c r="A1106" s="148"/>
      <c r="B1106" s="148"/>
      <c r="C1106" s="148"/>
      <c r="D1106" s="137">
        <v>43454</v>
      </c>
      <c r="E1106" s="137" t="s">
        <v>642</v>
      </c>
      <c r="F1106" s="50">
        <v>43466</v>
      </c>
      <c r="G1106" s="50">
        <v>43646</v>
      </c>
      <c r="H1106" s="149"/>
      <c r="I1106" s="15" t="s">
        <v>23</v>
      </c>
      <c r="J1106" s="15" t="s">
        <v>23</v>
      </c>
      <c r="K1106" s="13">
        <v>17.13</v>
      </c>
      <c r="L1106" s="13">
        <v>1379.22</v>
      </c>
      <c r="M1106" s="196" t="s">
        <v>420</v>
      </c>
      <c r="N1106" s="55">
        <f>K1106/1.2</f>
        <v>14.275</v>
      </c>
      <c r="O1106" s="55">
        <f>L1106/1.2</f>
        <v>1149.3500000000001</v>
      </c>
      <c r="P1106" s="56">
        <f>$I$1032-N1106</f>
        <v>6.0050000000000008</v>
      </c>
      <c r="Q1106" s="57">
        <f>$J$1032-O1106</f>
        <v>1351.93</v>
      </c>
    </row>
    <row r="1107" spans="1:17" ht="15" customHeight="1" outlineLevel="1" x14ac:dyDescent="0.25">
      <c r="A1107" s="148"/>
      <c r="B1107" s="148"/>
      <c r="C1107" s="148"/>
      <c r="D1107" s="138"/>
      <c r="E1107" s="138"/>
      <c r="F1107" s="50">
        <v>43647</v>
      </c>
      <c r="G1107" s="50">
        <v>43830</v>
      </c>
      <c r="H1107" s="150"/>
      <c r="I1107" s="15" t="s">
        <v>23</v>
      </c>
      <c r="J1107" s="15" t="s">
        <v>23</v>
      </c>
      <c r="K1107" s="13">
        <v>17.47</v>
      </c>
      <c r="L1107" s="13">
        <v>1406.8</v>
      </c>
      <c r="M1107" s="198"/>
      <c r="N1107" s="55">
        <f t="shared" ref="N1107:N1121" si="21">K1107/1.2</f>
        <v>14.558333333333334</v>
      </c>
      <c r="O1107" s="55">
        <f t="shared" ref="O1107:O1121" si="22">L1107/1.2</f>
        <v>1172.3333333333333</v>
      </c>
      <c r="P1107" s="56">
        <f t="shared" ref="P1107:P1121" si="23">$I$1032-N1107</f>
        <v>5.7216666666666676</v>
      </c>
      <c r="Q1107" s="57">
        <f t="shared" ref="Q1107:Q1121" si="24">$J$1032-O1107</f>
        <v>1328.9466666666669</v>
      </c>
    </row>
    <row r="1108" spans="1:17" ht="15" customHeight="1" outlineLevel="1" x14ac:dyDescent="0.25">
      <c r="A1108" s="148"/>
      <c r="B1108" s="148"/>
      <c r="C1108" s="148"/>
      <c r="D1108" s="138"/>
      <c r="E1108" s="138"/>
      <c r="F1108" s="50">
        <v>43466</v>
      </c>
      <c r="G1108" s="50">
        <v>43646</v>
      </c>
      <c r="H1108" s="150"/>
      <c r="I1108" s="15" t="s">
        <v>23</v>
      </c>
      <c r="J1108" s="15" t="s">
        <v>23</v>
      </c>
      <c r="K1108" s="13">
        <v>17.13</v>
      </c>
      <c r="L1108" s="13">
        <v>1510.58</v>
      </c>
      <c r="M1108" s="196" t="s">
        <v>421</v>
      </c>
      <c r="N1108" s="55">
        <f t="shared" si="21"/>
        <v>14.275</v>
      </c>
      <c r="O1108" s="55">
        <f t="shared" si="22"/>
        <v>1258.8166666666666</v>
      </c>
      <c r="P1108" s="56">
        <f t="shared" si="23"/>
        <v>6.0050000000000008</v>
      </c>
      <c r="Q1108" s="57">
        <f t="shared" si="24"/>
        <v>1242.4633333333336</v>
      </c>
    </row>
    <row r="1109" spans="1:17" ht="15" customHeight="1" outlineLevel="1" x14ac:dyDescent="0.25">
      <c r="A1109" s="148"/>
      <c r="B1109" s="148"/>
      <c r="C1109" s="148"/>
      <c r="D1109" s="138"/>
      <c r="E1109" s="138"/>
      <c r="F1109" s="50">
        <v>43647</v>
      </c>
      <c r="G1109" s="50">
        <v>43830</v>
      </c>
      <c r="H1109" s="150"/>
      <c r="I1109" s="15" t="s">
        <v>23</v>
      </c>
      <c r="J1109" s="15" t="s">
        <v>23</v>
      </c>
      <c r="K1109" s="13">
        <v>17.47</v>
      </c>
      <c r="L1109" s="13">
        <v>1540.79</v>
      </c>
      <c r="M1109" s="198"/>
      <c r="N1109" s="55">
        <f t="shared" si="21"/>
        <v>14.558333333333334</v>
      </c>
      <c r="O1109" s="55">
        <f t="shared" si="22"/>
        <v>1283.9916666666668</v>
      </c>
      <c r="P1109" s="56">
        <f t="shared" si="23"/>
        <v>5.7216666666666676</v>
      </c>
      <c r="Q1109" s="57">
        <f t="shared" si="24"/>
        <v>1217.2883333333334</v>
      </c>
    </row>
    <row r="1110" spans="1:17" ht="15" customHeight="1" outlineLevel="1" x14ac:dyDescent="0.25">
      <c r="A1110" s="148"/>
      <c r="B1110" s="148"/>
      <c r="C1110" s="148"/>
      <c r="D1110" s="138"/>
      <c r="E1110" s="138"/>
      <c r="F1110" s="50">
        <v>43466</v>
      </c>
      <c r="G1110" s="50">
        <v>43646</v>
      </c>
      <c r="H1110" s="150"/>
      <c r="I1110" s="15" t="s">
        <v>23</v>
      </c>
      <c r="J1110" s="15" t="s">
        <v>23</v>
      </c>
      <c r="K1110" s="13">
        <v>17.13</v>
      </c>
      <c r="L1110" s="13">
        <v>1286.02</v>
      </c>
      <c r="M1110" s="196" t="s">
        <v>422</v>
      </c>
      <c r="N1110" s="55">
        <f t="shared" si="21"/>
        <v>14.275</v>
      </c>
      <c r="O1110" s="55">
        <f t="shared" si="22"/>
        <v>1071.6833333333334</v>
      </c>
      <c r="P1110" s="56">
        <f t="shared" si="23"/>
        <v>6.0050000000000008</v>
      </c>
      <c r="Q1110" s="57">
        <f t="shared" si="24"/>
        <v>1429.5966666666668</v>
      </c>
    </row>
    <row r="1111" spans="1:17" ht="15" customHeight="1" outlineLevel="1" x14ac:dyDescent="0.25">
      <c r="A1111" s="148"/>
      <c r="B1111" s="148"/>
      <c r="C1111" s="148"/>
      <c r="D1111" s="138"/>
      <c r="E1111" s="138"/>
      <c r="F1111" s="50">
        <v>43647</v>
      </c>
      <c r="G1111" s="50">
        <v>43830</v>
      </c>
      <c r="H1111" s="150"/>
      <c r="I1111" s="15" t="s">
        <v>23</v>
      </c>
      <c r="J1111" s="15" t="s">
        <v>23</v>
      </c>
      <c r="K1111" s="13">
        <v>17.47</v>
      </c>
      <c r="L1111" s="13">
        <v>1311.74</v>
      </c>
      <c r="M1111" s="198"/>
      <c r="N1111" s="55">
        <f t="shared" si="21"/>
        <v>14.558333333333334</v>
      </c>
      <c r="O1111" s="55">
        <f t="shared" si="22"/>
        <v>1093.1166666666668</v>
      </c>
      <c r="P1111" s="56">
        <f t="shared" si="23"/>
        <v>5.7216666666666676</v>
      </c>
      <c r="Q1111" s="57">
        <f t="shared" si="24"/>
        <v>1408.1633333333334</v>
      </c>
    </row>
    <row r="1112" spans="1:17" ht="15" customHeight="1" outlineLevel="1" x14ac:dyDescent="0.25">
      <c r="A1112" s="148"/>
      <c r="B1112" s="148"/>
      <c r="C1112" s="148"/>
      <c r="D1112" s="138"/>
      <c r="E1112" s="138"/>
      <c r="F1112" s="50">
        <v>43466</v>
      </c>
      <c r="G1112" s="50">
        <v>43646</v>
      </c>
      <c r="H1112" s="150"/>
      <c r="I1112" s="15" t="s">
        <v>23</v>
      </c>
      <c r="J1112" s="15" t="s">
        <v>23</v>
      </c>
      <c r="K1112" s="13">
        <v>17.13</v>
      </c>
      <c r="L1112" s="13">
        <v>1379.22</v>
      </c>
      <c r="M1112" s="196" t="s">
        <v>423</v>
      </c>
      <c r="N1112" s="55">
        <f t="shared" si="21"/>
        <v>14.275</v>
      </c>
      <c r="O1112" s="55">
        <f t="shared" si="22"/>
        <v>1149.3500000000001</v>
      </c>
      <c r="P1112" s="56">
        <f t="shared" si="23"/>
        <v>6.0050000000000008</v>
      </c>
      <c r="Q1112" s="57">
        <f t="shared" si="24"/>
        <v>1351.93</v>
      </c>
    </row>
    <row r="1113" spans="1:17" ht="15" customHeight="1" outlineLevel="1" x14ac:dyDescent="0.25">
      <c r="A1113" s="148"/>
      <c r="B1113" s="148"/>
      <c r="C1113" s="148"/>
      <c r="D1113" s="138"/>
      <c r="E1113" s="138"/>
      <c r="F1113" s="50">
        <v>43647</v>
      </c>
      <c r="G1113" s="50">
        <v>43830</v>
      </c>
      <c r="H1113" s="150"/>
      <c r="I1113" s="15" t="s">
        <v>23</v>
      </c>
      <c r="J1113" s="15" t="s">
        <v>23</v>
      </c>
      <c r="K1113" s="13">
        <v>17.47</v>
      </c>
      <c r="L1113" s="13">
        <v>1406.8</v>
      </c>
      <c r="M1113" s="198"/>
      <c r="N1113" s="55">
        <f t="shared" si="21"/>
        <v>14.558333333333334</v>
      </c>
      <c r="O1113" s="55">
        <f t="shared" si="22"/>
        <v>1172.3333333333333</v>
      </c>
      <c r="P1113" s="56">
        <f t="shared" si="23"/>
        <v>5.7216666666666676</v>
      </c>
      <c r="Q1113" s="57">
        <f t="shared" si="24"/>
        <v>1328.9466666666669</v>
      </c>
    </row>
    <row r="1114" spans="1:17" ht="15" customHeight="1" outlineLevel="1" x14ac:dyDescent="0.25">
      <c r="A1114" s="148"/>
      <c r="B1114" s="148"/>
      <c r="C1114" s="148"/>
      <c r="D1114" s="138"/>
      <c r="E1114" s="138"/>
      <c r="F1114" s="50">
        <v>43466</v>
      </c>
      <c r="G1114" s="50">
        <v>43646</v>
      </c>
      <c r="H1114" s="150"/>
      <c r="I1114" s="15" t="s">
        <v>23</v>
      </c>
      <c r="J1114" s="15" t="s">
        <v>23</v>
      </c>
      <c r="K1114" s="13">
        <v>17.13</v>
      </c>
      <c r="L1114" s="13">
        <v>1441.91</v>
      </c>
      <c r="M1114" s="196" t="s">
        <v>424</v>
      </c>
      <c r="N1114" s="55">
        <f t="shared" si="21"/>
        <v>14.275</v>
      </c>
      <c r="O1114" s="55">
        <f t="shared" si="22"/>
        <v>1201.5916666666667</v>
      </c>
      <c r="P1114" s="56">
        <f t="shared" si="23"/>
        <v>6.0050000000000008</v>
      </c>
      <c r="Q1114" s="57">
        <f t="shared" si="24"/>
        <v>1299.6883333333335</v>
      </c>
    </row>
    <row r="1115" spans="1:17" ht="15" customHeight="1" outlineLevel="1" x14ac:dyDescent="0.25">
      <c r="A1115" s="148"/>
      <c r="B1115" s="148"/>
      <c r="C1115" s="148"/>
      <c r="D1115" s="138"/>
      <c r="E1115" s="138"/>
      <c r="F1115" s="50">
        <v>43647</v>
      </c>
      <c r="G1115" s="50">
        <v>43830</v>
      </c>
      <c r="H1115" s="150"/>
      <c r="I1115" s="15" t="s">
        <v>23</v>
      </c>
      <c r="J1115" s="15" t="s">
        <v>23</v>
      </c>
      <c r="K1115" s="13">
        <v>17.47</v>
      </c>
      <c r="L1115" s="13">
        <v>1470.75</v>
      </c>
      <c r="M1115" s="198"/>
      <c r="N1115" s="55">
        <f t="shared" si="21"/>
        <v>14.558333333333334</v>
      </c>
      <c r="O1115" s="55">
        <f t="shared" si="22"/>
        <v>1225.625</v>
      </c>
      <c r="P1115" s="56">
        <f t="shared" si="23"/>
        <v>5.7216666666666676</v>
      </c>
      <c r="Q1115" s="57">
        <f t="shared" si="24"/>
        <v>1275.6550000000002</v>
      </c>
    </row>
    <row r="1116" spans="1:17" ht="15" customHeight="1" outlineLevel="1" x14ac:dyDescent="0.25">
      <c r="A1116" s="148"/>
      <c r="B1116" s="148"/>
      <c r="C1116" s="148"/>
      <c r="D1116" s="138"/>
      <c r="E1116" s="138"/>
      <c r="F1116" s="50">
        <v>43466</v>
      </c>
      <c r="G1116" s="50">
        <v>43646</v>
      </c>
      <c r="H1116" s="150"/>
      <c r="I1116" s="15" t="s">
        <v>23</v>
      </c>
      <c r="J1116" s="15" t="s">
        <v>23</v>
      </c>
      <c r="K1116" s="13">
        <v>17.13</v>
      </c>
      <c r="L1116" s="13">
        <v>1560.1</v>
      </c>
      <c r="M1116" s="196" t="s">
        <v>425</v>
      </c>
      <c r="N1116" s="55">
        <f t="shared" si="21"/>
        <v>14.275</v>
      </c>
      <c r="O1116" s="55">
        <f t="shared" si="22"/>
        <v>1300.0833333333333</v>
      </c>
      <c r="P1116" s="56">
        <f t="shared" si="23"/>
        <v>6.0050000000000008</v>
      </c>
      <c r="Q1116" s="57">
        <f t="shared" si="24"/>
        <v>1201.1966666666669</v>
      </c>
    </row>
    <row r="1117" spans="1:17" ht="15" customHeight="1" outlineLevel="1" x14ac:dyDescent="0.25">
      <c r="A1117" s="148"/>
      <c r="B1117" s="148"/>
      <c r="C1117" s="148"/>
      <c r="D1117" s="138"/>
      <c r="E1117" s="138"/>
      <c r="F1117" s="50">
        <v>43647</v>
      </c>
      <c r="G1117" s="50">
        <v>43830</v>
      </c>
      <c r="H1117" s="150"/>
      <c r="I1117" s="15" t="s">
        <v>23</v>
      </c>
      <c r="J1117" s="15" t="s">
        <v>23</v>
      </c>
      <c r="K1117" s="13">
        <v>17.47</v>
      </c>
      <c r="L1117" s="13">
        <v>1591.3</v>
      </c>
      <c r="M1117" s="198"/>
      <c r="N1117" s="55">
        <f t="shared" si="21"/>
        <v>14.558333333333334</v>
      </c>
      <c r="O1117" s="55">
        <f t="shared" si="22"/>
        <v>1326.0833333333333</v>
      </c>
      <c r="P1117" s="56">
        <f t="shared" si="23"/>
        <v>5.7216666666666676</v>
      </c>
      <c r="Q1117" s="57">
        <f t="shared" si="24"/>
        <v>1175.1966666666669</v>
      </c>
    </row>
    <row r="1118" spans="1:17" ht="15" customHeight="1" outlineLevel="1" x14ac:dyDescent="0.25">
      <c r="A1118" s="148"/>
      <c r="B1118" s="148"/>
      <c r="C1118" s="148"/>
      <c r="D1118" s="138"/>
      <c r="E1118" s="138"/>
      <c r="F1118" s="50">
        <v>43466</v>
      </c>
      <c r="G1118" s="50">
        <v>43646</v>
      </c>
      <c r="H1118" s="150"/>
      <c r="I1118" s="15" t="s">
        <v>23</v>
      </c>
      <c r="J1118" s="15" t="s">
        <v>23</v>
      </c>
      <c r="K1118" s="13">
        <v>17.13</v>
      </c>
      <c r="L1118" s="13">
        <v>1321.75</v>
      </c>
      <c r="M1118" s="196" t="s">
        <v>426</v>
      </c>
      <c r="N1118" s="55">
        <f t="shared" si="21"/>
        <v>14.275</v>
      </c>
      <c r="O1118" s="55">
        <f t="shared" si="22"/>
        <v>1101.4583333333335</v>
      </c>
      <c r="P1118" s="56">
        <f t="shared" si="23"/>
        <v>6.0050000000000008</v>
      </c>
      <c r="Q1118" s="57">
        <f t="shared" si="24"/>
        <v>1399.8216666666667</v>
      </c>
    </row>
    <row r="1119" spans="1:17" ht="15" customHeight="1" outlineLevel="1" x14ac:dyDescent="0.25">
      <c r="A1119" s="148"/>
      <c r="B1119" s="148"/>
      <c r="C1119" s="148"/>
      <c r="D1119" s="138"/>
      <c r="E1119" s="138"/>
      <c r="F1119" s="50">
        <v>43647</v>
      </c>
      <c r="G1119" s="50">
        <v>43830</v>
      </c>
      <c r="H1119" s="150"/>
      <c r="I1119" s="15" t="s">
        <v>23</v>
      </c>
      <c r="J1119" s="15" t="s">
        <v>23</v>
      </c>
      <c r="K1119" s="13">
        <v>17.47</v>
      </c>
      <c r="L1119" s="13">
        <v>1348.18</v>
      </c>
      <c r="M1119" s="198"/>
      <c r="N1119" s="55">
        <f t="shared" si="21"/>
        <v>14.558333333333334</v>
      </c>
      <c r="O1119" s="55">
        <f t="shared" si="22"/>
        <v>1123.4833333333333</v>
      </c>
      <c r="P1119" s="56">
        <f t="shared" si="23"/>
        <v>5.7216666666666676</v>
      </c>
      <c r="Q1119" s="57">
        <f t="shared" si="24"/>
        <v>1377.7966666666669</v>
      </c>
    </row>
    <row r="1120" spans="1:17" ht="15" customHeight="1" outlineLevel="1" x14ac:dyDescent="0.25">
      <c r="A1120" s="148"/>
      <c r="B1120" s="148"/>
      <c r="C1120" s="148"/>
      <c r="D1120" s="138"/>
      <c r="E1120" s="138"/>
      <c r="F1120" s="50">
        <v>43466</v>
      </c>
      <c r="G1120" s="50">
        <v>43646</v>
      </c>
      <c r="H1120" s="150"/>
      <c r="I1120" s="15" t="s">
        <v>23</v>
      </c>
      <c r="J1120" s="15" t="s">
        <v>23</v>
      </c>
      <c r="K1120" s="13">
        <v>17.13</v>
      </c>
      <c r="L1120" s="13">
        <v>1441.91</v>
      </c>
      <c r="M1120" s="196" t="s">
        <v>427</v>
      </c>
      <c r="N1120" s="55">
        <f t="shared" si="21"/>
        <v>14.275</v>
      </c>
      <c r="O1120" s="55">
        <f t="shared" si="22"/>
        <v>1201.5916666666667</v>
      </c>
      <c r="P1120" s="56">
        <f t="shared" si="23"/>
        <v>6.0050000000000008</v>
      </c>
      <c r="Q1120" s="57">
        <f t="shared" si="24"/>
        <v>1299.6883333333335</v>
      </c>
    </row>
    <row r="1121" spans="1:20" ht="15" customHeight="1" outlineLevel="1" x14ac:dyDescent="0.25">
      <c r="A1121" s="147"/>
      <c r="B1121" s="147"/>
      <c r="C1121" s="148"/>
      <c r="D1121" s="141"/>
      <c r="E1121" s="141"/>
      <c r="F1121" s="50">
        <v>43647</v>
      </c>
      <c r="G1121" s="50">
        <v>43830</v>
      </c>
      <c r="H1121" s="151"/>
      <c r="I1121" s="15" t="s">
        <v>23</v>
      </c>
      <c r="J1121" s="15" t="s">
        <v>23</v>
      </c>
      <c r="K1121" s="13">
        <v>17.47</v>
      </c>
      <c r="L1121" s="13">
        <v>1470.75</v>
      </c>
      <c r="M1121" s="198"/>
      <c r="N1121" s="55">
        <f t="shared" si="21"/>
        <v>14.558333333333334</v>
      </c>
      <c r="O1121" s="55">
        <f t="shared" si="22"/>
        <v>1225.625</v>
      </c>
      <c r="P1121" s="56">
        <f t="shared" si="23"/>
        <v>5.7216666666666676</v>
      </c>
      <c r="Q1121" s="57">
        <f t="shared" si="24"/>
        <v>1275.6550000000002</v>
      </c>
    </row>
    <row r="1122" spans="1:20" ht="15" customHeight="1" outlineLevel="1" x14ac:dyDescent="0.25">
      <c r="A1122" s="146" t="s">
        <v>65</v>
      </c>
      <c r="B1122" s="146" t="s">
        <v>164</v>
      </c>
      <c r="C1122" s="148"/>
      <c r="D1122" s="137">
        <v>42723</v>
      </c>
      <c r="E1122" s="137" t="s">
        <v>643</v>
      </c>
      <c r="F1122" s="12">
        <v>43466</v>
      </c>
      <c r="G1122" s="12">
        <v>43646</v>
      </c>
      <c r="H1122" s="149" t="s">
        <v>645</v>
      </c>
      <c r="I1122" s="66">
        <v>20.28</v>
      </c>
      <c r="J1122" s="13">
        <v>2501.2800000000002</v>
      </c>
      <c r="K1122" s="15" t="s">
        <v>23</v>
      </c>
      <c r="L1122" s="15" t="s">
        <v>23</v>
      </c>
      <c r="M1122" s="153"/>
    </row>
    <row r="1123" spans="1:20" ht="15" customHeight="1" outlineLevel="1" x14ac:dyDescent="0.25">
      <c r="A1123" s="148"/>
      <c r="B1123" s="148"/>
      <c r="C1123" s="148"/>
      <c r="D1123" s="141"/>
      <c r="E1123" s="141"/>
      <c r="F1123" s="12">
        <v>43647</v>
      </c>
      <c r="G1123" s="12">
        <v>43830</v>
      </c>
      <c r="H1123" s="151"/>
      <c r="I1123" s="66">
        <v>36.979999999999997</v>
      </c>
      <c r="J1123" s="13">
        <v>2600.1999999999998</v>
      </c>
      <c r="K1123" s="15" t="s">
        <v>23</v>
      </c>
      <c r="L1123" s="15" t="s">
        <v>23</v>
      </c>
      <c r="M1123" s="152"/>
    </row>
    <row r="1124" spans="1:20" ht="15" customHeight="1" outlineLevel="1" x14ac:dyDescent="0.25">
      <c r="A1124" s="148"/>
      <c r="B1124" s="148"/>
      <c r="C1124" s="148"/>
      <c r="D1124" s="137">
        <v>43454</v>
      </c>
      <c r="E1124" s="137" t="s">
        <v>642</v>
      </c>
      <c r="F1124" s="50">
        <v>43466</v>
      </c>
      <c r="G1124" s="50">
        <v>43646</v>
      </c>
      <c r="H1124" s="149"/>
      <c r="I1124" s="15" t="s">
        <v>23</v>
      </c>
      <c r="J1124" s="15" t="s">
        <v>23</v>
      </c>
      <c r="K1124" s="13">
        <v>16.82</v>
      </c>
      <c r="L1124" s="13">
        <v>1354.16</v>
      </c>
      <c r="M1124" s="196" t="s">
        <v>420</v>
      </c>
      <c r="N1124" s="55">
        <f>K1124/1.2</f>
        <v>14.016666666666667</v>
      </c>
      <c r="O1124" s="55">
        <f>L1124/1.2</f>
        <v>1128.4666666666667</v>
      </c>
      <c r="P1124" s="56">
        <f>$I$1032-N1124</f>
        <v>6.2633333333333336</v>
      </c>
      <c r="Q1124" s="57">
        <f>$J$1032-O1124</f>
        <v>1372.8133333333335</v>
      </c>
    </row>
    <row r="1125" spans="1:20" ht="15" customHeight="1" outlineLevel="1" x14ac:dyDescent="0.25">
      <c r="A1125" s="148"/>
      <c r="B1125" s="148"/>
      <c r="C1125" s="148"/>
      <c r="D1125" s="138"/>
      <c r="E1125" s="138"/>
      <c r="F1125" s="50">
        <v>43647</v>
      </c>
      <c r="G1125" s="50">
        <v>43830</v>
      </c>
      <c r="H1125" s="150"/>
      <c r="I1125" s="15" t="s">
        <v>23</v>
      </c>
      <c r="J1125" s="15" t="s">
        <v>23</v>
      </c>
      <c r="K1125" s="13">
        <v>17.16</v>
      </c>
      <c r="L1125" s="13">
        <v>1381.24</v>
      </c>
      <c r="M1125" s="198"/>
      <c r="N1125" s="55">
        <f t="shared" ref="N1125:N1139" si="25">K1125/1.2</f>
        <v>14.3</v>
      </c>
      <c r="O1125" s="55">
        <f t="shared" ref="O1125:O1139" si="26">L1125/1.2</f>
        <v>1151.0333333333333</v>
      </c>
      <c r="P1125" s="56">
        <f t="shared" ref="P1125:P1139" si="27">$I$1032-N1125</f>
        <v>5.98</v>
      </c>
      <c r="Q1125" s="57">
        <f t="shared" ref="Q1125:Q1139" si="28">$J$1032-O1125</f>
        <v>1350.2466666666669</v>
      </c>
    </row>
    <row r="1126" spans="1:20" ht="15" customHeight="1" outlineLevel="1" x14ac:dyDescent="0.25">
      <c r="A1126" s="148"/>
      <c r="B1126" s="148"/>
      <c r="C1126" s="148"/>
      <c r="D1126" s="138"/>
      <c r="E1126" s="138"/>
      <c r="F1126" s="50">
        <v>43466</v>
      </c>
      <c r="G1126" s="50">
        <v>43646</v>
      </c>
      <c r="H1126" s="150"/>
      <c r="I1126" s="15" t="s">
        <v>23</v>
      </c>
      <c r="J1126" s="15" t="s">
        <v>23</v>
      </c>
      <c r="K1126" s="13">
        <v>16.82</v>
      </c>
      <c r="L1126" s="13">
        <v>1483.13</v>
      </c>
      <c r="M1126" s="196" t="s">
        <v>421</v>
      </c>
      <c r="N1126" s="55">
        <f t="shared" si="25"/>
        <v>14.016666666666667</v>
      </c>
      <c r="O1126" s="55">
        <f t="shared" si="26"/>
        <v>1235.9416666666668</v>
      </c>
      <c r="P1126" s="56">
        <f t="shared" si="27"/>
        <v>6.2633333333333336</v>
      </c>
      <c r="Q1126" s="57">
        <f t="shared" si="28"/>
        <v>1265.3383333333334</v>
      </c>
    </row>
    <row r="1127" spans="1:20" ht="15" customHeight="1" outlineLevel="1" x14ac:dyDescent="0.25">
      <c r="A1127" s="148"/>
      <c r="B1127" s="148"/>
      <c r="C1127" s="148"/>
      <c r="D1127" s="138"/>
      <c r="E1127" s="138"/>
      <c r="F1127" s="50">
        <v>43647</v>
      </c>
      <c r="G1127" s="50">
        <v>43830</v>
      </c>
      <c r="H1127" s="150"/>
      <c r="I1127" s="15" t="s">
        <v>23</v>
      </c>
      <c r="J1127" s="15" t="s">
        <v>23</v>
      </c>
      <c r="K1127" s="13">
        <v>17.16</v>
      </c>
      <c r="L1127" s="13">
        <v>1512.79</v>
      </c>
      <c r="M1127" s="198"/>
      <c r="N1127" s="55">
        <f t="shared" si="25"/>
        <v>14.3</v>
      </c>
      <c r="O1127" s="55">
        <f t="shared" si="26"/>
        <v>1260.6583333333333</v>
      </c>
      <c r="P1127" s="56">
        <f t="shared" si="27"/>
        <v>5.98</v>
      </c>
      <c r="Q1127" s="57">
        <f t="shared" si="28"/>
        <v>1240.6216666666669</v>
      </c>
    </row>
    <row r="1128" spans="1:20" ht="15" customHeight="1" outlineLevel="1" x14ac:dyDescent="0.25">
      <c r="A1128" s="148"/>
      <c r="B1128" s="148"/>
      <c r="C1128" s="148"/>
      <c r="D1128" s="138"/>
      <c r="E1128" s="138"/>
      <c r="F1128" s="50">
        <v>43466</v>
      </c>
      <c r="G1128" s="50">
        <v>43646</v>
      </c>
      <c r="H1128" s="150"/>
      <c r="I1128" s="15" t="s">
        <v>23</v>
      </c>
      <c r="J1128" s="15" t="s">
        <v>23</v>
      </c>
      <c r="K1128" s="13">
        <v>16.82</v>
      </c>
      <c r="L1128" s="13">
        <v>1262.6600000000001</v>
      </c>
      <c r="M1128" s="196" t="s">
        <v>422</v>
      </c>
      <c r="N1128" s="55">
        <f t="shared" si="25"/>
        <v>14.016666666666667</v>
      </c>
      <c r="O1128" s="55">
        <f t="shared" si="26"/>
        <v>1052.2166666666667</v>
      </c>
      <c r="P1128" s="56">
        <f t="shared" si="27"/>
        <v>6.2633333333333336</v>
      </c>
      <c r="Q1128" s="57">
        <f t="shared" si="28"/>
        <v>1449.0633333333335</v>
      </c>
      <c r="R1128" s="57">
        <f>P1128*304.453</f>
        <v>1906.8906233333332</v>
      </c>
      <c r="S1128" s="58">
        <f>Q1128*22.53</f>
        <v>32647.396900000007</v>
      </c>
      <c r="T1128" s="55">
        <f>R1128+S1128</f>
        <v>34554.28752333334</v>
      </c>
    </row>
    <row r="1129" spans="1:20" ht="15" customHeight="1" outlineLevel="1" x14ac:dyDescent="0.25">
      <c r="A1129" s="148"/>
      <c r="B1129" s="148"/>
      <c r="C1129" s="148"/>
      <c r="D1129" s="138"/>
      <c r="E1129" s="138"/>
      <c r="F1129" s="50">
        <v>43647</v>
      </c>
      <c r="G1129" s="50">
        <v>43830</v>
      </c>
      <c r="H1129" s="150"/>
      <c r="I1129" s="15" t="s">
        <v>23</v>
      </c>
      <c r="J1129" s="15" t="s">
        <v>23</v>
      </c>
      <c r="K1129" s="13">
        <v>17.16</v>
      </c>
      <c r="L1129" s="13">
        <v>1287.92</v>
      </c>
      <c r="M1129" s="198"/>
      <c r="N1129" s="55">
        <f t="shared" si="25"/>
        <v>14.3</v>
      </c>
      <c r="O1129" s="55">
        <f t="shared" si="26"/>
        <v>1073.2666666666669</v>
      </c>
      <c r="P1129" s="56">
        <f t="shared" si="27"/>
        <v>5.98</v>
      </c>
      <c r="Q1129" s="57">
        <f t="shared" si="28"/>
        <v>1428.0133333333333</v>
      </c>
      <c r="T1129" s="55">
        <f>T1128-32647.32</f>
        <v>1906.9675233333401</v>
      </c>
    </row>
    <row r="1130" spans="1:20" ht="15" customHeight="1" outlineLevel="1" x14ac:dyDescent="0.25">
      <c r="A1130" s="148"/>
      <c r="B1130" s="148"/>
      <c r="C1130" s="148"/>
      <c r="D1130" s="138"/>
      <c r="E1130" s="138"/>
      <c r="F1130" s="50">
        <v>43466</v>
      </c>
      <c r="G1130" s="50">
        <v>43646</v>
      </c>
      <c r="H1130" s="150"/>
      <c r="I1130" s="15" t="s">
        <v>23</v>
      </c>
      <c r="J1130" s="15" t="s">
        <v>23</v>
      </c>
      <c r="K1130" s="13">
        <v>16.82</v>
      </c>
      <c r="L1130" s="13">
        <v>1354.16</v>
      </c>
      <c r="M1130" s="196" t="s">
        <v>423</v>
      </c>
      <c r="N1130" s="55">
        <f t="shared" si="25"/>
        <v>14.016666666666667</v>
      </c>
      <c r="O1130" s="55">
        <f t="shared" si="26"/>
        <v>1128.4666666666667</v>
      </c>
      <c r="P1130" s="56">
        <f t="shared" si="27"/>
        <v>6.2633333333333336</v>
      </c>
      <c r="Q1130" s="57">
        <f t="shared" si="28"/>
        <v>1372.8133333333335</v>
      </c>
    </row>
    <row r="1131" spans="1:20" ht="15" customHeight="1" outlineLevel="1" x14ac:dyDescent="0.25">
      <c r="A1131" s="148"/>
      <c r="B1131" s="148"/>
      <c r="C1131" s="148"/>
      <c r="D1131" s="138"/>
      <c r="E1131" s="138"/>
      <c r="F1131" s="50">
        <v>43647</v>
      </c>
      <c r="G1131" s="50">
        <v>43830</v>
      </c>
      <c r="H1131" s="150"/>
      <c r="I1131" s="15" t="s">
        <v>23</v>
      </c>
      <c r="J1131" s="15" t="s">
        <v>23</v>
      </c>
      <c r="K1131" s="13">
        <v>17.16</v>
      </c>
      <c r="L1131" s="13">
        <v>1381.24</v>
      </c>
      <c r="M1131" s="198"/>
      <c r="N1131" s="55">
        <f t="shared" si="25"/>
        <v>14.3</v>
      </c>
      <c r="O1131" s="55">
        <f t="shared" si="26"/>
        <v>1151.0333333333333</v>
      </c>
      <c r="P1131" s="56">
        <f t="shared" si="27"/>
        <v>5.98</v>
      </c>
      <c r="Q1131" s="57">
        <f t="shared" si="28"/>
        <v>1350.2466666666669</v>
      </c>
    </row>
    <row r="1132" spans="1:20" ht="15" customHeight="1" outlineLevel="1" x14ac:dyDescent="0.25">
      <c r="A1132" s="148"/>
      <c r="B1132" s="148"/>
      <c r="C1132" s="148"/>
      <c r="D1132" s="138"/>
      <c r="E1132" s="138"/>
      <c r="F1132" s="50">
        <v>43466</v>
      </c>
      <c r="G1132" s="50">
        <v>43646</v>
      </c>
      <c r="H1132" s="150"/>
      <c r="I1132" s="15" t="s">
        <v>23</v>
      </c>
      <c r="J1132" s="15" t="s">
        <v>23</v>
      </c>
      <c r="K1132" s="13">
        <v>16.82</v>
      </c>
      <c r="L1132" s="13">
        <v>1415.72</v>
      </c>
      <c r="M1132" s="196" t="s">
        <v>424</v>
      </c>
      <c r="N1132" s="55">
        <f t="shared" si="25"/>
        <v>14.016666666666667</v>
      </c>
      <c r="O1132" s="55">
        <f t="shared" si="26"/>
        <v>1179.7666666666667</v>
      </c>
      <c r="P1132" s="56">
        <f t="shared" si="27"/>
        <v>6.2633333333333336</v>
      </c>
      <c r="Q1132" s="57">
        <f t="shared" si="28"/>
        <v>1321.5133333333335</v>
      </c>
    </row>
    <row r="1133" spans="1:20" ht="15" customHeight="1" outlineLevel="1" x14ac:dyDescent="0.25">
      <c r="A1133" s="148"/>
      <c r="B1133" s="148"/>
      <c r="C1133" s="148"/>
      <c r="D1133" s="138"/>
      <c r="E1133" s="138"/>
      <c r="F1133" s="50">
        <v>43647</v>
      </c>
      <c r="G1133" s="50">
        <v>43830</v>
      </c>
      <c r="H1133" s="150"/>
      <c r="I1133" s="15" t="s">
        <v>23</v>
      </c>
      <c r="J1133" s="15" t="s">
        <v>23</v>
      </c>
      <c r="K1133" s="13">
        <v>17.16</v>
      </c>
      <c r="L1133" s="13">
        <v>1444.03</v>
      </c>
      <c r="M1133" s="198"/>
      <c r="N1133" s="55">
        <f t="shared" si="25"/>
        <v>14.3</v>
      </c>
      <c r="O1133" s="55">
        <f t="shared" si="26"/>
        <v>1203.3583333333333</v>
      </c>
      <c r="P1133" s="56">
        <f t="shared" si="27"/>
        <v>5.98</v>
      </c>
      <c r="Q1133" s="57">
        <f t="shared" si="28"/>
        <v>1297.9216666666669</v>
      </c>
    </row>
    <row r="1134" spans="1:20" ht="15" customHeight="1" outlineLevel="1" x14ac:dyDescent="0.25">
      <c r="A1134" s="148"/>
      <c r="B1134" s="148"/>
      <c r="C1134" s="148"/>
      <c r="D1134" s="138"/>
      <c r="E1134" s="138"/>
      <c r="F1134" s="50">
        <v>43466</v>
      </c>
      <c r="G1134" s="50">
        <v>43646</v>
      </c>
      <c r="H1134" s="150"/>
      <c r="I1134" s="15" t="s">
        <v>23</v>
      </c>
      <c r="J1134" s="15" t="s">
        <v>23</v>
      </c>
      <c r="K1134" s="13">
        <v>16.82</v>
      </c>
      <c r="L1134" s="13">
        <v>1531.76</v>
      </c>
      <c r="M1134" s="196" t="s">
        <v>425</v>
      </c>
      <c r="N1134" s="55">
        <f t="shared" si="25"/>
        <v>14.016666666666667</v>
      </c>
      <c r="O1134" s="55">
        <f t="shared" si="26"/>
        <v>1276.4666666666667</v>
      </c>
      <c r="P1134" s="56">
        <f t="shared" si="27"/>
        <v>6.2633333333333336</v>
      </c>
      <c r="Q1134" s="57">
        <f t="shared" si="28"/>
        <v>1224.8133333333335</v>
      </c>
    </row>
    <row r="1135" spans="1:20" ht="15" customHeight="1" outlineLevel="1" x14ac:dyDescent="0.25">
      <c r="A1135" s="148"/>
      <c r="B1135" s="148"/>
      <c r="C1135" s="148"/>
      <c r="D1135" s="138"/>
      <c r="E1135" s="138"/>
      <c r="F1135" s="50">
        <v>43647</v>
      </c>
      <c r="G1135" s="50">
        <v>43830</v>
      </c>
      <c r="H1135" s="150"/>
      <c r="I1135" s="15" t="s">
        <v>23</v>
      </c>
      <c r="J1135" s="15" t="s">
        <v>23</v>
      </c>
      <c r="K1135" s="13">
        <v>17.16</v>
      </c>
      <c r="L1135" s="13">
        <v>1562.39</v>
      </c>
      <c r="M1135" s="198"/>
      <c r="N1135" s="55">
        <f t="shared" si="25"/>
        <v>14.3</v>
      </c>
      <c r="O1135" s="55">
        <f t="shared" si="26"/>
        <v>1301.9916666666668</v>
      </c>
      <c r="P1135" s="56">
        <f t="shared" si="27"/>
        <v>5.98</v>
      </c>
      <c r="Q1135" s="57">
        <f t="shared" si="28"/>
        <v>1199.2883333333334</v>
      </c>
    </row>
    <row r="1136" spans="1:20" ht="15" customHeight="1" outlineLevel="1" x14ac:dyDescent="0.25">
      <c r="A1136" s="148"/>
      <c r="B1136" s="148"/>
      <c r="C1136" s="148"/>
      <c r="D1136" s="138"/>
      <c r="E1136" s="138"/>
      <c r="F1136" s="50">
        <v>43466</v>
      </c>
      <c r="G1136" s="50">
        <v>43646</v>
      </c>
      <c r="H1136" s="150"/>
      <c r="I1136" s="15" t="s">
        <v>23</v>
      </c>
      <c r="J1136" s="15" t="s">
        <v>23</v>
      </c>
      <c r="K1136" s="13">
        <v>16.82</v>
      </c>
      <c r="L1136" s="13">
        <v>1297.74</v>
      </c>
      <c r="M1136" s="196" t="s">
        <v>426</v>
      </c>
      <c r="N1136" s="55">
        <f t="shared" si="25"/>
        <v>14.016666666666667</v>
      </c>
      <c r="O1136" s="55">
        <f t="shared" si="26"/>
        <v>1081.45</v>
      </c>
      <c r="P1136" s="56">
        <f t="shared" si="27"/>
        <v>6.2633333333333336</v>
      </c>
      <c r="Q1136" s="57">
        <f t="shared" si="28"/>
        <v>1419.8300000000002</v>
      </c>
    </row>
    <row r="1137" spans="1:17" ht="15" customHeight="1" outlineLevel="1" x14ac:dyDescent="0.25">
      <c r="A1137" s="148"/>
      <c r="B1137" s="148"/>
      <c r="C1137" s="148"/>
      <c r="D1137" s="138"/>
      <c r="E1137" s="138"/>
      <c r="F1137" s="50">
        <v>43647</v>
      </c>
      <c r="G1137" s="50">
        <v>43830</v>
      </c>
      <c r="H1137" s="150"/>
      <c r="I1137" s="15" t="s">
        <v>23</v>
      </c>
      <c r="J1137" s="15" t="s">
        <v>23</v>
      </c>
      <c r="K1137" s="13">
        <v>17.16</v>
      </c>
      <c r="L1137" s="13">
        <v>1323.69</v>
      </c>
      <c r="M1137" s="198"/>
      <c r="N1137" s="55">
        <f t="shared" si="25"/>
        <v>14.3</v>
      </c>
      <c r="O1137" s="55">
        <f t="shared" si="26"/>
        <v>1103.075</v>
      </c>
      <c r="P1137" s="56">
        <f t="shared" si="27"/>
        <v>5.98</v>
      </c>
      <c r="Q1137" s="57">
        <f t="shared" si="28"/>
        <v>1398.2050000000002</v>
      </c>
    </row>
    <row r="1138" spans="1:17" ht="15" customHeight="1" outlineLevel="1" x14ac:dyDescent="0.25">
      <c r="A1138" s="148"/>
      <c r="B1138" s="148"/>
      <c r="C1138" s="148"/>
      <c r="D1138" s="138"/>
      <c r="E1138" s="138"/>
      <c r="F1138" s="50">
        <v>43466</v>
      </c>
      <c r="G1138" s="50">
        <v>43646</v>
      </c>
      <c r="H1138" s="150"/>
      <c r="I1138" s="15" t="s">
        <v>23</v>
      </c>
      <c r="J1138" s="15" t="s">
        <v>23</v>
      </c>
      <c r="K1138" s="13">
        <v>16.82</v>
      </c>
      <c r="L1138" s="13">
        <v>1415.72</v>
      </c>
      <c r="M1138" s="196" t="s">
        <v>427</v>
      </c>
      <c r="N1138" s="55">
        <f t="shared" si="25"/>
        <v>14.016666666666667</v>
      </c>
      <c r="O1138" s="55">
        <f t="shared" si="26"/>
        <v>1179.7666666666667</v>
      </c>
      <c r="P1138" s="56">
        <f t="shared" si="27"/>
        <v>6.2633333333333336</v>
      </c>
      <c r="Q1138" s="57">
        <f t="shared" si="28"/>
        <v>1321.5133333333335</v>
      </c>
    </row>
    <row r="1139" spans="1:17" ht="15" customHeight="1" outlineLevel="1" x14ac:dyDescent="0.25">
      <c r="A1139" s="147"/>
      <c r="B1139" s="147"/>
      <c r="C1139" s="148"/>
      <c r="D1139" s="141"/>
      <c r="E1139" s="141"/>
      <c r="F1139" s="50">
        <v>43647</v>
      </c>
      <c r="G1139" s="50">
        <v>43830</v>
      </c>
      <c r="H1139" s="151"/>
      <c r="I1139" s="15" t="s">
        <v>23</v>
      </c>
      <c r="J1139" s="15" t="s">
        <v>23</v>
      </c>
      <c r="K1139" s="13">
        <v>17.16</v>
      </c>
      <c r="L1139" s="13">
        <v>1444.03</v>
      </c>
      <c r="M1139" s="198"/>
      <c r="N1139" s="55">
        <f t="shared" si="25"/>
        <v>14.3</v>
      </c>
      <c r="O1139" s="55">
        <f t="shared" si="26"/>
        <v>1203.3583333333333</v>
      </c>
      <c r="P1139" s="56">
        <f t="shared" si="27"/>
        <v>5.98</v>
      </c>
      <c r="Q1139" s="57">
        <f t="shared" si="28"/>
        <v>1297.9216666666669</v>
      </c>
    </row>
    <row r="1140" spans="1:17" ht="15" customHeight="1" outlineLevel="1" x14ac:dyDescent="0.25">
      <c r="A1140" s="146" t="s">
        <v>65</v>
      </c>
      <c r="B1140" s="146" t="s">
        <v>166</v>
      </c>
      <c r="C1140" s="148"/>
      <c r="D1140" s="137">
        <v>42723</v>
      </c>
      <c r="E1140" s="137" t="s">
        <v>643</v>
      </c>
      <c r="F1140" s="12">
        <v>43466</v>
      </c>
      <c r="G1140" s="12">
        <v>43646</v>
      </c>
      <c r="H1140" s="149" t="s">
        <v>645</v>
      </c>
      <c r="I1140" s="66">
        <v>20.28</v>
      </c>
      <c r="J1140" s="13">
        <v>2501.2800000000002</v>
      </c>
      <c r="K1140" s="15" t="s">
        <v>23</v>
      </c>
      <c r="L1140" s="15" t="s">
        <v>23</v>
      </c>
      <c r="M1140" s="153"/>
    </row>
    <row r="1141" spans="1:17" ht="15" customHeight="1" outlineLevel="1" x14ac:dyDescent="0.25">
      <c r="A1141" s="148"/>
      <c r="B1141" s="148"/>
      <c r="C1141" s="148"/>
      <c r="D1141" s="141"/>
      <c r="E1141" s="141"/>
      <c r="F1141" s="12">
        <v>43647</v>
      </c>
      <c r="G1141" s="12">
        <v>43830</v>
      </c>
      <c r="H1141" s="151"/>
      <c r="I1141" s="66">
        <v>36.979999999999997</v>
      </c>
      <c r="J1141" s="13">
        <v>2600.1999999999998</v>
      </c>
      <c r="K1141" s="15" t="s">
        <v>23</v>
      </c>
      <c r="L1141" s="15" t="s">
        <v>23</v>
      </c>
      <c r="M1141" s="152"/>
    </row>
    <row r="1142" spans="1:17" ht="15" customHeight="1" outlineLevel="1" x14ac:dyDescent="0.25">
      <c r="A1142" s="148"/>
      <c r="B1142" s="148"/>
      <c r="C1142" s="148"/>
      <c r="D1142" s="137">
        <v>43454</v>
      </c>
      <c r="E1142" s="137" t="s">
        <v>642</v>
      </c>
      <c r="F1142" s="50">
        <v>43466</v>
      </c>
      <c r="G1142" s="50">
        <v>43646</v>
      </c>
      <c r="H1142" s="149"/>
      <c r="I1142" s="15" t="s">
        <v>23</v>
      </c>
      <c r="J1142" s="15" t="s">
        <v>23</v>
      </c>
      <c r="K1142" s="13">
        <v>16.82</v>
      </c>
      <c r="L1142" s="13">
        <v>1354.16</v>
      </c>
      <c r="M1142" s="196" t="s">
        <v>420</v>
      </c>
      <c r="N1142" s="55">
        <f>K1142/1.2</f>
        <v>14.016666666666667</v>
      </c>
      <c r="O1142" s="55">
        <f>L1142/1.2</f>
        <v>1128.4666666666667</v>
      </c>
      <c r="P1142" s="56">
        <f>$I$1032-N1142</f>
        <v>6.2633333333333336</v>
      </c>
      <c r="Q1142" s="57">
        <f>$J$1032-O1142</f>
        <v>1372.8133333333335</v>
      </c>
    </row>
    <row r="1143" spans="1:17" ht="15" customHeight="1" outlineLevel="1" x14ac:dyDescent="0.25">
      <c r="A1143" s="148"/>
      <c r="B1143" s="148"/>
      <c r="C1143" s="148"/>
      <c r="D1143" s="138"/>
      <c r="E1143" s="138"/>
      <c r="F1143" s="50">
        <v>43647</v>
      </c>
      <c r="G1143" s="50">
        <v>43830</v>
      </c>
      <c r="H1143" s="150"/>
      <c r="I1143" s="15" t="s">
        <v>23</v>
      </c>
      <c r="J1143" s="15" t="s">
        <v>23</v>
      </c>
      <c r="K1143" s="13">
        <v>17.16</v>
      </c>
      <c r="L1143" s="13">
        <v>1381.24</v>
      </c>
      <c r="M1143" s="198"/>
      <c r="N1143" s="55">
        <f t="shared" ref="N1143:N1157" si="29">K1143/1.2</f>
        <v>14.3</v>
      </c>
      <c r="O1143" s="55">
        <f t="shared" ref="O1143:O1157" si="30">L1143/1.2</f>
        <v>1151.0333333333333</v>
      </c>
      <c r="P1143" s="56">
        <f t="shared" ref="P1143:P1157" si="31">$I$1032-N1143</f>
        <v>5.98</v>
      </c>
      <c r="Q1143" s="57">
        <f t="shared" ref="Q1143:Q1157" si="32">$J$1032-O1143</f>
        <v>1350.2466666666669</v>
      </c>
    </row>
    <row r="1144" spans="1:17" ht="15" customHeight="1" outlineLevel="1" x14ac:dyDescent="0.25">
      <c r="A1144" s="148"/>
      <c r="B1144" s="148"/>
      <c r="C1144" s="148"/>
      <c r="D1144" s="138"/>
      <c r="E1144" s="138"/>
      <c r="F1144" s="50">
        <v>43466</v>
      </c>
      <c r="G1144" s="50">
        <v>43646</v>
      </c>
      <c r="H1144" s="150"/>
      <c r="I1144" s="15" t="s">
        <v>23</v>
      </c>
      <c r="J1144" s="15" t="s">
        <v>23</v>
      </c>
      <c r="K1144" s="13">
        <v>16.82</v>
      </c>
      <c r="L1144" s="13">
        <v>1483.13</v>
      </c>
      <c r="M1144" s="196" t="s">
        <v>421</v>
      </c>
      <c r="N1144" s="55">
        <f t="shared" si="29"/>
        <v>14.016666666666667</v>
      </c>
      <c r="O1144" s="55">
        <f t="shared" si="30"/>
        <v>1235.9416666666668</v>
      </c>
      <c r="P1144" s="56">
        <f t="shared" si="31"/>
        <v>6.2633333333333336</v>
      </c>
      <c r="Q1144" s="57">
        <f t="shared" si="32"/>
        <v>1265.3383333333334</v>
      </c>
    </row>
    <row r="1145" spans="1:17" ht="15" customHeight="1" outlineLevel="1" x14ac:dyDescent="0.25">
      <c r="A1145" s="148"/>
      <c r="B1145" s="148"/>
      <c r="C1145" s="148"/>
      <c r="D1145" s="138"/>
      <c r="E1145" s="138"/>
      <c r="F1145" s="50">
        <v>43647</v>
      </c>
      <c r="G1145" s="50">
        <v>43830</v>
      </c>
      <c r="H1145" s="150"/>
      <c r="I1145" s="15" t="s">
        <v>23</v>
      </c>
      <c r="J1145" s="15" t="s">
        <v>23</v>
      </c>
      <c r="K1145" s="13">
        <v>17.16</v>
      </c>
      <c r="L1145" s="13">
        <v>1512.79</v>
      </c>
      <c r="M1145" s="198"/>
      <c r="N1145" s="55">
        <f t="shared" si="29"/>
        <v>14.3</v>
      </c>
      <c r="O1145" s="55">
        <f t="shared" si="30"/>
        <v>1260.6583333333333</v>
      </c>
      <c r="P1145" s="56">
        <f t="shared" si="31"/>
        <v>5.98</v>
      </c>
      <c r="Q1145" s="57">
        <f t="shared" si="32"/>
        <v>1240.6216666666669</v>
      </c>
    </row>
    <row r="1146" spans="1:17" ht="15" customHeight="1" outlineLevel="1" x14ac:dyDescent="0.25">
      <c r="A1146" s="148"/>
      <c r="B1146" s="148"/>
      <c r="C1146" s="148"/>
      <c r="D1146" s="138"/>
      <c r="E1146" s="138"/>
      <c r="F1146" s="50">
        <v>43466</v>
      </c>
      <c r="G1146" s="50">
        <v>43646</v>
      </c>
      <c r="H1146" s="150"/>
      <c r="I1146" s="15" t="s">
        <v>23</v>
      </c>
      <c r="J1146" s="15" t="s">
        <v>23</v>
      </c>
      <c r="K1146" s="13">
        <v>16.82</v>
      </c>
      <c r="L1146" s="13">
        <v>1262.6600000000001</v>
      </c>
      <c r="M1146" s="196" t="s">
        <v>422</v>
      </c>
      <c r="N1146" s="55">
        <f t="shared" si="29"/>
        <v>14.016666666666667</v>
      </c>
      <c r="O1146" s="55">
        <f t="shared" si="30"/>
        <v>1052.2166666666667</v>
      </c>
      <c r="P1146" s="56">
        <f t="shared" si="31"/>
        <v>6.2633333333333336</v>
      </c>
      <c r="Q1146" s="57">
        <f t="shared" si="32"/>
        <v>1449.0633333333335</v>
      </c>
    </row>
    <row r="1147" spans="1:17" ht="15" customHeight="1" outlineLevel="1" x14ac:dyDescent="0.25">
      <c r="A1147" s="148"/>
      <c r="B1147" s="148"/>
      <c r="C1147" s="148"/>
      <c r="D1147" s="138"/>
      <c r="E1147" s="138"/>
      <c r="F1147" s="50">
        <v>43647</v>
      </c>
      <c r="G1147" s="50">
        <v>43830</v>
      </c>
      <c r="H1147" s="150"/>
      <c r="I1147" s="15" t="s">
        <v>23</v>
      </c>
      <c r="J1147" s="15" t="s">
        <v>23</v>
      </c>
      <c r="K1147" s="13">
        <v>17.16</v>
      </c>
      <c r="L1147" s="13">
        <v>1287.92</v>
      </c>
      <c r="M1147" s="198"/>
      <c r="N1147" s="55">
        <f t="shared" si="29"/>
        <v>14.3</v>
      </c>
      <c r="O1147" s="55">
        <f t="shared" si="30"/>
        <v>1073.2666666666669</v>
      </c>
      <c r="P1147" s="56">
        <f t="shared" si="31"/>
        <v>5.98</v>
      </c>
      <c r="Q1147" s="57">
        <f t="shared" si="32"/>
        <v>1428.0133333333333</v>
      </c>
    </row>
    <row r="1148" spans="1:17" ht="15" customHeight="1" outlineLevel="1" x14ac:dyDescent="0.25">
      <c r="A1148" s="148"/>
      <c r="B1148" s="148"/>
      <c r="C1148" s="148"/>
      <c r="D1148" s="138"/>
      <c r="E1148" s="138"/>
      <c r="F1148" s="50">
        <v>43466</v>
      </c>
      <c r="G1148" s="50">
        <v>43646</v>
      </c>
      <c r="H1148" s="150"/>
      <c r="I1148" s="15" t="s">
        <v>23</v>
      </c>
      <c r="J1148" s="15" t="s">
        <v>23</v>
      </c>
      <c r="K1148" s="13">
        <v>16.82</v>
      </c>
      <c r="L1148" s="13">
        <v>1354.16</v>
      </c>
      <c r="M1148" s="196" t="s">
        <v>423</v>
      </c>
      <c r="N1148" s="55">
        <f t="shared" si="29"/>
        <v>14.016666666666667</v>
      </c>
      <c r="O1148" s="55">
        <f t="shared" si="30"/>
        <v>1128.4666666666667</v>
      </c>
      <c r="P1148" s="56">
        <f t="shared" si="31"/>
        <v>6.2633333333333336</v>
      </c>
      <c r="Q1148" s="57">
        <f t="shared" si="32"/>
        <v>1372.8133333333335</v>
      </c>
    </row>
    <row r="1149" spans="1:17" ht="15" customHeight="1" outlineLevel="1" x14ac:dyDescent="0.25">
      <c r="A1149" s="148"/>
      <c r="B1149" s="148"/>
      <c r="C1149" s="148"/>
      <c r="D1149" s="138"/>
      <c r="E1149" s="138"/>
      <c r="F1149" s="50">
        <v>43647</v>
      </c>
      <c r="G1149" s="50">
        <v>43830</v>
      </c>
      <c r="H1149" s="150"/>
      <c r="I1149" s="15" t="s">
        <v>23</v>
      </c>
      <c r="J1149" s="15" t="s">
        <v>23</v>
      </c>
      <c r="K1149" s="13">
        <v>17.16</v>
      </c>
      <c r="L1149" s="13">
        <v>1381.24</v>
      </c>
      <c r="M1149" s="198"/>
      <c r="N1149" s="55">
        <f t="shared" si="29"/>
        <v>14.3</v>
      </c>
      <c r="O1149" s="55">
        <f t="shared" si="30"/>
        <v>1151.0333333333333</v>
      </c>
      <c r="P1149" s="56">
        <f t="shared" si="31"/>
        <v>5.98</v>
      </c>
      <c r="Q1149" s="57">
        <f t="shared" si="32"/>
        <v>1350.2466666666669</v>
      </c>
    </row>
    <row r="1150" spans="1:17" ht="15" customHeight="1" outlineLevel="1" x14ac:dyDescent="0.25">
      <c r="A1150" s="148"/>
      <c r="B1150" s="148"/>
      <c r="C1150" s="148"/>
      <c r="D1150" s="138"/>
      <c r="E1150" s="138"/>
      <c r="F1150" s="50">
        <v>43466</v>
      </c>
      <c r="G1150" s="50">
        <v>43646</v>
      </c>
      <c r="H1150" s="150"/>
      <c r="I1150" s="15" t="s">
        <v>23</v>
      </c>
      <c r="J1150" s="15" t="s">
        <v>23</v>
      </c>
      <c r="K1150" s="13">
        <v>16.82</v>
      </c>
      <c r="L1150" s="13">
        <v>1415.72</v>
      </c>
      <c r="M1150" s="196" t="s">
        <v>424</v>
      </c>
      <c r="N1150" s="55">
        <f t="shared" si="29"/>
        <v>14.016666666666667</v>
      </c>
      <c r="O1150" s="55">
        <f t="shared" si="30"/>
        <v>1179.7666666666667</v>
      </c>
      <c r="P1150" s="56">
        <f t="shared" si="31"/>
        <v>6.2633333333333336</v>
      </c>
      <c r="Q1150" s="57">
        <f t="shared" si="32"/>
        <v>1321.5133333333335</v>
      </c>
    </row>
    <row r="1151" spans="1:17" ht="15" customHeight="1" outlineLevel="1" x14ac:dyDescent="0.25">
      <c r="A1151" s="148"/>
      <c r="B1151" s="148"/>
      <c r="C1151" s="148"/>
      <c r="D1151" s="138"/>
      <c r="E1151" s="138"/>
      <c r="F1151" s="50">
        <v>43647</v>
      </c>
      <c r="G1151" s="50">
        <v>43830</v>
      </c>
      <c r="H1151" s="150"/>
      <c r="I1151" s="15" t="s">
        <v>23</v>
      </c>
      <c r="J1151" s="15" t="s">
        <v>23</v>
      </c>
      <c r="K1151" s="13">
        <v>17.16</v>
      </c>
      <c r="L1151" s="13">
        <v>1444.03</v>
      </c>
      <c r="M1151" s="198"/>
      <c r="N1151" s="55">
        <f t="shared" si="29"/>
        <v>14.3</v>
      </c>
      <c r="O1151" s="55">
        <f t="shared" si="30"/>
        <v>1203.3583333333333</v>
      </c>
      <c r="P1151" s="56">
        <f t="shared" si="31"/>
        <v>5.98</v>
      </c>
      <c r="Q1151" s="57">
        <f t="shared" si="32"/>
        <v>1297.9216666666669</v>
      </c>
    </row>
    <row r="1152" spans="1:17" ht="15" customHeight="1" outlineLevel="1" x14ac:dyDescent="0.25">
      <c r="A1152" s="148"/>
      <c r="B1152" s="148"/>
      <c r="C1152" s="148"/>
      <c r="D1152" s="138"/>
      <c r="E1152" s="138"/>
      <c r="F1152" s="50">
        <v>43466</v>
      </c>
      <c r="G1152" s="50">
        <v>43646</v>
      </c>
      <c r="H1152" s="150"/>
      <c r="I1152" s="15" t="s">
        <v>23</v>
      </c>
      <c r="J1152" s="15" t="s">
        <v>23</v>
      </c>
      <c r="K1152" s="13">
        <v>16.82</v>
      </c>
      <c r="L1152" s="13">
        <v>1531.76</v>
      </c>
      <c r="M1152" s="196" t="s">
        <v>425</v>
      </c>
      <c r="N1152" s="55">
        <f t="shared" si="29"/>
        <v>14.016666666666667</v>
      </c>
      <c r="O1152" s="55">
        <f t="shared" si="30"/>
        <v>1276.4666666666667</v>
      </c>
      <c r="P1152" s="56">
        <f t="shared" si="31"/>
        <v>6.2633333333333336</v>
      </c>
      <c r="Q1152" s="57">
        <f t="shared" si="32"/>
        <v>1224.8133333333335</v>
      </c>
    </row>
    <row r="1153" spans="1:17" ht="15" customHeight="1" outlineLevel="1" x14ac:dyDescent="0.25">
      <c r="A1153" s="148"/>
      <c r="B1153" s="148"/>
      <c r="C1153" s="148"/>
      <c r="D1153" s="138"/>
      <c r="E1153" s="138"/>
      <c r="F1153" s="50">
        <v>43647</v>
      </c>
      <c r="G1153" s="50">
        <v>43830</v>
      </c>
      <c r="H1153" s="150"/>
      <c r="I1153" s="15" t="s">
        <v>23</v>
      </c>
      <c r="J1153" s="15" t="s">
        <v>23</v>
      </c>
      <c r="K1153" s="13">
        <v>17.16</v>
      </c>
      <c r="L1153" s="13">
        <v>1562.39</v>
      </c>
      <c r="M1153" s="198"/>
      <c r="N1153" s="55">
        <f t="shared" si="29"/>
        <v>14.3</v>
      </c>
      <c r="O1153" s="55">
        <f t="shared" si="30"/>
        <v>1301.9916666666668</v>
      </c>
      <c r="P1153" s="56">
        <f t="shared" si="31"/>
        <v>5.98</v>
      </c>
      <c r="Q1153" s="57">
        <f t="shared" si="32"/>
        <v>1199.2883333333334</v>
      </c>
    </row>
    <row r="1154" spans="1:17" ht="15" customHeight="1" outlineLevel="1" x14ac:dyDescent="0.25">
      <c r="A1154" s="148"/>
      <c r="B1154" s="148"/>
      <c r="C1154" s="148"/>
      <c r="D1154" s="138"/>
      <c r="E1154" s="138"/>
      <c r="F1154" s="50">
        <v>43466</v>
      </c>
      <c r="G1154" s="50">
        <v>43646</v>
      </c>
      <c r="H1154" s="150"/>
      <c r="I1154" s="15" t="s">
        <v>23</v>
      </c>
      <c r="J1154" s="15" t="s">
        <v>23</v>
      </c>
      <c r="K1154" s="13">
        <v>16.82</v>
      </c>
      <c r="L1154" s="13">
        <v>1297.74</v>
      </c>
      <c r="M1154" s="196" t="s">
        <v>426</v>
      </c>
      <c r="N1154" s="55">
        <f t="shared" si="29"/>
        <v>14.016666666666667</v>
      </c>
      <c r="O1154" s="55">
        <f t="shared" si="30"/>
        <v>1081.45</v>
      </c>
      <c r="P1154" s="56">
        <f t="shared" si="31"/>
        <v>6.2633333333333336</v>
      </c>
      <c r="Q1154" s="57">
        <f t="shared" si="32"/>
        <v>1419.8300000000002</v>
      </c>
    </row>
    <row r="1155" spans="1:17" ht="15" customHeight="1" outlineLevel="1" x14ac:dyDescent="0.25">
      <c r="A1155" s="148"/>
      <c r="B1155" s="148"/>
      <c r="C1155" s="148"/>
      <c r="D1155" s="138"/>
      <c r="E1155" s="138"/>
      <c r="F1155" s="50">
        <v>43647</v>
      </c>
      <c r="G1155" s="50">
        <v>43830</v>
      </c>
      <c r="H1155" s="150"/>
      <c r="I1155" s="15" t="s">
        <v>23</v>
      </c>
      <c r="J1155" s="15" t="s">
        <v>23</v>
      </c>
      <c r="K1155" s="13">
        <v>17.16</v>
      </c>
      <c r="L1155" s="13">
        <v>1323.69</v>
      </c>
      <c r="M1155" s="198"/>
      <c r="N1155" s="55">
        <f t="shared" si="29"/>
        <v>14.3</v>
      </c>
      <c r="O1155" s="55">
        <f t="shared" si="30"/>
        <v>1103.075</v>
      </c>
      <c r="P1155" s="56">
        <f t="shared" si="31"/>
        <v>5.98</v>
      </c>
      <c r="Q1155" s="57">
        <f t="shared" si="32"/>
        <v>1398.2050000000002</v>
      </c>
    </row>
    <row r="1156" spans="1:17" ht="15" customHeight="1" outlineLevel="1" x14ac:dyDescent="0.25">
      <c r="A1156" s="148"/>
      <c r="B1156" s="148"/>
      <c r="C1156" s="148"/>
      <c r="D1156" s="138"/>
      <c r="E1156" s="138"/>
      <c r="F1156" s="50">
        <v>43466</v>
      </c>
      <c r="G1156" s="50">
        <v>43646</v>
      </c>
      <c r="H1156" s="150"/>
      <c r="I1156" s="15" t="s">
        <v>23</v>
      </c>
      <c r="J1156" s="15" t="s">
        <v>23</v>
      </c>
      <c r="K1156" s="13">
        <v>16.82</v>
      </c>
      <c r="L1156" s="13">
        <v>1415.72</v>
      </c>
      <c r="M1156" s="196" t="s">
        <v>427</v>
      </c>
      <c r="N1156" s="55">
        <f t="shared" si="29"/>
        <v>14.016666666666667</v>
      </c>
      <c r="O1156" s="55">
        <f t="shared" si="30"/>
        <v>1179.7666666666667</v>
      </c>
      <c r="P1156" s="56">
        <f t="shared" si="31"/>
        <v>6.2633333333333336</v>
      </c>
      <c r="Q1156" s="57">
        <f t="shared" si="32"/>
        <v>1321.5133333333335</v>
      </c>
    </row>
    <row r="1157" spans="1:17" ht="15" customHeight="1" outlineLevel="1" x14ac:dyDescent="0.25">
      <c r="A1157" s="147"/>
      <c r="B1157" s="147"/>
      <c r="C1157" s="148"/>
      <c r="D1157" s="141"/>
      <c r="E1157" s="141"/>
      <c r="F1157" s="50">
        <v>43647</v>
      </c>
      <c r="G1157" s="50">
        <v>43830</v>
      </c>
      <c r="H1157" s="151"/>
      <c r="I1157" s="15" t="s">
        <v>23</v>
      </c>
      <c r="J1157" s="15" t="s">
        <v>23</v>
      </c>
      <c r="K1157" s="13">
        <v>17.16</v>
      </c>
      <c r="L1157" s="13">
        <v>1444.03</v>
      </c>
      <c r="M1157" s="198"/>
      <c r="N1157" s="55">
        <f t="shared" si="29"/>
        <v>14.3</v>
      </c>
      <c r="O1157" s="55">
        <f t="shared" si="30"/>
        <v>1203.3583333333333</v>
      </c>
      <c r="P1157" s="56">
        <f t="shared" si="31"/>
        <v>5.98</v>
      </c>
      <c r="Q1157" s="57">
        <f t="shared" si="32"/>
        <v>1297.9216666666669</v>
      </c>
    </row>
    <row r="1158" spans="1:17" ht="15" customHeight="1" outlineLevel="1" x14ac:dyDescent="0.25">
      <c r="A1158" s="146" t="s">
        <v>65</v>
      </c>
      <c r="B1158" s="146" t="s">
        <v>405</v>
      </c>
      <c r="C1158" s="148"/>
      <c r="D1158" s="137">
        <v>42723</v>
      </c>
      <c r="E1158" s="137" t="s">
        <v>643</v>
      </c>
      <c r="F1158" s="12">
        <v>43466</v>
      </c>
      <c r="G1158" s="12">
        <v>43646</v>
      </c>
      <c r="H1158" s="149" t="s">
        <v>645</v>
      </c>
      <c r="I1158" s="66">
        <v>20.28</v>
      </c>
      <c r="J1158" s="13">
        <v>2501.2800000000002</v>
      </c>
      <c r="K1158" s="15" t="s">
        <v>23</v>
      </c>
      <c r="L1158" s="15" t="s">
        <v>23</v>
      </c>
      <c r="M1158" s="153"/>
    </row>
    <row r="1159" spans="1:17" ht="15" customHeight="1" outlineLevel="1" x14ac:dyDescent="0.25">
      <c r="A1159" s="148"/>
      <c r="B1159" s="148"/>
      <c r="C1159" s="148"/>
      <c r="D1159" s="141"/>
      <c r="E1159" s="141"/>
      <c r="F1159" s="12">
        <v>43647</v>
      </c>
      <c r="G1159" s="12">
        <v>43830</v>
      </c>
      <c r="H1159" s="151"/>
      <c r="I1159" s="66">
        <v>36.979999999999997</v>
      </c>
      <c r="J1159" s="13">
        <v>2600.1999999999998</v>
      </c>
      <c r="K1159" s="15" t="s">
        <v>23</v>
      </c>
      <c r="L1159" s="15" t="s">
        <v>23</v>
      </c>
      <c r="M1159" s="152"/>
    </row>
    <row r="1160" spans="1:17" ht="15" customHeight="1" outlineLevel="1" x14ac:dyDescent="0.25">
      <c r="A1160" s="148"/>
      <c r="B1160" s="148"/>
      <c r="C1160" s="148"/>
      <c r="D1160" s="137">
        <v>43454</v>
      </c>
      <c r="E1160" s="137" t="s">
        <v>642</v>
      </c>
      <c r="F1160" s="50">
        <v>43466</v>
      </c>
      <c r="G1160" s="50">
        <v>43646</v>
      </c>
      <c r="H1160" s="149"/>
      <c r="I1160" s="15" t="s">
        <v>23</v>
      </c>
      <c r="J1160" s="15" t="s">
        <v>23</v>
      </c>
      <c r="K1160" s="13">
        <v>16.82</v>
      </c>
      <c r="L1160" s="13">
        <v>1354.16</v>
      </c>
      <c r="M1160" s="196" t="s">
        <v>420</v>
      </c>
      <c r="N1160" s="55">
        <f>K1160/1.2</f>
        <v>14.016666666666667</v>
      </c>
      <c r="O1160" s="55">
        <f>L1160/1.2</f>
        <v>1128.4666666666667</v>
      </c>
      <c r="P1160" s="56">
        <f>$I$1032-N1160</f>
        <v>6.2633333333333336</v>
      </c>
      <c r="Q1160" s="57">
        <f>$J$1032-O1160</f>
        <v>1372.8133333333335</v>
      </c>
    </row>
    <row r="1161" spans="1:17" ht="15" customHeight="1" outlineLevel="1" x14ac:dyDescent="0.25">
      <c r="A1161" s="148"/>
      <c r="B1161" s="148"/>
      <c r="C1161" s="148"/>
      <c r="D1161" s="138"/>
      <c r="E1161" s="138"/>
      <c r="F1161" s="50">
        <v>43647</v>
      </c>
      <c r="G1161" s="50">
        <v>43830</v>
      </c>
      <c r="H1161" s="150"/>
      <c r="I1161" s="15" t="s">
        <v>23</v>
      </c>
      <c r="J1161" s="15" t="s">
        <v>23</v>
      </c>
      <c r="K1161" s="13">
        <v>17.16</v>
      </c>
      <c r="L1161" s="13">
        <v>1381.24</v>
      </c>
      <c r="M1161" s="198"/>
      <c r="N1161" s="55">
        <f t="shared" ref="N1161:N1175" si="33">K1161/1.2</f>
        <v>14.3</v>
      </c>
      <c r="O1161" s="55">
        <f t="shared" ref="O1161:O1175" si="34">L1161/1.2</f>
        <v>1151.0333333333333</v>
      </c>
      <c r="P1161" s="56">
        <f t="shared" ref="P1161:P1175" si="35">$I$1032-N1161</f>
        <v>5.98</v>
      </c>
      <c r="Q1161" s="57">
        <f t="shared" ref="Q1161:Q1175" si="36">$J$1032-O1161</f>
        <v>1350.2466666666669</v>
      </c>
    </row>
    <row r="1162" spans="1:17" ht="15" customHeight="1" outlineLevel="1" x14ac:dyDescent="0.25">
      <c r="A1162" s="148"/>
      <c r="B1162" s="148"/>
      <c r="C1162" s="148"/>
      <c r="D1162" s="138"/>
      <c r="E1162" s="138"/>
      <c r="F1162" s="50">
        <v>43466</v>
      </c>
      <c r="G1162" s="50">
        <v>43646</v>
      </c>
      <c r="H1162" s="150"/>
      <c r="I1162" s="15" t="s">
        <v>23</v>
      </c>
      <c r="J1162" s="15" t="s">
        <v>23</v>
      </c>
      <c r="K1162" s="13">
        <v>16.82</v>
      </c>
      <c r="L1162" s="13">
        <v>1483.13</v>
      </c>
      <c r="M1162" s="196" t="s">
        <v>421</v>
      </c>
      <c r="N1162" s="55">
        <f t="shared" si="33"/>
        <v>14.016666666666667</v>
      </c>
      <c r="O1162" s="55">
        <f t="shared" si="34"/>
        <v>1235.9416666666668</v>
      </c>
      <c r="P1162" s="56">
        <f t="shared" si="35"/>
        <v>6.2633333333333336</v>
      </c>
      <c r="Q1162" s="57">
        <f t="shared" si="36"/>
        <v>1265.3383333333334</v>
      </c>
    </row>
    <row r="1163" spans="1:17" ht="15" customHeight="1" outlineLevel="1" x14ac:dyDescent="0.25">
      <c r="A1163" s="148"/>
      <c r="B1163" s="148"/>
      <c r="C1163" s="148"/>
      <c r="D1163" s="138"/>
      <c r="E1163" s="138"/>
      <c r="F1163" s="50">
        <v>43647</v>
      </c>
      <c r="G1163" s="50">
        <v>43830</v>
      </c>
      <c r="H1163" s="150"/>
      <c r="I1163" s="15" t="s">
        <v>23</v>
      </c>
      <c r="J1163" s="15" t="s">
        <v>23</v>
      </c>
      <c r="K1163" s="13">
        <v>17.16</v>
      </c>
      <c r="L1163" s="13">
        <v>1512.79</v>
      </c>
      <c r="M1163" s="198"/>
      <c r="N1163" s="55">
        <f t="shared" si="33"/>
        <v>14.3</v>
      </c>
      <c r="O1163" s="55">
        <f t="shared" si="34"/>
        <v>1260.6583333333333</v>
      </c>
      <c r="P1163" s="56">
        <f t="shared" si="35"/>
        <v>5.98</v>
      </c>
      <c r="Q1163" s="57">
        <f t="shared" si="36"/>
        <v>1240.6216666666669</v>
      </c>
    </row>
    <row r="1164" spans="1:17" ht="15" customHeight="1" outlineLevel="1" x14ac:dyDescent="0.25">
      <c r="A1164" s="148"/>
      <c r="B1164" s="148"/>
      <c r="C1164" s="148"/>
      <c r="D1164" s="138"/>
      <c r="E1164" s="138"/>
      <c r="F1164" s="50">
        <v>43466</v>
      </c>
      <c r="G1164" s="50">
        <v>43646</v>
      </c>
      <c r="H1164" s="150"/>
      <c r="I1164" s="15" t="s">
        <v>23</v>
      </c>
      <c r="J1164" s="15" t="s">
        <v>23</v>
      </c>
      <c r="K1164" s="13">
        <v>16.82</v>
      </c>
      <c r="L1164" s="13">
        <v>1262.6600000000001</v>
      </c>
      <c r="M1164" s="196" t="s">
        <v>422</v>
      </c>
      <c r="N1164" s="55">
        <f t="shared" si="33"/>
        <v>14.016666666666667</v>
      </c>
      <c r="O1164" s="55">
        <f t="shared" si="34"/>
        <v>1052.2166666666667</v>
      </c>
      <c r="P1164" s="56">
        <f t="shared" si="35"/>
        <v>6.2633333333333336</v>
      </c>
      <c r="Q1164" s="57">
        <f t="shared" si="36"/>
        <v>1449.0633333333335</v>
      </c>
    </row>
    <row r="1165" spans="1:17" ht="15" customHeight="1" outlineLevel="1" x14ac:dyDescent="0.25">
      <c r="A1165" s="148"/>
      <c r="B1165" s="148"/>
      <c r="C1165" s="148"/>
      <c r="D1165" s="138"/>
      <c r="E1165" s="138"/>
      <c r="F1165" s="50">
        <v>43647</v>
      </c>
      <c r="G1165" s="50">
        <v>43830</v>
      </c>
      <c r="H1165" s="150"/>
      <c r="I1165" s="15" t="s">
        <v>23</v>
      </c>
      <c r="J1165" s="15" t="s">
        <v>23</v>
      </c>
      <c r="K1165" s="13">
        <v>17.16</v>
      </c>
      <c r="L1165" s="13">
        <v>1287.92</v>
      </c>
      <c r="M1165" s="198"/>
      <c r="N1165" s="55">
        <f t="shared" si="33"/>
        <v>14.3</v>
      </c>
      <c r="O1165" s="55">
        <f t="shared" si="34"/>
        <v>1073.2666666666669</v>
      </c>
      <c r="P1165" s="56">
        <f t="shared" si="35"/>
        <v>5.98</v>
      </c>
      <c r="Q1165" s="57">
        <f t="shared" si="36"/>
        <v>1428.0133333333333</v>
      </c>
    </row>
    <row r="1166" spans="1:17" ht="15" customHeight="1" outlineLevel="1" x14ac:dyDescent="0.25">
      <c r="A1166" s="148"/>
      <c r="B1166" s="148"/>
      <c r="C1166" s="148"/>
      <c r="D1166" s="138"/>
      <c r="E1166" s="138"/>
      <c r="F1166" s="50">
        <v>43466</v>
      </c>
      <c r="G1166" s="50">
        <v>43646</v>
      </c>
      <c r="H1166" s="150"/>
      <c r="I1166" s="15" t="s">
        <v>23</v>
      </c>
      <c r="J1166" s="15" t="s">
        <v>23</v>
      </c>
      <c r="K1166" s="13">
        <v>16.82</v>
      </c>
      <c r="L1166" s="13">
        <v>1354.16</v>
      </c>
      <c r="M1166" s="196" t="s">
        <v>423</v>
      </c>
      <c r="N1166" s="55">
        <f t="shared" si="33"/>
        <v>14.016666666666667</v>
      </c>
      <c r="O1166" s="55">
        <f t="shared" si="34"/>
        <v>1128.4666666666667</v>
      </c>
      <c r="P1166" s="56">
        <f t="shared" si="35"/>
        <v>6.2633333333333336</v>
      </c>
      <c r="Q1166" s="57">
        <f t="shared" si="36"/>
        <v>1372.8133333333335</v>
      </c>
    </row>
    <row r="1167" spans="1:17" ht="15" customHeight="1" outlineLevel="1" x14ac:dyDescent="0.25">
      <c r="A1167" s="148"/>
      <c r="B1167" s="148"/>
      <c r="C1167" s="148"/>
      <c r="D1167" s="138"/>
      <c r="E1167" s="138"/>
      <c r="F1167" s="50">
        <v>43647</v>
      </c>
      <c r="G1167" s="50">
        <v>43830</v>
      </c>
      <c r="H1167" s="150"/>
      <c r="I1167" s="15" t="s">
        <v>23</v>
      </c>
      <c r="J1167" s="15" t="s">
        <v>23</v>
      </c>
      <c r="K1167" s="13">
        <v>17.16</v>
      </c>
      <c r="L1167" s="13">
        <v>1381.24</v>
      </c>
      <c r="M1167" s="198"/>
      <c r="N1167" s="55">
        <f t="shared" si="33"/>
        <v>14.3</v>
      </c>
      <c r="O1167" s="55">
        <f t="shared" si="34"/>
        <v>1151.0333333333333</v>
      </c>
      <c r="P1167" s="56">
        <f t="shared" si="35"/>
        <v>5.98</v>
      </c>
      <c r="Q1167" s="57">
        <f t="shared" si="36"/>
        <v>1350.2466666666669</v>
      </c>
    </row>
    <row r="1168" spans="1:17" ht="15" customHeight="1" outlineLevel="1" x14ac:dyDescent="0.25">
      <c r="A1168" s="148"/>
      <c r="B1168" s="148"/>
      <c r="C1168" s="148"/>
      <c r="D1168" s="138"/>
      <c r="E1168" s="138"/>
      <c r="F1168" s="50">
        <v>43466</v>
      </c>
      <c r="G1168" s="50">
        <v>43646</v>
      </c>
      <c r="H1168" s="150"/>
      <c r="I1168" s="15" t="s">
        <v>23</v>
      </c>
      <c r="J1168" s="15" t="s">
        <v>23</v>
      </c>
      <c r="K1168" s="13">
        <v>16.82</v>
      </c>
      <c r="L1168" s="13">
        <v>1415.72</v>
      </c>
      <c r="M1168" s="196" t="s">
        <v>424</v>
      </c>
      <c r="N1168" s="55">
        <f t="shared" si="33"/>
        <v>14.016666666666667</v>
      </c>
      <c r="O1168" s="55">
        <f t="shared" si="34"/>
        <v>1179.7666666666667</v>
      </c>
      <c r="P1168" s="56">
        <f t="shared" si="35"/>
        <v>6.2633333333333336</v>
      </c>
      <c r="Q1168" s="57">
        <f t="shared" si="36"/>
        <v>1321.5133333333335</v>
      </c>
    </row>
    <row r="1169" spans="1:17" ht="15" customHeight="1" outlineLevel="1" x14ac:dyDescent="0.25">
      <c r="A1169" s="148"/>
      <c r="B1169" s="148"/>
      <c r="C1169" s="148"/>
      <c r="D1169" s="138"/>
      <c r="E1169" s="138"/>
      <c r="F1169" s="50">
        <v>43647</v>
      </c>
      <c r="G1169" s="50">
        <v>43830</v>
      </c>
      <c r="H1169" s="150"/>
      <c r="I1169" s="15" t="s">
        <v>23</v>
      </c>
      <c r="J1169" s="15" t="s">
        <v>23</v>
      </c>
      <c r="K1169" s="13">
        <v>17.16</v>
      </c>
      <c r="L1169" s="13">
        <v>1444.03</v>
      </c>
      <c r="M1169" s="198"/>
      <c r="N1169" s="55">
        <f t="shared" si="33"/>
        <v>14.3</v>
      </c>
      <c r="O1169" s="55">
        <f t="shared" si="34"/>
        <v>1203.3583333333333</v>
      </c>
      <c r="P1169" s="56">
        <f t="shared" si="35"/>
        <v>5.98</v>
      </c>
      <c r="Q1169" s="57">
        <f t="shared" si="36"/>
        <v>1297.9216666666669</v>
      </c>
    </row>
    <row r="1170" spans="1:17" ht="15" customHeight="1" outlineLevel="1" x14ac:dyDescent="0.25">
      <c r="A1170" s="148"/>
      <c r="B1170" s="148"/>
      <c r="C1170" s="148"/>
      <c r="D1170" s="138"/>
      <c r="E1170" s="138"/>
      <c r="F1170" s="50">
        <v>43466</v>
      </c>
      <c r="G1170" s="50">
        <v>43646</v>
      </c>
      <c r="H1170" s="150"/>
      <c r="I1170" s="15" t="s">
        <v>23</v>
      </c>
      <c r="J1170" s="15" t="s">
        <v>23</v>
      </c>
      <c r="K1170" s="13">
        <v>16.82</v>
      </c>
      <c r="L1170" s="13">
        <v>1531.76</v>
      </c>
      <c r="M1170" s="196" t="s">
        <v>425</v>
      </c>
      <c r="N1170" s="55">
        <f t="shared" si="33"/>
        <v>14.016666666666667</v>
      </c>
      <c r="O1170" s="55">
        <f t="shared" si="34"/>
        <v>1276.4666666666667</v>
      </c>
      <c r="P1170" s="56">
        <f t="shared" si="35"/>
        <v>6.2633333333333336</v>
      </c>
      <c r="Q1170" s="57">
        <f t="shared" si="36"/>
        <v>1224.8133333333335</v>
      </c>
    </row>
    <row r="1171" spans="1:17" ht="15" customHeight="1" outlineLevel="1" x14ac:dyDescent="0.25">
      <c r="A1171" s="148"/>
      <c r="B1171" s="148"/>
      <c r="C1171" s="148"/>
      <c r="D1171" s="138"/>
      <c r="E1171" s="138"/>
      <c r="F1171" s="50">
        <v>43647</v>
      </c>
      <c r="G1171" s="50">
        <v>43830</v>
      </c>
      <c r="H1171" s="150"/>
      <c r="I1171" s="15" t="s">
        <v>23</v>
      </c>
      <c r="J1171" s="15" t="s">
        <v>23</v>
      </c>
      <c r="K1171" s="13">
        <v>17.16</v>
      </c>
      <c r="L1171" s="13">
        <v>1562.39</v>
      </c>
      <c r="M1171" s="198"/>
      <c r="N1171" s="55">
        <f t="shared" si="33"/>
        <v>14.3</v>
      </c>
      <c r="O1171" s="55">
        <f t="shared" si="34"/>
        <v>1301.9916666666668</v>
      </c>
      <c r="P1171" s="56">
        <f t="shared" si="35"/>
        <v>5.98</v>
      </c>
      <c r="Q1171" s="57">
        <f t="shared" si="36"/>
        <v>1199.2883333333334</v>
      </c>
    </row>
    <row r="1172" spans="1:17" ht="15" customHeight="1" outlineLevel="1" x14ac:dyDescent="0.25">
      <c r="A1172" s="148"/>
      <c r="B1172" s="148"/>
      <c r="C1172" s="148"/>
      <c r="D1172" s="138"/>
      <c r="E1172" s="138"/>
      <c r="F1172" s="50">
        <v>43466</v>
      </c>
      <c r="G1172" s="50">
        <v>43646</v>
      </c>
      <c r="H1172" s="150"/>
      <c r="I1172" s="15" t="s">
        <v>23</v>
      </c>
      <c r="J1172" s="15" t="s">
        <v>23</v>
      </c>
      <c r="K1172" s="13">
        <v>16.82</v>
      </c>
      <c r="L1172" s="13">
        <v>1297.74</v>
      </c>
      <c r="M1172" s="196" t="s">
        <v>426</v>
      </c>
      <c r="N1172" s="55">
        <f t="shared" si="33"/>
        <v>14.016666666666667</v>
      </c>
      <c r="O1172" s="55">
        <f t="shared" si="34"/>
        <v>1081.45</v>
      </c>
      <c r="P1172" s="56">
        <f t="shared" si="35"/>
        <v>6.2633333333333336</v>
      </c>
      <c r="Q1172" s="57">
        <f t="shared" si="36"/>
        <v>1419.8300000000002</v>
      </c>
    </row>
    <row r="1173" spans="1:17" ht="15" customHeight="1" outlineLevel="1" x14ac:dyDescent="0.25">
      <c r="A1173" s="148"/>
      <c r="B1173" s="148"/>
      <c r="C1173" s="148"/>
      <c r="D1173" s="138"/>
      <c r="E1173" s="138"/>
      <c r="F1173" s="50">
        <v>43647</v>
      </c>
      <c r="G1173" s="50">
        <v>43830</v>
      </c>
      <c r="H1173" s="150"/>
      <c r="I1173" s="15" t="s">
        <v>23</v>
      </c>
      <c r="J1173" s="15" t="s">
        <v>23</v>
      </c>
      <c r="K1173" s="13">
        <v>17.16</v>
      </c>
      <c r="L1173" s="13">
        <v>1323.69</v>
      </c>
      <c r="M1173" s="198"/>
      <c r="N1173" s="55">
        <f t="shared" si="33"/>
        <v>14.3</v>
      </c>
      <c r="O1173" s="55">
        <f t="shared" si="34"/>
        <v>1103.075</v>
      </c>
      <c r="P1173" s="56">
        <f t="shared" si="35"/>
        <v>5.98</v>
      </c>
      <c r="Q1173" s="57">
        <f t="shared" si="36"/>
        <v>1398.2050000000002</v>
      </c>
    </row>
    <row r="1174" spans="1:17" ht="15" customHeight="1" outlineLevel="1" x14ac:dyDescent="0.25">
      <c r="A1174" s="148"/>
      <c r="B1174" s="148"/>
      <c r="C1174" s="148"/>
      <c r="D1174" s="138"/>
      <c r="E1174" s="138"/>
      <c r="F1174" s="50">
        <v>43466</v>
      </c>
      <c r="G1174" s="50">
        <v>43646</v>
      </c>
      <c r="H1174" s="150"/>
      <c r="I1174" s="15" t="s">
        <v>23</v>
      </c>
      <c r="J1174" s="15" t="s">
        <v>23</v>
      </c>
      <c r="K1174" s="13">
        <v>16.82</v>
      </c>
      <c r="L1174" s="13">
        <v>1415.72</v>
      </c>
      <c r="M1174" s="196" t="s">
        <v>427</v>
      </c>
      <c r="N1174" s="55">
        <f t="shared" si="33"/>
        <v>14.016666666666667</v>
      </c>
      <c r="O1174" s="55">
        <f t="shared" si="34"/>
        <v>1179.7666666666667</v>
      </c>
      <c r="P1174" s="56">
        <f t="shared" si="35"/>
        <v>6.2633333333333336</v>
      </c>
      <c r="Q1174" s="57">
        <f t="shared" si="36"/>
        <v>1321.5133333333335</v>
      </c>
    </row>
    <row r="1175" spans="1:17" ht="15" customHeight="1" outlineLevel="1" x14ac:dyDescent="0.25">
      <c r="A1175" s="147"/>
      <c r="B1175" s="147"/>
      <c r="C1175" s="148"/>
      <c r="D1175" s="141"/>
      <c r="E1175" s="141"/>
      <c r="F1175" s="50">
        <v>43647</v>
      </c>
      <c r="G1175" s="50">
        <v>43830</v>
      </c>
      <c r="H1175" s="151"/>
      <c r="I1175" s="15" t="s">
        <v>23</v>
      </c>
      <c r="J1175" s="15" t="s">
        <v>23</v>
      </c>
      <c r="K1175" s="13">
        <v>17.16</v>
      </c>
      <c r="L1175" s="13">
        <v>1444.03</v>
      </c>
      <c r="M1175" s="198"/>
      <c r="N1175" s="55">
        <f t="shared" si="33"/>
        <v>14.3</v>
      </c>
      <c r="O1175" s="55">
        <f t="shared" si="34"/>
        <v>1203.3583333333333</v>
      </c>
      <c r="P1175" s="56">
        <f t="shared" si="35"/>
        <v>5.98</v>
      </c>
      <c r="Q1175" s="57">
        <f t="shared" si="36"/>
        <v>1297.9216666666669</v>
      </c>
    </row>
    <row r="1176" spans="1:17" ht="15" customHeight="1" outlineLevel="1" x14ac:dyDescent="0.25">
      <c r="A1176" s="146" t="s">
        <v>65</v>
      </c>
      <c r="B1176" s="146" t="s">
        <v>403</v>
      </c>
      <c r="C1176" s="148"/>
      <c r="D1176" s="137">
        <v>42723</v>
      </c>
      <c r="E1176" s="137" t="s">
        <v>643</v>
      </c>
      <c r="F1176" s="12">
        <v>43466</v>
      </c>
      <c r="G1176" s="12">
        <v>43646</v>
      </c>
      <c r="H1176" s="149" t="s">
        <v>645</v>
      </c>
      <c r="I1176" s="66">
        <v>20.28</v>
      </c>
      <c r="J1176" s="13">
        <v>2501.2800000000002</v>
      </c>
      <c r="K1176" s="15" t="s">
        <v>23</v>
      </c>
      <c r="L1176" s="15" t="s">
        <v>23</v>
      </c>
      <c r="M1176" s="153"/>
    </row>
    <row r="1177" spans="1:17" ht="15" customHeight="1" outlineLevel="1" x14ac:dyDescent="0.25">
      <c r="A1177" s="148"/>
      <c r="B1177" s="148"/>
      <c r="C1177" s="148"/>
      <c r="D1177" s="141"/>
      <c r="E1177" s="141"/>
      <c r="F1177" s="12">
        <v>43647</v>
      </c>
      <c r="G1177" s="12">
        <v>43830</v>
      </c>
      <c r="H1177" s="151"/>
      <c r="I1177" s="66">
        <v>36.979999999999997</v>
      </c>
      <c r="J1177" s="13">
        <v>2600.1999999999998</v>
      </c>
      <c r="K1177" s="15" t="s">
        <v>23</v>
      </c>
      <c r="L1177" s="15" t="s">
        <v>23</v>
      </c>
      <c r="M1177" s="152"/>
    </row>
    <row r="1178" spans="1:17" ht="15" customHeight="1" outlineLevel="1" x14ac:dyDescent="0.25">
      <c r="A1178" s="148"/>
      <c r="B1178" s="148"/>
      <c r="C1178" s="148"/>
      <c r="D1178" s="137">
        <v>43454</v>
      </c>
      <c r="E1178" s="137" t="s">
        <v>642</v>
      </c>
      <c r="F1178" s="50">
        <v>43466</v>
      </c>
      <c r="G1178" s="50">
        <v>43646</v>
      </c>
      <c r="H1178" s="149"/>
      <c r="I1178" s="15" t="s">
        <v>23</v>
      </c>
      <c r="J1178" s="15" t="s">
        <v>23</v>
      </c>
      <c r="K1178" s="13">
        <v>16.82</v>
      </c>
      <c r="L1178" s="13">
        <v>1354.16</v>
      </c>
      <c r="M1178" s="196" t="s">
        <v>420</v>
      </c>
      <c r="N1178" s="55">
        <f>K1178/1.2</f>
        <v>14.016666666666667</v>
      </c>
      <c r="O1178" s="55">
        <f>L1178/1.2</f>
        <v>1128.4666666666667</v>
      </c>
      <c r="P1178" s="56">
        <f>$I$1032-N1178</f>
        <v>6.2633333333333336</v>
      </c>
      <c r="Q1178" s="57">
        <f>$J$1032-O1178</f>
        <v>1372.8133333333335</v>
      </c>
    </row>
    <row r="1179" spans="1:17" ht="15" customHeight="1" outlineLevel="1" x14ac:dyDescent="0.25">
      <c r="A1179" s="148"/>
      <c r="B1179" s="148"/>
      <c r="C1179" s="148"/>
      <c r="D1179" s="138"/>
      <c r="E1179" s="138"/>
      <c r="F1179" s="50">
        <v>43647</v>
      </c>
      <c r="G1179" s="50">
        <v>43830</v>
      </c>
      <c r="H1179" s="150"/>
      <c r="I1179" s="15" t="s">
        <v>23</v>
      </c>
      <c r="J1179" s="15" t="s">
        <v>23</v>
      </c>
      <c r="K1179" s="13">
        <v>17.16</v>
      </c>
      <c r="L1179" s="13">
        <v>1381.24</v>
      </c>
      <c r="M1179" s="198"/>
      <c r="N1179" s="55">
        <f t="shared" ref="N1179:N1193" si="37">K1179/1.2</f>
        <v>14.3</v>
      </c>
      <c r="O1179" s="55">
        <f t="shared" ref="O1179:O1193" si="38">L1179/1.2</f>
        <v>1151.0333333333333</v>
      </c>
      <c r="P1179" s="56">
        <f t="shared" ref="P1179:P1193" si="39">$I$1032-N1179</f>
        <v>5.98</v>
      </c>
      <c r="Q1179" s="57">
        <f t="shared" ref="Q1179:Q1193" si="40">$J$1032-O1179</f>
        <v>1350.2466666666669</v>
      </c>
    </row>
    <row r="1180" spans="1:17" ht="15" customHeight="1" outlineLevel="1" x14ac:dyDescent="0.25">
      <c r="A1180" s="148"/>
      <c r="B1180" s="148"/>
      <c r="C1180" s="148"/>
      <c r="D1180" s="138"/>
      <c r="E1180" s="138"/>
      <c r="F1180" s="50">
        <v>43466</v>
      </c>
      <c r="G1180" s="50">
        <v>43646</v>
      </c>
      <c r="H1180" s="150"/>
      <c r="I1180" s="15" t="s">
        <v>23</v>
      </c>
      <c r="J1180" s="15" t="s">
        <v>23</v>
      </c>
      <c r="K1180" s="13">
        <v>16.82</v>
      </c>
      <c r="L1180" s="13">
        <v>1483.13</v>
      </c>
      <c r="M1180" s="196" t="s">
        <v>421</v>
      </c>
      <c r="N1180" s="55">
        <f t="shared" si="37"/>
        <v>14.016666666666667</v>
      </c>
      <c r="O1180" s="55">
        <f t="shared" si="38"/>
        <v>1235.9416666666668</v>
      </c>
      <c r="P1180" s="56">
        <f t="shared" si="39"/>
        <v>6.2633333333333336</v>
      </c>
      <c r="Q1180" s="57">
        <f t="shared" si="40"/>
        <v>1265.3383333333334</v>
      </c>
    </row>
    <row r="1181" spans="1:17" ht="15" customHeight="1" outlineLevel="1" x14ac:dyDescent="0.25">
      <c r="A1181" s="148"/>
      <c r="B1181" s="148"/>
      <c r="C1181" s="148"/>
      <c r="D1181" s="138"/>
      <c r="E1181" s="138"/>
      <c r="F1181" s="50">
        <v>43647</v>
      </c>
      <c r="G1181" s="50">
        <v>43830</v>
      </c>
      <c r="H1181" s="150"/>
      <c r="I1181" s="15" t="s">
        <v>23</v>
      </c>
      <c r="J1181" s="15" t="s">
        <v>23</v>
      </c>
      <c r="K1181" s="13">
        <v>17.16</v>
      </c>
      <c r="L1181" s="13">
        <v>1512.79</v>
      </c>
      <c r="M1181" s="198"/>
      <c r="N1181" s="55">
        <f t="shared" si="37"/>
        <v>14.3</v>
      </c>
      <c r="O1181" s="55">
        <f t="shared" si="38"/>
        <v>1260.6583333333333</v>
      </c>
      <c r="P1181" s="56">
        <f t="shared" si="39"/>
        <v>5.98</v>
      </c>
      <c r="Q1181" s="57">
        <f t="shared" si="40"/>
        <v>1240.6216666666669</v>
      </c>
    </row>
    <row r="1182" spans="1:17" ht="15" customHeight="1" outlineLevel="1" x14ac:dyDescent="0.25">
      <c r="A1182" s="148"/>
      <c r="B1182" s="148"/>
      <c r="C1182" s="148"/>
      <c r="D1182" s="138"/>
      <c r="E1182" s="138"/>
      <c r="F1182" s="50">
        <v>43466</v>
      </c>
      <c r="G1182" s="50">
        <v>43646</v>
      </c>
      <c r="H1182" s="150"/>
      <c r="I1182" s="15" t="s">
        <v>23</v>
      </c>
      <c r="J1182" s="15" t="s">
        <v>23</v>
      </c>
      <c r="K1182" s="13">
        <v>16.82</v>
      </c>
      <c r="L1182" s="13">
        <v>1262.6600000000001</v>
      </c>
      <c r="M1182" s="196" t="s">
        <v>422</v>
      </c>
      <c r="N1182" s="55">
        <f t="shared" si="37"/>
        <v>14.016666666666667</v>
      </c>
      <c r="O1182" s="55">
        <f t="shared" si="38"/>
        <v>1052.2166666666667</v>
      </c>
      <c r="P1182" s="56">
        <f t="shared" si="39"/>
        <v>6.2633333333333336</v>
      </c>
      <c r="Q1182" s="57">
        <f t="shared" si="40"/>
        <v>1449.0633333333335</v>
      </c>
    </row>
    <row r="1183" spans="1:17" ht="15" customHeight="1" outlineLevel="1" x14ac:dyDescent="0.25">
      <c r="A1183" s="148"/>
      <c r="B1183" s="148"/>
      <c r="C1183" s="148"/>
      <c r="D1183" s="138"/>
      <c r="E1183" s="138"/>
      <c r="F1183" s="50">
        <v>43647</v>
      </c>
      <c r="G1183" s="50">
        <v>43830</v>
      </c>
      <c r="H1183" s="150"/>
      <c r="I1183" s="15" t="s">
        <v>23</v>
      </c>
      <c r="J1183" s="15" t="s">
        <v>23</v>
      </c>
      <c r="K1183" s="13">
        <v>17.16</v>
      </c>
      <c r="L1183" s="13">
        <v>1287.92</v>
      </c>
      <c r="M1183" s="198"/>
      <c r="N1183" s="55">
        <f t="shared" si="37"/>
        <v>14.3</v>
      </c>
      <c r="O1183" s="55">
        <f t="shared" si="38"/>
        <v>1073.2666666666669</v>
      </c>
      <c r="P1183" s="56">
        <f t="shared" si="39"/>
        <v>5.98</v>
      </c>
      <c r="Q1183" s="57">
        <f t="shared" si="40"/>
        <v>1428.0133333333333</v>
      </c>
    </row>
    <row r="1184" spans="1:17" ht="15" customHeight="1" outlineLevel="1" x14ac:dyDescent="0.25">
      <c r="A1184" s="148"/>
      <c r="B1184" s="148"/>
      <c r="C1184" s="148"/>
      <c r="D1184" s="138"/>
      <c r="E1184" s="138"/>
      <c r="F1184" s="50">
        <v>43466</v>
      </c>
      <c r="G1184" s="50">
        <v>43646</v>
      </c>
      <c r="H1184" s="150"/>
      <c r="I1184" s="15" t="s">
        <v>23</v>
      </c>
      <c r="J1184" s="15" t="s">
        <v>23</v>
      </c>
      <c r="K1184" s="13">
        <v>16.82</v>
      </c>
      <c r="L1184" s="13">
        <v>1354.16</v>
      </c>
      <c r="M1184" s="196" t="s">
        <v>423</v>
      </c>
      <c r="N1184" s="55">
        <f t="shared" si="37"/>
        <v>14.016666666666667</v>
      </c>
      <c r="O1184" s="55">
        <f t="shared" si="38"/>
        <v>1128.4666666666667</v>
      </c>
      <c r="P1184" s="56">
        <f t="shared" si="39"/>
        <v>6.2633333333333336</v>
      </c>
      <c r="Q1184" s="57">
        <f t="shared" si="40"/>
        <v>1372.8133333333335</v>
      </c>
    </row>
    <row r="1185" spans="1:20" ht="15" customHeight="1" outlineLevel="1" x14ac:dyDescent="0.25">
      <c r="A1185" s="148"/>
      <c r="B1185" s="148"/>
      <c r="C1185" s="148"/>
      <c r="D1185" s="138"/>
      <c r="E1185" s="138"/>
      <c r="F1185" s="50">
        <v>43647</v>
      </c>
      <c r="G1185" s="50">
        <v>43830</v>
      </c>
      <c r="H1185" s="150"/>
      <c r="I1185" s="15" t="s">
        <v>23</v>
      </c>
      <c r="J1185" s="15" t="s">
        <v>23</v>
      </c>
      <c r="K1185" s="13">
        <v>17.16</v>
      </c>
      <c r="L1185" s="13">
        <v>1381.24</v>
      </c>
      <c r="M1185" s="198"/>
      <c r="N1185" s="55">
        <f t="shared" si="37"/>
        <v>14.3</v>
      </c>
      <c r="O1185" s="55">
        <f t="shared" si="38"/>
        <v>1151.0333333333333</v>
      </c>
      <c r="P1185" s="56">
        <f t="shared" si="39"/>
        <v>5.98</v>
      </c>
      <c r="Q1185" s="57">
        <f t="shared" si="40"/>
        <v>1350.2466666666669</v>
      </c>
    </row>
    <row r="1186" spans="1:20" ht="15" customHeight="1" outlineLevel="1" x14ac:dyDescent="0.25">
      <c r="A1186" s="148"/>
      <c r="B1186" s="148"/>
      <c r="C1186" s="148"/>
      <c r="D1186" s="138"/>
      <c r="E1186" s="138"/>
      <c r="F1186" s="50">
        <v>43466</v>
      </c>
      <c r="G1186" s="50">
        <v>43646</v>
      </c>
      <c r="H1186" s="150"/>
      <c r="I1186" s="15" t="s">
        <v>23</v>
      </c>
      <c r="J1186" s="15" t="s">
        <v>23</v>
      </c>
      <c r="K1186" s="13">
        <v>16.82</v>
      </c>
      <c r="L1186" s="13">
        <v>1415.72</v>
      </c>
      <c r="M1186" s="196" t="s">
        <v>424</v>
      </c>
      <c r="N1186" s="55">
        <f t="shared" si="37"/>
        <v>14.016666666666667</v>
      </c>
      <c r="O1186" s="55">
        <f t="shared" si="38"/>
        <v>1179.7666666666667</v>
      </c>
      <c r="P1186" s="56">
        <f t="shared" si="39"/>
        <v>6.2633333333333336</v>
      </c>
      <c r="Q1186" s="57">
        <f t="shared" si="40"/>
        <v>1321.5133333333335</v>
      </c>
    </row>
    <row r="1187" spans="1:20" ht="15" customHeight="1" outlineLevel="1" x14ac:dyDescent="0.25">
      <c r="A1187" s="148"/>
      <c r="B1187" s="148"/>
      <c r="C1187" s="148"/>
      <c r="D1187" s="138"/>
      <c r="E1187" s="138"/>
      <c r="F1187" s="50">
        <v>43647</v>
      </c>
      <c r="G1187" s="50">
        <v>43830</v>
      </c>
      <c r="H1187" s="150"/>
      <c r="I1187" s="15" t="s">
        <v>23</v>
      </c>
      <c r="J1187" s="15" t="s">
        <v>23</v>
      </c>
      <c r="K1187" s="13">
        <v>17.16</v>
      </c>
      <c r="L1187" s="13">
        <v>1444.03</v>
      </c>
      <c r="M1187" s="198"/>
      <c r="N1187" s="55">
        <f t="shared" si="37"/>
        <v>14.3</v>
      </c>
      <c r="O1187" s="55">
        <f t="shared" si="38"/>
        <v>1203.3583333333333</v>
      </c>
      <c r="P1187" s="56">
        <f t="shared" si="39"/>
        <v>5.98</v>
      </c>
      <c r="Q1187" s="57">
        <f t="shared" si="40"/>
        <v>1297.9216666666669</v>
      </c>
    </row>
    <row r="1188" spans="1:20" ht="15" customHeight="1" outlineLevel="1" x14ac:dyDescent="0.25">
      <c r="A1188" s="148"/>
      <c r="B1188" s="148"/>
      <c r="C1188" s="148"/>
      <c r="D1188" s="138"/>
      <c r="E1188" s="138"/>
      <c r="F1188" s="50">
        <v>43466</v>
      </c>
      <c r="G1188" s="50">
        <v>43646</v>
      </c>
      <c r="H1188" s="150"/>
      <c r="I1188" s="15" t="s">
        <v>23</v>
      </c>
      <c r="J1188" s="15" t="s">
        <v>23</v>
      </c>
      <c r="K1188" s="13">
        <v>16.82</v>
      </c>
      <c r="L1188" s="13">
        <v>1531.76</v>
      </c>
      <c r="M1188" s="196" t="s">
        <v>425</v>
      </c>
      <c r="N1188" s="55">
        <f t="shared" si="37"/>
        <v>14.016666666666667</v>
      </c>
      <c r="O1188" s="55">
        <f t="shared" si="38"/>
        <v>1276.4666666666667</v>
      </c>
      <c r="P1188" s="56">
        <f t="shared" si="39"/>
        <v>6.2633333333333336</v>
      </c>
      <c r="Q1188" s="57">
        <f t="shared" si="40"/>
        <v>1224.8133333333335</v>
      </c>
    </row>
    <row r="1189" spans="1:20" ht="15" customHeight="1" outlineLevel="1" x14ac:dyDescent="0.25">
      <c r="A1189" s="148"/>
      <c r="B1189" s="148"/>
      <c r="C1189" s="148"/>
      <c r="D1189" s="138"/>
      <c r="E1189" s="138"/>
      <c r="F1189" s="50">
        <v>43647</v>
      </c>
      <c r="G1189" s="50">
        <v>43830</v>
      </c>
      <c r="H1189" s="150"/>
      <c r="I1189" s="15" t="s">
        <v>23</v>
      </c>
      <c r="J1189" s="15" t="s">
        <v>23</v>
      </c>
      <c r="K1189" s="13">
        <v>17.16</v>
      </c>
      <c r="L1189" s="13">
        <v>1562.39</v>
      </c>
      <c r="M1189" s="198"/>
      <c r="N1189" s="55">
        <f t="shared" si="37"/>
        <v>14.3</v>
      </c>
      <c r="O1189" s="55">
        <f t="shared" si="38"/>
        <v>1301.9916666666668</v>
      </c>
      <c r="P1189" s="56">
        <f t="shared" si="39"/>
        <v>5.98</v>
      </c>
      <c r="Q1189" s="57">
        <f t="shared" si="40"/>
        <v>1199.2883333333334</v>
      </c>
    </row>
    <row r="1190" spans="1:20" ht="15" customHeight="1" outlineLevel="1" x14ac:dyDescent="0.25">
      <c r="A1190" s="148"/>
      <c r="B1190" s="148"/>
      <c r="C1190" s="148"/>
      <c r="D1190" s="138"/>
      <c r="E1190" s="138"/>
      <c r="F1190" s="50">
        <v>43466</v>
      </c>
      <c r="G1190" s="50">
        <v>43646</v>
      </c>
      <c r="H1190" s="150"/>
      <c r="I1190" s="15" t="s">
        <v>23</v>
      </c>
      <c r="J1190" s="15" t="s">
        <v>23</v>
      </c>
      <c r="K1190" s="13">
        <v>16.82</v>
      </c>
      <c r="L1190" s="13">
        <v>1297.74</v>
      </c>
      <c r="M1190" s="196" t="s">
        <v>426</v>
      </c>
      <c r="N1190" s="55">
        <f t="shared" si="37"/>
        <v>14.016666666666667</v>
      </c>
      <c r="O1190" s="55">
        <f t="shared" si="38"/>
        <v>1081.45</v>
      </c>
      <c r="P1190" s="56">
        <f t="shared" si="39"/>
        <v>6.2633333333333336</v>
      </c>
      <c r="Q1190" s="57">
        <f t="shared" si="40"/>
        <v>1419.8300000000002</v>
      </c>
    </row>
    <row r="1191" spans="1:20" ht="15" customHeight="1" outlineLevel="1" x14ac:dyDescent="0.25">
      <c r="A1191" s="148"/>
      <c r="B1191" s="148"/>
      <c r="C1191" s="148"/>
      <c r="D1191" s="138"/>
      <c r="E1191" s="138"/>
      <c r="F1191" s="50">
        <v>43647</v>
      </c>
      <c r="G1191" s="50">
        <v>43830</v>
      </c>
      <c r="H1191" s="150"/>
      <c r="I1191" s="15" t="s">
        <v>23</v>
      </c>
      <c r="J1191" s="15" t="s">
        <v>23</v>
      </c>
      <c r="K1191" s="13">
        <v>17.16</v>
      </c>
      <c r="L1191" s="13">
        <v>1323.69</v>
      </c>
      <c r="M1191" s="198"/>
      <c r="N1191" s="55">
        <f t="shared" si="37"/>
        <v>14.3</v>
      </c>
      <c r="O1191" s="55">
        <f t="shared" si="38"/>
        <v>1103.075</v>
      </c>
      <c r="P1191" s="56">
        <f t="shared" si="39"/>
        <v>5.98</v>
      </c>
      <c r="Q1191" s="57">
        <f t="shared" si="40"/>
        <v>1398.2050000000002</v>
      </c>
    </row>
    <row r="1192" spans="1:20" ht="15" customHeight="1" outlineLevel="1" x14ac:dyDescent="0.25">
      <c r="A1192" s="148"/>
      <c r="B1192" s="148"/>
      <c r="C1192" s="148"/>
      <c r="D1192" s="138"/>
      <c r="E1192" s="138"/>
      <c r="F1192" s="50">
        <v>43466</v>
      </c>
      <c r="G1192" s="50">
        <v>43646</v>
      </c>
      <c r="H1192" s="150"/>
      <c r="I1192" s="15" t="s">
        <v>23</v>
      </c>
      <c r="J1192" s="15" t="s">
        <v>23</v>
      </c>
      <c r="K1192" s="13">
        <v>16.82</v>
      </c>
      <c r="L1192" s="13">
        <v>1415.72</v>
      </c>
      <c r="M1192" s="196" t="s">
        <v>427</v>
      </c>
      <c r="N1192" s="55">
        <f t="shared" si="37"/>
        <v>14.016666666666667</v>
      </c>
      <c r="O1192" s="55">
        <f t="shared" si="38"/>
        <v>1179.7666666666667</v>
      </c>
      <c r="P1192" s="56">
        <f t="shared" si="39"/>
        <v>6.2633333333333336</v>
      </c>
      <c r="Q1192" s="57">
        <f t="shared" si="40"/>
        <v>1321.5133333333335</v>
      </c>
    </row>
    <row r="1193" spans="1:20" s="10" customFormat="1" ht="28.5" customHeight="1" x14ac:dyDescent="0.25">
      <c r="A1193" s="147"/>
      <c r="B1193" s="147"/>
      <c r="C1193" s="147"/>
      <c r="D1193" s="141"/>
      <c r="E1193" s="141"/>
      <c r="F1193" s="50">
        <v>43647</v>
      </c>
      <c r="G1193" s="50">
        <v>43830</v>
      </c>
      <c r="H1193" s="151"/>
      <c r="I1193" s="15" t="s">
        <v>23</v>
      </c>
      <c r="J1193" s="15" t="s">
        <v>23</v>
      </c>
      <c r="K1193" s="13">
        <v>17.16</v>
      </c>
      <c r="L1193" s="13">
        <v>1444.03</v>
      </c>
      <c r="M1193" s="198"/>
      <c r="N1193" s="69">
        <f t="shared" si="37"/>
        <v>14.3</v>
      </c>
      <c r="O1193" s="11">
        <f t="shared" si="38"/>
        <v>1203.3583333333333</v>
      </c>
      <c r="P1193" s="10">
        <f t="shared" si="39"/>
        <v>5.98</v>
      </c>
      <c r="Q1193" s="64">
        <f t="shared" si="40"/>
        <v>1297.9216666666669</v>
      </c>
      <c r="R1193" s="64"/>
      <c r="S1193" s="65"/>
      <c r="T1193" s="11"/>
    </row>
    <row r="1194" spans="1:20" ht="15" customHeight="1" outlineLevel="1" x14ac:dyDescent="0.25">
      <c r="A1194" s="146" t="s">
        <v>65</v>
      </c>
      <c r="B1194" s="146" t="s">
        <v>176</v>
      </c>
      <c r="C1194" s="146" t="s">
        <v>780</v>
      </c>
      <c r="D1194" s="137">
        <v>43454</v>
      </c>
      <c r="E1194" s="137" t="s">
        <v>740</v>
      </c>
      <c r="F1194" s="12">
        <v>43466</v>
      </c>
      <c r="G1194" s="12">
        <v>43646</v>
      </c>
      <c r="H1194" s="149"/>
      <c r="I1194" s="66">
        <v>21.6</v>
      </c>
      <c r="J1194" s="13">
        <v>1696.83</v>
      </c>
      <c r="K1194" s="15" t="s">
        <v>23</v>
      </c>
      <c r="L1194" s="15" t="s">
        <v>23</v>
      </c>
      <c r="M1194" s="153"/>
    </row>
    <row r="1195" spans="1:20" ht="15" customHeight="1" outlineLevel="1" x14ac:dyDescent="0.25">
      <c r="A1195" s="148"/>
      <c r="B1195" s="148"/>
      <c r="C1195" s="148"/>
      <c r="D1195" s="141"/>
      <c r="E1195" s="141"/>
      <c r="F1195" s="12">
        <v>43647</v>
      </c>
      <c r="G1195" s="12">
        <v>43830</v>
      </c>
      <c r="H1195" s="151"/>
      <c r="I1195" s="66">
        <v>21.86</v>
      </c>
      <c r="J1195" s="13">
        <v>1732.58</v>
      </c>
      <c r="K1195" s="15" t="s">
        <v>23</v>
      </c>
      <c r="L1195" s="15" t="s">
        <v>23</v>
      </c>
      <c r="M1195" s="152"/>
    </row>
    <row r="1196" spans="1:20" ht="15" customHeight="1" outlineLevel="1" x14ac:dyDescent="0.25">
      <c r="A1196" s="148"/>
      <c r="B1196" s="148"/>
      <c r="C1196" s="148"/>
      <c r="D1196" s="137">
        <v>43454</v>
      </c>
      <c r="E1196" s="137" t="s">
        <v>642</v>
      </c>
      <c r="F1196" s="50">
        <v>43466</v>
      </c>
      <c r="G1196" s="50">
        <v>43646</v>
      </c>
      <c r="H1196" s="149"/>
      <c r="I1196" s="15" t="s">
        <v>23</v>
      </c>
      <c r="J1196" s="15" t="s">
        <v>23</v>
      </c>
      <c r="K1196" s="13">
        <v>17.837633898305086</v>
      </c>
      <c r="L1196" s="13">
        <v>1359.4188651436991</v>
      </c>
      <c r="M1196" s="196" t="s">
        <v>420</v>
      </c>
    </row>
    <row r="1197" spans="1:20" ht="15" customHeight="1" outlineLevel="1" x14ac:dyDescent="0.25">
      <c r="A1197" s="148"/>
      <c r="B1197" s="148"/>
      <c r="C1197" s="148"/>
      <c r="D1197" s="138"/>
      <c r="E1197" s="138"/>
      <c r="F1197" s="50">
        <v>43647</v>
      </c>
      <c r="G1197" s="50">
        <v>43830</v>
      </c>
      <c r="H1197" s="150"/>
      <c r="I1197" s="15" t="s">
        <v>23</v>
      </c>
      <c r="J1197" s="15" t="s">
        <v>23</v>
      </c>
      <c r="K1197" s="13">
        <v>18.194386576271189</v>
      </c>
      <c r="L1197" s="13">
        <v>1386.6072424465731</v>
      </c>
      <c r="M1197" s="198"/>
    </row>
    <row r="1198" spans="1:20" ht="15" customHeight="1" outlineLevel="1" x14ac:dyDescent="0.25">
      <c r="A1198" s="148"/>
      <c r="B1198" s="148"/>
      <c r="C1198" s="148"/>
      <c r="D1198" s="138"/>
      <c r="E1198" s="138"/>
      <c r="F1198" s="50">
        <v>43466</v>
      </c>
      <c r="G1198" s="50">
        <v>43646</v>
      </c>
      <c r="H1198" s="150"/>
      <c r="I1198" s="15" t="s">
        <v>23</v>
      </c>
      <c r="J1198" s="15" t="s">
        <v>23</v>
      </c>
      <c r="K1198" s="13">
        <v>17.837633898305086</v>
      </c>
      <c r="L1198" s="13">
        <v>1488.8873284907181</v>
      </c>
      <c r="M1198" s="196" t="s">
        <v>421</v>
      </c>
    </row>
    <row r="1199" spans="1:20" ht="15" customHeight="1" outlineLevel="1" x14ac:dyDescent="0.25">
      <c r="A1199" s="148"/>
      <c r="B1199" s="148"/>
      <c r="C1199" s="148"/>
      <c r="D1199" s="138"/>
      <c r="E1199" s="138"/>
      <c r="F1199" s="50">
        <v>43647</v>
      </c>
      <c r="G1199" s="50">
        <v>43830</v>
      </c>
      <c r="H1199" s="150"/>
      <c r="I1199" s="15" t="s">
        <v>23</v>
      </c>
      <c r="J1199" s="15" t="s">
        <v>23</v>
      </c>
      <c r="K1199" s="13">
        <v>18.194386576271189</v>
      </c>
      <c r="L1199" s="13">
        <v>1518.6650750605324</v>
      </c>
      <c r="M1199" s="198"/>
    </row>
    <row r="1200" spans="1:20" ht="15" customHeight="1" outlineLevel="1" x14ac:dyDescent="0.25">
      <c r="A1200" s="148"/>
      <c r="B1200" s="148"/>
      <c r="C1200" s="148"/>
      <c r="D1200" s="138"/>
      <c r="E1200" s="138"/>
      <c r="F1200" s="50">
        <v>43466</v>
      </c>
      <c r="G1200" s="50">
        <v>43646</v>
      </c>
      <c r="H1200" s="150"/>
      <c r="I1200" s="15" t="s">
        <v>23</v>
      </c>
      <c r="J1200" s="15" t="s">
        <v>23</v>
      </c>
      <c r="K1200" s="13">
        <v>17.837633898305086</v>
      </c>
      <c r="L1200" s="13">
        <v>1267.5662391204764</v>
      </c>
      <c r="M1200" s="196" t="s">
        <v>422</v>
      </c>
    </row>
    <row r="1201" spans="1:13" ht="15" customHeight="1" outlineLevel="1" x14ac:dyDescent="0.25">
      <c r="A1201" s="148"/>
      <c r="B1201" s="148"/>
      <c r="C1201" s="148"/>
      <c r="D1201" s="138"/>
      <c r="E1201" s="138"/>
      <c r="F1201" s="50">
        <v>43647</v>
      </c>
      <c r="G1201" s="50">
        <v>43830</v>
      </c>
      <c r="H1201" s="150"/>
      <c r="I1201" s="15" t="s">
        <v>23</v>
      </c>
      <c r="J1201" s="15" t="s">
        <v>23</v>
      </c>
      <c r="K1201" s="13">
        <v>18.194386576271189</v>
      </c>
      <c r="L1201" s="13">
        <v>1292.9175639028861</v>
      </c>
      <c r="M1201" s="198"/>
    </row>
    <row r="1202" spans="1:13" ht="15" customHeight="1" outlineLevel="1" x14ac:dyDescent="0.25">
      <c r="A1202" s="148"/>
      <c r="B1202" s="148"/>
      <c r="C1202" s="148"/>
      <c r="D1202" s="138"/>
      <c r="E1202" s="138"/>
      <c r="F1202" s="50">
        <v>43466</v>
      </c>
      <c r="G1202" s="50">
        <v>43646</v>
      </c>
      <c r="H1202" s="150"/>
      <c r="I1202" s="15" t="s">
        <v>23</v>
      </c>
      <c r="J1202" s="15" t="s">
        <v>23</v>
      </c>
      <c r="K1202" s="13">
        <v>17.837633898305086</v>
      </c>
      <c r="L1202" s="13">
        <v>1359.4188651436991</v>
      </c>
      <c r="M1202" s="196" t="s">
        <v>423</v>
      </c>
    </row>
    <row r="1203" spans="1:13" ht="15" customHeight="1" outlineLevel="1" x14ac:dyDescent="0.25">
      <c r="A1203" s="148"/>
      <c r="B1203" s="148"/>
      <c r="C1203" s="148"/>
      <c r="D1203" s="138"/>
      <c r="E1203" s="138"/>
      <c r="F1203" s="50">
        <v>43647</v>
      </c>
      <c r="G1203" s="50">
        <v>43830</v>
      </c>
      <c r="H1203" s="150"/>
      <c r="I1203" s="15" t="s">
        <v>23</v>
      </c>
      <c r="J1203" s="15" t="s">
        <v>23</v>
      </c>
      <c r="K1203" s="13">
        <v>18.194386576271189</v>
      </c>
      <c r="L1203" s="13">
        <v>1386.6072424465731</v>
      </c>
      <c r="M1203" s="198"/>
    </row>
    <row r="1204" spans="1:13" ht="15" customHeight="1" outlineLevel="1" x14ac:dyDescent="0.25">
      <c r="A1204" s="148"/>
      <c r="B1204" s="148"/>
      <c r="C1204" s="148"/>
      <c r="D1204" s="138"/>
      <c r="E1204" s="138"/>
      <c r="F1204" s="50">
        <v>43466</v>
      </c>
      <c r="G1204" s="50">
        <v>43646</v>
      </c>
      <c r="H1204" s="150"/>
      <c r="I1204" s="15" t="s">
        <v>23</v>
      </c>
      <c r="J1204" s="15" t="s">
        <v>23</v>
      </c>
      <c r="K1204" s="13">
        <v>17.837633898305086</v>
      </c>
      <c r="L1204" s="13">
        <v>1421.2106317411401</v>
      </c>
      <c r="M1204" s="196" t="s">
        <v>424</v>
      </c>
    </row>
    <row r="1205" spans="1:13" ht="15" customHeight="1" outlineLevel="1" x14ac:dyDescent="0.25">
      <c r="A1205" s="148"/>
      <c r="B1205" s="148"/>
      <c r="C1205" s="148"/>
      <c r="D1205" s="138"/>
      <c r="E1205" s="138"/>
      <c r="F1205" s="50">
        <v>43647</v>
      </c>
      <c r="G1205" s="50">
        <v>43830</v>
      </c>
      <c r="H1205" s="150"/>
      <c r="I1205" s="15" t="s">
        <v>23</v>
      </c>
      <c r="J1205" s="15" t="s">
        <v>23</v>
      </c>
      <c r="K1205" s="13">
        <v>18.194386576271189</v>
      </c>
      <c r="L1205" s="13">
        <v>1449.634844375963</v>
      </c>
      <c r="M1205" s="198"/>
    </row>
    <row r="1206" spans="1:13" ht="15" customHeight="1" outlineLevel="1" x14ac:dyDescent="0.25">
      <c r="A1206" s="148"/>
      <c r="B1206" s="148"/>
      <c r="C1206" s="148"/>
      <c r="D1206" s="138"/>
      <c r="E1206" s="138"/>
      <c r="F1206" s="50">
        <v>43466</v>
      </c>
      <c r="G1206" s="50">
        <v>43646</v>
      </c>
      <c r="H1206" s="150"/>
      <c r="I1206" s="15" t="s">
        <v>23</v>
      </c>
      <c r="J1206" s="15" t="s">
        <v>23</v>
      </c>
      <c r="K1206" s="13">
        <v>17.837633898305086</v>
      </c>
      <c r="L1206" s="13">
        <v>1537.7033064740206</v>
      </c>
      <c r="M1206" s="196" t="s">
        <v>425</v>
      </c>
    </row>
    <row r="1207" spans="1:13" ht="15" customHeight="1" outlineLevel="1" x14ac:dyDescent="0.25">
      <c r="A1207" s="148"/>
      <c r="B1207" s="148"/>
      <c r="C1207" s="148"/>
      <c r="D1207" s="138"/>
      <c r="E1207" s="138"/>
      <c r="F1207" s="50">
        <v>43647</v>
      </c>
      <c r="G1207" s="50">
        <v>43830</v>
      </c>
      <c r="H1207" s="150"/>
      <c r="I1207" s="15" t="s">
        <v>23</v>
      </c>
      <c r="J1207" s="15" t="s">
        <v>23</v>
      </c>
      <c r="K1207" s="13">
        <v>18.194386576271189</v>
      </c>
      <c r="L1207" s="13">
        <v>1568.457372603501</v>
      </c>
      <c r="M1207" s="198"/>
    </row>
    <row r="1208" spans="1:13" ht="15" customHeight="1" outlineLevel="1" x14ac:dyDescent="0.25">
      <c r="A1208" s="148"/>
      <c r="B1208" s="148"/>
      <c r="C1208" s="148"/>
      <c r="D1208" s="138"/>
      <c r="E1208" s="138"/>
      <c r="F1208" s="50">
        <v>43466</v>
      </c>
      <c r="G1208" s="50">
        <v>43646</v>
      </c>
      <c r="H1208" s="150"/>
      <c r="I1208" s="15" t="s">
        <v>23</v>
      </c>
      <c r="J1208" s="15" t="s">
        <v>23</v>
      </c>
      <c r="K1208" s="13">
        <v>17.837633898305086</v>
      </c>
      <c r="L1208" s="13">
        <v>1302.7764124293785</v>
      </c>
      <c r="M1208" s="196" t="s">
        <v>426</v>
      </c>
    </row>
    <row r="1209" spans="1:13" ht="15" customHeight="1" outlineLevel="1" x14ac:dyDescent="0.25">
      <c r="A1209" s="148"/>
      <c r="B1209" s="148"/>
      <c r="C1209" s="148"/>
      <c r="D1209" s="138"/>
      <c r="E1209" s="138"/>
      <c r="F1209" s="50">
        <v>43647</v>
      </c>
      <c r="G1209" s="50">
        <v>43830</v>
      </c>
      <c r="H1209" s="150"/>
      <c r="I1209" s="15" t="s">
        <v>23</v>
      </c>
      <c r="J1209" s="15" t="s">
        <v>23</v>
      </c>
      <c r="K1209" s="13">
        <v>18.194386576271189</v>
      </c>
      <c r="L1209" s="13">
        <v>1328.831940677966</v>
      </c>
      <c r="M1209" s="198"/>
    </row>
    <row r="1210" spans="1:13" ht="15" customHeight="1" outlineLevel="1" x14ac:dyDescent="0.25">
      <c r="A1210" s="148"/>
      <c r="B1210" s="148"/>
      <c r="C1210" s="148"/>
      <c r="D1210" s="138"/>
      <c r="E1210" s="138"/>
      <c r="F1210" s="50">
        <v>43466</v>
      </c>
      <c r="G1210" s="50">
        <v>43646</v>
      </c>
      <c r="H1210" s="150"/>
      <c r="I1210" s="15" t="s">
        <v>23</v>
      </c>
      <c r="J1210" s="15" t="s">
        <v>23</v>
      </c>
      <c r="K1210" s="13">
        <v>17.837633898305086</v>
      </c>
      <c r="L1210" s="13">
        <v>1421.2106317411401</v>
      </c>
      <c r="M1210" s="196" t="s">
        <v>427</v>
      </c>
    </row>
    <row r="1211" spans="1:13" ht="15" customHeight="1" outlineLevel="1" x14ac:dyDescent="0.25">
      <c r="A1211" s="147"/>
      <c r="B1211" s="147"/>
      <c r="C1211" s="147"/>
      <c r="D1211" s="141"/>
      <c r="E1211" s="141"/>
      <c r="F1211" s="50">
        <v>43647</v>
      </c>
      <c r="G1211" s="50">
        <v>43830</v>
      </c>
      <c r="H1211" s="151"/>
      <c r="I1211" s="15" t="s">
        <v>23</v>
      </c>
      <c r="J1211" s="15" t="s">
        <v>23</v>
      </c>
      <c r="K1211" s="13">
        <v>18.194386576271189</v>
      </c>
      <c r="L1211" s="13">
        <v>1449.634844375963</v>
      </c>
      <c r="M1211" s="198"/>
    </row>
    <row r="1212" spans="1:13" ht="15" customHeight="1" outlineLevel="1" x14ac:dyDescent="0.25">
      <c r="A1212" s="146" t="s">
        <v>65</v>
      </c>
      <c r="B1212" s="146" t="s">
        <v>261</v>
      </c>
      <c r="C1212" s="146" t="s">
        <v>290</v>
      </c>
      <c r="D1212" s="137">
        <v>42723</v>
      </c>
      <c r="E1212" s="137" t="s">
        <v>695</v>
      </c>
      <c r="F1212" s="12">
        <v>43466</v>
      </c>
      <c r="G1212" s="12">
        <v>43646</v>
      </c>
      <c r="H1212" s="149" t="s">
        <v>797</v>
      </c>
      <c r="I1212" s="66">
        <v>40.51</v>
      </c>
      <c r="J1212" s="13">
        <v>2019.3</v>
      </c>
      <c r="K1212" s="15" t="s">
        <v>23</v>
      </c>
      <c r="L1212" s="15" t="s">
        <v>23</v>
      </c>
      <c r="M1212" s="153"/>
    </row>
    <row r="1213" spans="1:13" ht="15" customHeight="1" outlineLevel="1" x14ac:dyDescent="0.25">
      <c r="A1213" s="148"/>
      <c r="B1213" s="148"/>
      <c r="C1213" s="148"/>
      <c r="D1213" s="141"/>
      <c r="E1213" s="141"/>
      <c r="F1213" s="12">
        <v>43647</v>
      </c>
      <c r="G1213" s="12">
        <v>43830</v>
      </c>
      <c r="H1213" s="151"/>
      <c r="I1213" s="66">
        <v>41.7</v>
      </c>
      <c r="J1213" s="13">
        <v>2069.86</v>
      </c>
      <c r="K1213" s="15" t="s">
        <v>23</v>
      </c>
      <c r="L1213" s="15" t="s">
        <v>23</v>
      </c>
      <c r="M1213" s="152"/>
    </row>
    <row r="1214" spans="1:13" ht="15" customHeight="1" outlineLevel="1" x14ac:dyDescent="0.25">
      <c r="A1214" s="148"/>
      <c r="B1214" s="148"/>
      <c r="C1214" s="148"/>
      <c r="D1214" s="137">
        <v>43454</v>
      </c>
      <c r="E1214" s="137" t="s">
        <v>796</v>
      </c>
      <c r="F1214" s="50">
        <v>43466</v>
      </c>
      <c r="G1214" s="50">
        <v>43646</v>
      </c>
      <c r="H1214" s="149"/>
      <c r="I1214" s="15" t="s">
        <v>23</v>
      </c>
      <c r="J1214" s="15" t="s">
        <v>23</v>
      </c>
      <c r="K1214" s="13">
        <v>28.962711864406696</v>
      </c>
      <c r="L1214" s="13">
        <v>1178.3345615327896</v>
      </c>
      <c r="M1214" s="196" t="s">
        <v>420</v>
      </c>
    </row>
    <row r="1215" spans="1:13" ht="15" customHeight="1" outlineLevel="1" x14ac:dyDescent="0.25">
      <c r="A1215" s="148"/>
      <c r="B1215" s="148"/>
      <c r="C1215" s="148"/>
      <c r="D1215" s="138"/>
      <c r="E1215" s="138"/>
      <c r="F1215" s="50">
        <v>43647</v>
      </c>
      <c r="G1215" s="50">
        <v>43830</v>
      </c>
      <c r="H1215" s="150"/>
      <c r="I1215" s="15" t="s">
        <v>23</v>
      </c>
      <c r="J1215" s="15" t="s">
        <v>23</v>
      </c>
      <c r="K1215" s="13">
        <v>29.541966101694829</v>
      </c>
      <c r="L1215" s="13">
        <v>1201.9012527634454</v>
      </c>
      <c r="M1215" s="198"/>
    </row>
    <row r="1216" spans="1:13" ht="15" customHeight="1" outlineLevel="1" x14ac:dyDescent="0.25">
      <c r="A1216" s="148"/>
      <c r="B1216" s="148"/>
      <c r="C1216" s="148"/>
      <c r="D1216" s="138"/>
      <c r="E1216" s="138"/>
      <c r="F1216" s="50">
        <v>43466</v>
      </c>
      <c r="G1216" s="50">
        <v>43646</v>
      </c>
      <c r="H1216" s="150"/>
      <c r="I1216" s="15" t="s">
        <v>23</v>
      </c>
      <c r="J1216" s="15" t="s">
        <v>23</v>
      </c>
      <c r="K1216" s="13">
        <v>28.962711864406696</v>
      </c>
      <c r="L1216" s="13">
        <v>1290.5569007263887</v>
      </c>
      <c r="M1216" s="196" t="s">
        <v>421</v>
      </c>
    </row>
    <row r="1217" spans="1:13" ht="15" customHeight="1" outlineLevel="1" x14ac:dyDescent="0.25">
      <c r="A1217" s="148"/>
      <c r="B1217" s="148"/>
      <c r="C1217" s="148"/>
      <c r="D1217" s="138"/>
      <c r="E1217" s="138"/>
      <c r="F1217" s="50">
        <v>43647</v>
      </c>
      <c r="G1217" s="50">
        <v>43830</v>
      </c>
      <c r="H1217" s="150"/>
      <c r="I1217" s="15" t="s">
        <v>23</v>
      </c>
      <c r="J1217" s="15" t="s">
        <v>23</v>
      </c>
      <c r="K1217" s="13">
        <v>29.541966101694829</v>
      </c>
      <c r="L1217" s="13">
        <v>1316.3680387409167</v>
      </c>
      <c r="M1217" s="198"/>
    </row>
    <row r="1218" spans="1:13" ht="15" customHeight="1" outlineLevel="1" x14ac:dyDescent="0.25">
      <c r="A1218" s="148"/>
      <c r="B1218" s="148"/>
      <c r="C1218" s="148"/>
      <c r="D1218" s="138"/>
      <c r="E1218" s="138"/>
      <c r="F1218" s="50">
        <v>43466</v>
      </c>
      <c r="G1218" s="50">
        <v>43646</v>
      </c>
      <c r="H1218" s="150"/>
      <c r="I1218" s="15" t="s">
        <v>23</v>
      </c>
      <c r="J1218" s="15" t="s">
        <v>23</v>
      </c>
      <c r="K1218" s="13">
        <v>28.962711864406696</v>
      </c>
      <c r="L1218" s="13">
        <v>1098.7173614292228</v>
      </c>
      <c r="M1218" s="196" t="s">
        <v>422</v>
      </c>
    </row>
    <row r="1219" spans="1:13" ht="15" customHeight="1" outlineLevel="1" x14ac:dyDescent="0.25">
      <c r="A1219" s="148"/>
      <c r="B1219" s="148"/>
      <c r="C1219" s="148"/>
      <c r="D1219" s="138"/>
      <c r="E1219" s="138"/>
      <c r="F1219" s="50">
        <v>43647</v>
      </c>
      <c r="G1219" s="50">
        <v>43830</v>
      </c>
      <c r="H1219" s="150"/>
      <c r="I1219" s="15" t="s">
        <v>23</v>
      </c>
      <c r="J1219" s="15" t="s">
        <v>23</v>
      </c>
      <c r="K1219" s="13">
        <v>29.541966101694829</v>
      </c>
      <c r="L1219" s="13">
        <v>1120.6917086578076</v>
      </c>
      <c r="M1219" s="198"/>
    </row>
    <row r="1220" spans="1:13" ht="15" customHeight="1" outlineLevel="1" x14ac:dyDescent="0.25">
      <c r="A1220" s="148"/>
      <c r="B1220" s="148"/>
      <c r="C1220" s="148"/>
      <c r="D1220" s="138"/>
      <c r="E1220" s="138"/>
      <c r="F1220" s="50">
        <v>43466</v>
      </c>
      <c r="G1220" s="50">
        <v>43646</v>
      </c>
      <c r="H1220" s="150"/>
      <c r="I1220" s="15" t="s">
        <v>23</v>
      </c>
      <c r="J1220" s="15" t="s">
        <v>23</v>
      </c>
      <c r="K1220" s="13">
        <v>28.962711864406696</v>
      </c>
      <c r="L1220" s="13">
        <v>1178.3345615327896</v>
      </c>
      <c r="M1220" s="196" t="s">
        <v>423</v>
      </c>
    </row>
    <row r="1221" spans="1:13" ht="15" customHeight="1" outlineLevel="1" x14ac:dyDescent="0.25">
      <c r="A1221" s="148"/>
      <c r="B1221" s="148"/>
      <c r="C1221" s="148"/>
      <c r="D1221" s="138"/>
      <c r="E1221" s="138"/>
      <c r="F1221" s="50">
        <v>43647</v>
      </c>
      <c r="G1221" s="50">
        <v>43830</v>
      </c>
      <c r="H1221" s="150"/>
      <c r="I1221" s="15" t="s">
        <v>23</v>
      </c>
      <c r="J1221" s="15" t="s">
        <v>23</v>
      </c>
      <c r="K1221" s="13">
        <v>29.541966101694829</v>
      </c>
      <c r="L1221" s="13">
        <v>1201.9012527634454</v>
      </c>
      <c r="M1221" s="198"/>
    </row>
    <row r="1222" spans="1:13" ht="15" customHeight="1" outlineLevel="1" x14ac:dyDescent="0.25">
      <c r="A1222" s="148"/>
      <c r="B1222" s="148"/>
      <c r="C1222" s="148"/>
      <c r="D1222" s="138"/>
      <c r="E1222" s="138"/>
      <c r="F1222" s="50">
        <v>43466</v>
      </c>
      <c r="G1222" s="50">
        <v>43646</v>
      </c>
      <c r="H1222" s="150"/>
      <c r="I1222" s="15" t="s">
        <v>23</v>
      </c>
      <c r="J1222" s="15" t="s">
        <v>23</v>
      </c>
      <c r="K1222" s="13">
        <v>28.962711864406696</v>
      </c>
      <c r="L1222" s="13">
        <v>1231.8952234206436</v>
      </c>
      <c r="M1222" s="196" t="s">
        <v>424</v>
      </c>
    </row>
    <row r="1223" spans="1:13" ht="15" customHeight="1" outlineLevel="1" x14ac:dyDescent="0.25">
      <c r="A1223" s="148"/>
      <c r="B1223" s="148"/>
      <c r="C1223" s="148"/>
      <c r="D1223" s="138"/>
      <c r="E1223" s="138"/>
      <c r="F1223" s="50">
        <v>43647</v>
      </c>
      <c r="G1223" s="50">
        <v>43830</v>
      </c>
      <c r="H1223" s="150"/>
      <c r="I1223" s="15" t="s">
        <v>23</v>
      </c>
      <c r="J1223" s="15" t="s">
        <v>23</v>
      </c>
      <c r="K1223" s="13">
        <v>29.541966101694829</v>
      </c>
      <c r="L1223" s="13">
        <v>1256.5331278890567</v>
      </c>
      <c r="M1223" s="198"/>
    </row>
    <row r="1224" spans="1:13" ht="15" customHeight="1" outlineLevel="1" x14ac:dyDescent="0.25">
      <c r="A1224" s="148"/>
      <c r="B1224" s="148"/>
      <c r="C1224" s="148"/>
      <c r="D1224" s="138"/>
      <c r="E1224" s="138"/>
      <c r="F1224" s="50">
        <v>43466</v>
      </c>
      <c r="G1224" s="50">
        <v>43646</v>
      </c>
      <c r="H1224" s="150"/>
      <c r="I1224" s="15" t="s">
        <v>23</v>
      </c>
      <c r="J1224" s="15" t="s">
        <v>23</v>
      </c>
      <c r="K1224" s="13">
        <v>28.962711864406696</v>
      </c>
      <c r="L1224" s="13">
        <v>1332.8702417338113</v>
      </c>
      <c r="M1224" s="196" t="s">
        <v>425</v>
      </c>
    </row>
    <row r="1225" spans="1:13" ht="15" customHeight="1" outlineLevel="1" x14ac:dyDescent="0.25">
      <c r="A1225" s="148"/>
      <c r="B1225" s="148"/>
      <c r="C1225" s="148"/>
      <c r="D1225" s="138"/>
      <c r="E1225" s="138"/>
      <c r="F1225" s="50">
        <v>43647</v>
      </c>
      <c r="G1225" s="50">
        <v>43830</v>
      </c>
      <c r="H1225" s="150"/>
      <c r="I1225" s="15" t="s">
        <v>23</v>
      </c>
      <c r="J1225" s="15" t="s">
        <v>23</v>
      </c>
      <c r="K1225" s="13">
        <v>29.541966101694829</v>
      </c>
      <c r="L1225" s="13">
        <v>1359.5276465684876</v>
      </c>
      <c r="M1225" s="198"/>
    </row>
    <row r="1226" spans="1:13" ht="15" customHeight="1" outlineLevel="1" x14ac:dyDescent="0.25">
      <c r="A1226" s="148"/>
      <c r="B1226" s="148"/>
      <c r="C1226" s="148"/>
      <c r="D1226" s="138"/>
      <c r="E1226" s="138"/>
      <c r="F1226" s="50">
        <v>43466</v>
      </c>
      <c r="G1226" s="50">
        <v>43646</v>
      </c>
      <c r="H1226" s="150"/>
      <c r="I1226" s="15" t="s">
        <v>23</v>
      </c>
      <c r="J1226" s="15" t="s">
        <v>23</v>
      </c>
      <c r="K1226" s="13">
        <v>28.962711864406696</v>
      </c>
      <c r="L1226" s="13">
        <v>1129.2372881355902</v>
      </c>
      <c r="M1226" s="196" t="s">
        <v>426</v>
      </c>
    </row>
    <row r="1227" spans="1:13" ht="15" customHeight="1" outlineLevel="1" x14ac:dyDescent="0.25">
      <c r="A1227" s="148"/>
      <c r="B1227" s="148"/>
      <c r="C1227" s="148"/>
      <c r="D1227" s="138"/>
      <c r="E1227" s="138"/>
      <c r="F1227" s="50">
        <v>43647</v>
      </c>
      <c r="G1227" s="50">
        <v>43830</v>
      </c>
      <c r="H1227" s="150"/>
      <c r="I1227" s="15" t="s">
        <v>23</v>
      </c>
      <c r="J1227" s="15" t="s">
        <v>23</v>
      </c>
      <c r="K1227" s="13">
        <v>29.541966101694829</v>
      </c>
      <c r="L1227" s="13">
        <v>1151.8220338983022</v>
      </c>
      <c r="M1227" s="198"/>
    </row>
    <row r="1228" spans="1:13" ht="15" customHeight="1" outlineLevel="1" x14ac:dyDescent="0.25">
      <c r="A1228" s="148"/>
      <c r="B1228" s="148"/>
      <c r="C1228" s="148"/>
      <c r="D1228" s="138"/>
      <c r="E1228" s="138"/>
      <c r="F1228" s="50">
        <v>43466</v>
      </c>
      <c r="G1228" s="50">
        <v>43646</v>
      </c>
      <c r="H1228" s="150"/>
      <c r="I1228" s="15" t="s">
        <v>23</v>
      </c>
      <c r="J1228" s="15" t="s">
        <v>23</v>
      </c>
      <c r="K1228" s="13">
        <v>28.962711864406696</v>
      </c>
      <c r="L1228" s="13">
        <v>1231.8952234206436</v>
      </c>
      <c r="M1228" s="196" t="s">
        <v>427</v>
      </c>
    </row>
    <row r="1229" spans="1:13" ht="15" customHeight="1" outlineLevel="1" x14ac:dyDescent="0.25">
      <c r="A1229" s="147"/>
      <c r="B1229" s="147"/>
      <c r="C1229" s="147"/>
      <c r="D1229" s="141"/>
      <c r="E1229" s="141"/>
      <c r="F1229" s="50">
        <v>43647</v>
      </c>
      <c r="G1229" s="50">
        <v>43830</v>
      </c>
      <c r="H1229" s="151"/>
      <c r="I1229" s="15" t="s">
        <v>23</v>
      </c>
      <c r="J1229" s="15" t="s">
        <v>23</v>
      </c>
      <c r="K1229" s="13">
        <v>29.541966101694829</v>
      </c>
      <c r="L1229" s="13">
        <v>1256.5331278890567</v>
      </c>
      <c r="M1229" s="198"/>
    </row>
    <row r="1230" spans="1:13" ht="15" customHeight="1" outlineLevel="1" x14ac:dyDescent="0.25">
      <c r="A1230" s="146" t="s">
        <v>65</v>
      </c>
      <c r="B1230" s="146" t="s">
        <v>261</v>
      </c>
      <c r="C1230" s="146" t="s">
        <v>111</v>
      </c>
      <c r="D1230" s="137">
        <v>42723</v>
      </c>
      <c r="E1230" s="137" t="s">
        <v>637</v>
      </c>
      <c r="F1230" s="51">
        <v>43466</v>
      </c>
      <c r="G1230" s="51">
        <v>43646</v>
      </c>
      <c r="H1230" s="142" t="s">
        <v>636</v>
      </c>
      <c r="I1230" s="66">
        <v>13.63</v>
      </c>
      <c r="J1230" s="13">
        <v>1871.72</v>
      </c>
      <c r="K1230" s="15" t="s">
        <v>23</v>
      </c>
      <c r="L1230" s="15" t="s">
        <v>23</v>
      </c>
      <c r="M1230" s="183"/>
    </row>
    <row r="1231" spans="1:13" ht="15" customHeight="1" outlineLevel="1" x14ac:dyDescent="0.25">
      <c r="A1231" s="147"/>
      <c r="B1231" s="147"/>
      <c r="C1231" s="147"/>
      <c r="D1231" s="141"/>
      <c r="E1231" s="141"/>
      <c r="F1231" s="51">
        <v>43647</v>
      </c>
      <c r="G1231" s="51">
        <v>43830</v>
      </c>
      <c r="H1231" s="143"/>
      <c r="I1231" s="66">
        <v>134.99</v>
      </c>
      <c r="J1231" s="13">
        <v>1933.59</v>
      </c>
      <c r="K1231" s="15" t="s">
        <v>23</v>
      </c>
      <c r="L1231" s="15" t="s">
        <v>23</v>
      </c>
      <c r="M1231" s="183"/>
    </row>
    <row r="1232" spans="1:13" ht="15" customHeight="1" outlineLevel="1" x14ac:dyDescent="0.25">
      <c r="A1232" s="59">
        <v>5</v>
      </c>
      <c r="B1232" s="7" t="s">
        <v>149</v>
      </c>
      <c r="C1232" s="60"/>
      <c r="D1232" s="61"/>
      <c r="E1232" s="61"/>
      <c r="F1232" s="61"/>
      <c r="G1232" s="61"/>
      <c r="H1232" s="61"/>
      <c r="I1232" s="61"/>
      <c r="J1232" s="61"/>
      <c r="K1232" s="62"/>
      <c r="L1232" s="62"/>
      <c r="M1232" s="63"/>
    </row>
    <row r="1233" spans="1:13" ht="15" customHeight="1" outlineLevel="1" x14ac:dyDescent="0.25">
      <c r="A1233" s="146" t="s">
        <v>55</v>
      </c>
      <c r="B1233" s="146" t="s">
        <v>72</v>
      </c>
      <c r="C1233" s="146" t="s">
        <v>448</v>
      </c>
      <c r="D1233" s="137">
        <v>43083</v>
      </c>
      <c r="E1233" s="137" t="s">
        <v>608</v>
      </c>
      <c r="F1233" s="12">
        <v>43466</v>
      </c>
      <c r="G1233" s="12">
        <v>43646</v>
      </c>
      <c r="H1233" s="149" t="s">
        <v>807</v>
      </c>
      <c r="I1233" s="66">
        <v>28.36</v>
      </c>
      <c r="J1233" s="13">
        <v>2872.24</v>
      </c>
      <c r="K1233" s="15" t="s">
        <v>23</v>
      </c>
      <c r="L1233" s="15" t="s">
        <v>23</v>
      </c>
      <c r="M1233" s="153"/>
    </row>
    <row r="1234" spans="1:13" ht="15" customHeight="1" outlineLevel="1" x14ac:dyDescent="0.25">
      <c r="A1234" s="148"/>
      <c r="B1234" s="148"/>
      <c r="C1234" s="148"/>
      <c r="D1234" s="141"/>
      <c r="E1234" s="141"/>
      <c r="F1234" s="12">
        <v>43647</v>
      </c>
      <c r="G1234" s="12">
        <v>43830</v>
      </c>
      <c r="H1234" s="151"/>
      <c r="I1234" s="66">
        <v>31.31</v>
      </c>
      <c r="J1234" s="13">
        <v>3270.55</v>
      </c>
      <c r="K1234" s="15" t="s">
        <v>23</v>
      </c>
      <c r="L1234" s="15" t="s">
        <v>23</v>
      </c>
      <c r="M1234" s="152"/>
    </row>
    <row r="1235" spans="1:13" ht="15" customHeight="1" outlineLevel="1" x14ac:dyDescent="0.25">
      <c r="A1235" s="148"/>
      <c r="B1235" s="148"/>
      <c r="C1235" s="148"/>
      <c r="D1235" s="137">
        <v>43454</v>
      </c>
      <c r="E1235" s="137" t="s">
        <v>808</v>
      </c>
      <c r="F1235" s="50">
        <v>43466</v>
      </c>
      <c r="G1235" s="50">
        <v>43646</v>
      </c>
      <c r="H1235" s="149"/>
      <c r="I1235" s="15" t="s">
        <v>23</v>
      </c>
      <c r="J1235" s="15" t="s">
        <v>23</v>
      </c>
      <c r="K1235" s="13">
        <v>25.32</v>
      </c>
      <c r="L1235" s="13">
        <v>2229.5799557848122</v>
      </c>
      <c r="M1235" s="196" t="s">
        <v>420</v>
      </c>
    </row>
    <row r="1236" spans="1:13" ht="15" customHeight="1" outlineLevel="1" x14ac:dyDescent="0.25">
      <c r="A1236" s="148"/>
      <c r="B1236" s="148"/>
      <c r="C1236" s="148"/>
      <c r="D1236" s="138"/>
      <c r="E1236" s="138"/>
      <c r="F1236" s="50">
        <v>43647</v>
      </c>
      <c r="G1236" s="50">
        <v>43830</v>
      </c>
      <c r="H1236" s="150"/>
      <c r="I1236" s="15" t="s">
        <v>23</v>
      </c>
      <c r="J1236" s="15" t="s">
        <v>23</v>
      </c>
      <c r="K1236" s="13">
        <v>25.32</v>
      </c>
      <c r="L1236" s="13">
        <v>2229.5799557848122</v>
      </c>
      <c r="M1236" s="198"/>
    </row>
    <row r="1237" spans="1:13" ht="15" customHeight="1" outlineLevel="1" x14ac:dyDescent="0.25">
      <c r="A1237" s="148"/>
      <c r="B1237" s="148"/>
      <c r="C1237" s="148"/>
      <c r="D1237" s="138"/>
      <c r="E1237" s="138"/>
      <c r="F1237" s="50">
        <v>43466</v>
      </c>
      <c r="G1237" s="50">
        <v>43646</v>
      </c>
      <c r="H1237" s="150"/>
      <c r="I1237" s="15" t="s">
        <v>23</v>
      </c>
      <c r="J1237" s="15" t="s">
        <v>23</v>
      </c>
      <c r="K1237" s="13">
        <v>25.32</v>
      </c>
      <c r="L1237" s="13">
        <v>2441.9209039547945</v>
      </c>
      <c r="M1237" s="196" t="s">
        <v>421</v>
      </c>
    </row>
    <row r="1238" spans="1:13" ht="15" customHeight="1" outlineLevel="1" x14ac:dyDescent="0.25">
      <c r="A1238" s="148"/>
      <c r="B1238" s="148"/>
      <c r="C1238" s="148"/>
      <c r="D1238" s="138"/>
      <c r="E1238" s="138"/>
      <c r="F1238" s="50">
        <v>43647</v>
      </c>
      <c r="G1238" s="50">
        <v>43830</v>
      </c>
      <c r="H1238" s="150"/>
      <c r="I1238" s="15" t="s">
        <v>23</v>
      </c>
      <c r="J1238" s="15" t="s">
        <v>23</v>
      </c>
      <c r="K1238" s="13">
        <v>25.32</v>
      </c>
      <c r="L1238" s="13">
        <v>2441.9209039547945</v>
      </c>
      <c r="M1238" s="198"/>
    </row>
    <row r="1239" spans="1:13" ht="15" customHeight="1" outlineLevel="1" x14ac:dyDescent="0.25">
      <c r="A1239" s="148"/>
      <c r="B1239" s="148"/>
      <c r="C1239" s="148"/>
      <c r="D1239" s="138"/>
      <c r="E1239" s="138"/>
      <c r="F1239" s="50">
        <v>43466</v>
      </c>
      <c r="G1239" s="50">
        <v>43646</v>
      </c>
      <c r="H1239" s="150"/>
      <c r="I1239" s="15" t="s">
        <v>23</v>
      </c>
      <c r="J1239" s="15" t="s">
        <v>23</v>
      </c>
      <c r="K1239" s="13">
        <v>25.32</v>
      </c>
      <c r="L1239" s="13">
        <v>2078.932661475028</v>
      </c>
      <c r="M1239" s="196" t="s">
        <v>422</v>
      </c>
    </row>
    <row r="1240" spans="1:13" ht="15" customHeight="1" outlineLevel="1" x14ac:dyDescent="0.25">
      <c r="A1240" s="148"/>
      <c r="B1240" s="148"/>
      <c r="C1240" s="148"/>
      <c r="D1240" s="138"/>
      <c r="E1240" s="138"/>
      <c r="F1240" s="50">
        <v>43647</v>
      </c>
      <c r="G1240" s="50">
        <v>43830</v>
      </c>
      <c r="H1240" s="150"/>
      <c r="I1240" s="15" t="s">
        <v>23</v>
      </c>
      <c r="J1240" s="15" t="s">
        <v>23</v>
      </c>
      <c r="K1240" s="13">
        <v>25.32</v>
      </c>
      <c r="L1240" s="13">
        <v>2078.932661475028</v>
      </c>
      <c r="M1240" s="198"/>
    </row>
    <row r="1241" spans="1:13" ht="15" customHeight="1" outlineLevel="1" x14ac:dyDescent="0.25">
      <c r="A1241" s="148"/>
      <c r="B1241" s="148"/>
      <c r="C1241" s="148"/>
      <c r="D1241" s="138"/>
      <c r="E1241" s="138"/>
      <c r="F1241" s="50">
        <v>43466</v>
      </c>
      <c r="G1241" s="50">
        <v>43646</v>
      </c>
      <c r="H1241" s="150"/>
      <c r="I1241" s="15" t="s">
        <v>23</v>
      </c>
      <c r="J1241" s="15" t="s">
        <v>23</v>
      </c>
      <c r="K1241" s="13">
        <v>25.32</v>
      </c>
      <c r="L1241" s="13">
        <v>2229.5799557848122</v>
      </c>
      <c r="M1241" s="196" t="s">
        <v>423</v>
      </c>
    </row>
    <row r="1242" spans="1:13" ht="15" customHeight="1" outlineLevel="1" x14ac:dyDescent="0.25">
      <c r="A1242" s="148"/>
      <c r="B1242" s="148"/>
      <c r="C1242" s="148"/>
      <c r="D1242" s="138"/>
      <c r="E1242" s="138"/>
      <c r="F1242" s="50">
        <v>43647</v>
      </c>
      <c r="G1242" s="50">
        <v>43830</v>
      </c>
      <c r="H1242" s="150"/>
      <c r="I1242" s="15" t="s">
        <v>23</v>
      </c>
      <c r="J1242" s="15" t="s">
        <v>23</v>
      </c>
      <c r="K1242" s="13">
        <v>25.32</v>
      </c>
      <c r="L1242" s="13">
        <v>2229.5799557848122</v>
      </c>
      <c r="M1242" s="198"/>
    </row>
    <row r="1243" spans="1:13" ht="15" customHeight="1" outlineLevel="1" x14ac:dyDescent="0.25">
      <c r="A1243" s="148"/>
      <c r="B1243" s="148"/>
      <c r="C1243" s="148"/>
      <c r="D1243" s="138"/>
      <c r="E1243" s="138"/>
      <c r="F1243" s="50">
        <v>43466</v>
      </c>
      <c r="G1243" s="50">
        <v>43646</v>
      </c>
      <c r="H1243" s="150"/>
      <c r="I1243" s="15" t="s">
        <v>23</v>
      </c>
      <c r="J1243" s="15" t="s">
        <v>23</v>
      </c>
      <c r="K1243" s="13">
        <v>25.32</v>
      </c>
      <c r="L1243" s="13">
        <v>2330.9244992295762</v>
      </c>
      <c r="M1243" s="196" t="s">
        <v>424</v>
      </c>
    </row>
    <row r="1244" spans="1:13" ht="15" customHeight="1" outlineLevel="1" x14ac:dyDescent="0.25">
      <c r="A1244" s="148"/>
      <c r="B1244" s="148"/>
      <c r="C1244" s="148"/>
      <c r="D1244" s="138"/>
      <c r="E1244" s="138"/>
      <c r="F1244" s="50">
        <v>43647</v>
      </c>
      <c r="G1244" s="50">
        <v>43830</v>
      </c>
      <c r="H1244" s="150"/>
      <c r="I1244" s="15" t="s">
        <v>23</v>
      </c>
      <c r="J1244" s="15" t="s">
        <v>23</v>
      </c>
      <c r="K1244" s="13">
        <v>25.32</v>
      </c>
      <c r="L1244" s="13">
        <v>2330.9244992295762</v>
      </c>
      <c r="M1244" s="198"/>
    </row>
    <row r="1245" spans="1:13" ht="15" customHeight="1" outlineLevel="1" x14ac:dyDescent="0.25">
      <c r="A1245" s="148"/>
      <c r="B1245" s="148"/>
      <c r="C1245" s="148"/>
      <c r="D1245" s="138"/>
      <c r="E1245" s="138"/>
      <c r="F1245" s="50">
        <v>43466</v>
      </c>
      <c r="G1245" s="50">
        <v>43646</v>
      </c>
      <c r="H1245" s="150"/>
      <c r="I1245" s="15" t="s">
        <v>23</v>
      </c>
      <c r="J1245" s="15" t="s">
        <v>23</v>
      </c>
      <c r="K1245" s="13">
        <v>25.32</v>
      </c>
      <c r="L1245" s="13">
        <v>2521.9838844123287</v>
      </c>
      <c r="M1245" s="196" t="s">
        <v>425</v>
      </c>
    </row>
    <row r="1246" spans="1:13" ht="15" customHeight="1" outlineLevel="1" x14ac:dyDescent="0.25">
      <c r="A1246" s="148"/>
      <c r="B1246" s="148"/>
      <c r="C1246" s="148"/>
      <c r="D1246" s="138"/>
      <c r="E1246" s="138"/>
      <c r="F1246" s="50">
        <v>43647</v>
      </c>
      <c r="G1246" s="50">
        <v>43830</v>
      </c>
      <c r="H1246" s="150"/>
      <c r="I1246" s="15" t="s">
        <v>23</v>
      </c>
      <c r="J1246" s="15" t="s">
        <v>23</v>
      </c>
      <c r="K1246" s="13">
        <v>25.32</v>
      </c>
      <c r="L1246" s="13">
        <v>2521.9838844123287</v>
      </c>
      <c r="M1246" s="198"/>
    </row>
    <row r="1247" spans="1:13" ht="15" customHeight="1" outlineLevel="1" x14ac:dyDescent="0.25">
      <c r="A1247" s="148"/>
      <c r="B1247" s="148"/>
      <c r="C1247" s="148"/>
      <c r="D1247" s="138"/>
      <c r="E1247" s="138"/>
      <c r="F1247" s="50">
        <v>43466</v>
      </c>
      <c r="G1247" s="50">
        <v>43646</v>
      </c>
      <c r="H1247" s="150"/>
      <c r="I1247" s="15" t="s">
        <v>23</v>
      </c>
      <c r="J1247" s="15" t="s">
        <v>23</v>
      </c>
      <c r="K1247" s="13">
        <v>25.32</v>
      </c>
      <c r="L1247" s="13">
        <v>2136.6807909604454</v>
      </c>
      <c r="M1247" s="196" t="s">
        <v>426</v>
      </c>
    </row>
    <row r="1248" spans="1:13" ht="15" customHeight="1" outlineLevel="1" x14ac:dyDescent="0.25">
      <c r="A1248" s="148"/>
      <c r="B1248" s="148"/>
      <c r="C1248" s="148"/>
      <c r="D1248" s="138"/>
      <c r="E1248" s="138"/>
      <c r="F1248" s="50">
        <v>43647</v>
      </c>
      <c r="G1248" s="50">
        <v>43830</v>
      </c>
      <c r="H1248" s="150"/>
      <c r="I1248" s="15" t="s">
        <v>23</v>
      </c>
      <c r="J1248" s="15" t="s">
        <v>23</v>
      </c>
      <c r="K1248" s="13">
        <v>25.32</v>
      </c>
      <c r="L1248" s="13">
        <v>2136.6807909604454</v>
      </c>
      <c r="M1248" s="198"/>
    </row>
    <row r="1249" spans="1:13" ht="15" customHeight="1" outlineLevel="1" x14ac:dyDescent="0.25">
      <c r="A1249" s="148"/>
      <c r="B1249" s="148"/>
      <c r="C1249" s="148"/>
      <c r="D1249" s="138"/>
      <c r="E1249" s="138"/>
      <c r="F1249" s="50">
        <v>43466</v>
      </c>
      <c r="G1249" s="50">
        <v>43646</v>
      </c>
      <c r="H1249" s="150"/>
      <c r="I1249" s="15" t="s">
        <v>23</v>
      </c>
      <c r="J1249" s="15" t="s">
        <v>23</v>
      </c>
      <c r="K1249" s="13">
        <v>25.32</v>
      </c>
      <c r="L1249" s="13">
        <v>2330.9244992295762</v>
      </c>
      <c r="M1249" s="196" t="s">
        <v>427</v>
      </c>
    </row>
    <row r="1250" spans="1:13" ht="15" customHeight="1" outlineLevel="1" x14ac:dyDescent="0.25">
      <c r="A1250" s="147"/>
      <c r="B1250" s="147"/>
      <c r="C1250" s="147"/>
      <c r="D1250" s="141"/>
      <c r="E1250" s="141"/>
      <c r="F1250" s="50">
        <v>43647</v>
      </c>
      <c r="G1250" s="50">
        <v>43830</v>
      </c>
      <c r="H1250" s="151"/>
      <c r="I1250" s="15" t="s">
        <v>23</v>
      </c>
      <c r="J1250" s="15" t="s">
        <v>23</v>
      </c>
      <c r="K1250" s="13">
        <v>25.32</v>
      </c>
      <c r="L1250" s="13">
        <v>2330.9244992295762</v>
      </c>
      <c r="M1250" s="198"/>
    </row>
    <row r="1251" spans="1:13" ht="15" customHeight="1" outlineLevel="1" x14ac:dyDescent="0.25">
      <c r="A1251" s="146" t="s">
        <v>55</v>
      </c>
      <c r="B1251" s="146" t="s">
        <v>278</v>
      </c>
      <c r="C1251" s="146" t="s">
        <v>111</v>
      </c>
      <c r="D1251" s="137">
        <v>42723</v>
      </c>
      <c r="E1251" s="137" t="s">
        <v>637</v>
      </c>
      <c r="F1251" s="12">
        <v>43466</v>
      </c>
      <c r="G1251" s="12">
        <v>43646</v>
      </c>
      <c r="H1251" s="142" t="s">
        <v>636</v>
      </c>
      <c r="I1251" s="66">
        <v>13.63</v>
      </c>
      <c r="J1251" s="13">
        <v>1871.72</v>
      </c>
      <c r="K1251" s="15" t="s">
        <v>23</v>
      </c>
      <c r="L1251" s="15" t="s">
        <v>23</v>
      </c>
      <c r="M1251" s="153"/>
    </row>
    <row r="1252" spans="1:13" ht="15" customHeight="1" outlineLevel="1" x14ac:dyDescent="0.25">
      <c r="A1252" s="148"/>
      <c r="B1252" s="148"/>
      <c r="C1252" s="148"/>
      <c r="D1252" s="141"/>
      <c r="E1252" s="141"/>
      <c r="F1252" s="12">
        <v>43647</v>
      </c>
      <c r="G1252" s="12">
        <v>43830</v>
      </c>
      <c r="H1252" s="143"/>
      <c r="I1252" s="66">
        <v>134.99</v>
      </c>
      <c r="J1252" s="13">
        <v>1933.59</v>
      </c>
      <c r="K1252" s="15" t="s">
        <v>23</v>
      </c>
      <c r="L1252" s="15" t="s">
        <v>23</v>
      </c>
      <c r="M1252" s="152"/>
    </row>
    <row r="1253" spans="1:13" ht="15" customHeight="1" outlineLevel="1" x14ac:dyDescent="0.25">
      <c r="A1253" s="148"/>
      <c r="B1253" s="148"/>
      <c r="C1253" s="148"/>
      <c r="D1253" s="137">
        <v>43454</v>
      </c>
      <c r="E1253" s="137" t="s">
        <v>638</v>
      </c>
      <c r="F1253" s="50">
        <v>43466</v>
      </c>
      <c r="G1253" s="50">
        <v>43646</v>
      </c>
      <c r="H1253" s="149"/>
      <c r="I1253" s="15" t="s">
        <v>23</v>
      </c>
      <c r="J1253" s="15" t="s">
        <v>23</v>
      </c>
      <c r="K1253" s="13">
        <v>16.350000000000001</v>
      </c>
      <c r="L1253" s="13">
        <v>2064.06</v>
      </c>
      <c r="M1253" s="196" t="s">
        <v>420</v>
      </c>
    </row>
    <row r="1254" spans="1:13" ht="15" customHeight="1" outlineLevel="1" x14ac:dyDescent="0.25">
      <c r="A1254" s="148"/>
      <c r="B1254" s="148"/>
      <c r="C1254" s="148"/>
      <c r="D1254" s="138"/>
      <c r="E1254" s="138"/>
      <c r="F1254" s="50">
        <v>43647</v>
      </c>
      <c r="G1254" s="50">
        <v>43830</v>
      </c>
      <c r="H1254" s="150"/>
      <c r="I1254" s="15" t="s">
        <v>23</v>
      </c>
      <c r="J1254" s="15" t="s">
        <v>23</v>
      </c>
      <c r="K1254" s="13">
        <v>16.68</v>
      </c>
      <c r="L1254" s="13">
        <v>2105.34</v>
      </c>
      <c r="M1254" s="198"/>
    </row>
    <row r="1255" spans="1:13" ht="15" customHeight="1" outlineLevel="1" x14ac:dyDescent="0.25">
      <c r="A1255" s="148"/>
      <c r="B1255" s="148"/>
      <c r="C1255" s="148"/>
      <c r="D1255" s="138"/>
      <c r="E1255" s="138"/>
      <c r="F1255" s="50">
        <v>43466</v>
      </c>
      <c r="G1255" s="50">
        <v>43646</v>
      </c>
      <c r="H1255" s="150"/>
      <c r="I1255" s="15" t="s">
        <v>23</v>
      </c>
      <c r="J1255" s="15" t="s">
        <v>23</v>
      </c>
      <c r="K1255" s="13">
        <v>16.350000000000001</v>
      </c>
      <c r="L1255" s="13">
        <v>2246.06</v>
      </c>
      <c r="M1255" s="196" t="s">
        <v>421</v>
      </c>
    </row>
    <row r="1256" spans="1:13" ht="15" customHeight="1" outlineLevel="1" x14ac:dyDescent="0.25">
      <c r="A1256" s="148"/>
      <c r="B1256" s="148"/>
      <c r="C1256" s="148"/>
      <c r="D1256" s="138"/>
      <c r="E1256" s="138"/>
      <c r="F1256" s="50">
        <v>43647</v>
      </c>
      <c r="G1256" s="50">
        <v>43830</v>
      </c>
      <c r="H1256" s="150"/>
      <c r="I1256" s="15" t="s">
        <v>23</v>
      </c>
      <c r="J1256" s="15" t="s">
        <v>23</v>
      </c>
      <c r="K1256" s="13">
        <v>16.68</v>
      </c>
      <c r="L1256" s="13">
        <v>2290.9899999999998</v>
      </c>
      <c r="M1256" s="198"/>
    </row>
    <row r="1257" spans="1:13" ht="15" customHeight="1" outlineLevel="1" x14ac:dyDescent="0.25">
      <c r="A1257" s="148"/>
      <c r="B1257" s="148"/>
      <c r="C1257" s="148"/>
      <c r="D1257" s="138"/>
      <c r="E1257" s="138"/>
      <c r="F1257" s="50">
        <v>43466</v>
      </c>
      <c r="G1257" s="50">
        <v>43646</v>
      </c>
      <c r="H1257" s="150"/>
      <c r="I1257" s="15" t="s">
        <v>23</v>
      </c>
      <c r="J1257" s="15" t="s">
        <v>23</v>
      </c>
      <c r="K1257" s="13">
        <v>16.350000000000001</v>
      </c>
      <c r="L1257" s="13">
        <v>1924.6</v>
      </c>
      <c r="M1257" s="196" t="s">
        <v>422</v>
      </c>
    </row>
    <row r="1258" spans="1:13" ht="15" customHeight="1" outlineLevel="1" x14ac:dyDescent="0.25">
      <c r="A1258" s="148"/>
      <c r="B1258" s="148"/>
      <c r="C1258" s="148"/>
      <c r="D1258" s="138"/>
      <c r="E1258" s="138"/>
      <c r="F1258" s="50">
        <v>43647</v>
      </c>
      <c r="G1258" s="50">
        <v>43830</v>
      </c>
      <c r="H1258" s="150"/>
      <c r="I1258" s="15" t="s">
        <v>23</v>
      </c>
      <c r="J1258" s="15" t="s">
        <v>23</v>
      </c>
      <c r="K1258" s="13">
        <v>16.68</v>
      </c>
      <c r="L1258" s="13">
        <v>1963.09</v>
      </c>
      <c r="M1258" s="198"/>
    </row>
    <row r="1259" spans="1:13" ht="15" customHeight="1" outlineLevel="1" x14ac:dyDescent="0.25">
      <c r="A1259" s="148"/>
      <c r="B1259" s="148"/>
      <c r="C1259" s="148"/>
      <c r="D1259" s="138"/>
      <c r="E1259" s="138"/>
      <c r="F1259" s="50">
        <v>43466</v>
      </c>
      <c r="G1259" s="50">
        <v>43646</v>
      </c>
      <c r="H1259" s="150"/>
      <c r="I1259" s="15" t="s">
        <v>23</v>
      </c>
      <c r="J1259" s="15" t="s">
        <v>23</v>
      </c>
      <c r="K1259" s="13">
        <v>16.350000000000001</v>
      </c>
      <c r="L1259" s="13">
        <v>2064.06</v>
      </c>
      <c r="M1259" s="196" t="s">
        <v>423</v>
      </c>
    </row>
    <row r="1260" spans="1:13" ht="15" customHeight="1" outlineLevel="1" x14ac:dyDescent="0.25">
      <c r="A1260" s="148"/>
      <c r="B1260" s="148"/>
      <c r="C1260" s="148"/>
      <c r="D1260" s="138"/>
      <c r="E1260" s="138"/>
      <c r="F1260" s="50">
        <v>43647</v>
      </c>
      <c r="G1260" s="50">
        <v>43830</v>
      </c>
      <c r="H1260" s="150"/>
      <c r="I1260" s="15" t="s">
        <v>23</v>
      </c>
      <c r="J1260" s="15" t="s">
        <v>23</v>
      </c>
      <c r="K1260" s="13">
        <v>16.68</v>
      </c>
      <c r="L1260" s="13">
        <v>2105.34</v>
      </c>
      <c r="M1260" s="198"/>
    </row>
    <row r="1261" spans="1:13" ht="15" customHeight="1" outlineLevel="1" x14ac:dyDescent="0.25">
      <c r="A1261" s="148"/>
      <c r="B1261" s="148"/>
      <c r="C1261" s="148"/>
      <c r="D1261" s="138"/>
      <c r="E1261" s="138"/>
      <c r="F1261" s="50">
        <v>43466</v>
      </c>
      <c r="G1261" s="50">
        <v>43646</v>
      </c>
      <c r="H1261" s="150"/>
      <c r="I1261" s="15" t="s">
        <v>23</v>
      </c>
      <c r="J1261" s="15" t="s">
        <v>23</v>
      </c>
      <c r="K1261" s="13">
        <v>16.350000000000001</v>
      </c>
      <c r="L1261" s="13">
        <v>2157.88</v>
      </c>
      <c r="M1261" s="196" t="s">
        <v>424</v>
      </c>
    </row>
    <row r="1262" spans="1:13" ht="15" customHeight="1" outlineLevel="1" x14ac:dyDescent="0.25">
      <c r="A1262" s="148"/>
      <c r="B1262" s="148"/>
      <c r="C1262" s="148"/>
      <c r="D1262" s="138"/>
      <c r="E1262" s="138"/>
      <c r="F1262" s="50">
        <v>43647</v>
      </c>
      <c r="G1262" s="50">
        <v>43830</v>
      </c>
      <c r="H1262" s="150"/>
      <c r="I1262" s="15" t="s">
        <v>23</v>
      </c>
      <c r="J1262" s="15" t="s">
        <v>23</v>
      </c>
      <c r="K1262" s="13">
        <v>16.68</v>
      </c>
      <c r="L1262" s="13">
        <v>2201.04</v>
      </c>
      <c r="M1262" s="198"/>
    </row>
    <row r="1263" spans="1:13" ht="15" customHeight="1" outlineLevel="1" x14ac:dyDescent="0.25">
      <c r="A1263" s="148"/>
      <c r="B1263" s="148"/>
      <c r="C1263" s="148"/>
      <c r="D1263" s="138"/>
      <c r="E1263" s="138"/>
      <c r="F1263" s="50">
        <v>43466</v>
      </c>
      <c r="G1263" s="50">
        <v>43646</v>
      </c>
      <c r="H1263" s="150"/>
      <c r="I1263" s="15" t="s">
        <v>23</v>
      </c>
      <c r="J1263" s="15" t="s">
        <v>23</v>
      </c>
      <c r="K1263" s="13">
        <v>16.350000000000001</v>
      </c>
      <c r="L1263" s="13">
        <v>2246.06</v>
      </c>
      <c r="M1263" s="196" t="s">
        <v>425</v>
      </c>
    </row>
    <row r="1264" spans="1:13" ht="15" customHeight="1" outlineLevel="1" x14ac:dyDescent="0.25">
      <c r="A1264" s="148"/>
      <c r="B1264" s="148"/>
      <c r="C1264" s="148"/>
      <c r="D1264" s="138"/>
      <c r="E1264" s="138"/>
      <c r="F1264" s="50">
        <v>43647</v>
      </c>
      <c r="G1264" s="50">
        <v>43830</v>
      </c>
      <c r="H1264" s="150"/>
      <c r="I1264" s="15" t="s">
        <v>23</v>
      </c>
      <c r="J1264" s="15" t="s">
        <v>23</v>
      </c>
      <c r="K1264" s="13">
        <v>16.68</v>
      </c>
      <c r="L1264" s="13">
        <v>2290.9899999999998</v>
      </c>
      <c r="M1264" s="198"/>
    </row>
    <row r="1265" spans="1:13" ht="15" customHeight="1" outlineLevel="1" x14ac:dyDescent="0.25">
      <c r="A1265" s="148"/>
      <c r="B1265" s="148"/>
      <c r="C1265" s="148"/>
      <c r="D1265" s="138"/>
      <c r="E1265" s="138"/>
      <c r="F1265" s="50">
        <v>43466</v>
      </c>
      <c r="G1265" s="50">
        <v>43646</v>
      </c>
      <c r="H1265" s="150"/>
      <c r="I1265" s="15" t="s">
        <v>23</v>
      </c>
      <c r="J1265" s="15" t="s">
        <v>23</v>
      </c>
      <c r="K1265" s="13">
        <v>16.350000000000001</v>
      </c>
      <c r="L1265" s="13">
        <v>1978.06</v>
      </c>
      <c r="M1265" s="196" t="s">
        <v>426</v>
      </c>
    </row>
    <row r="1266" spans="1:13" ht="15" customHeight="1" outlineLevel="1" x14ac:dyDescent="0.25">
      <c r="A1266" s="148"/>
      <c r="B1266" s="148"/>
      <c r="C1266" s="148"/>
      <c r="D1266" s="138"/>
      <c r="E1266" s="138"/>
      <c r="F1266" s="50">
        <v>43647</v>
      </c>
      <c r="G1266" s="50">
        <v>43830</v>
      </c>
      <c r="H1266" s="150"/>
      <c r="I1266" s="15" t="s">
        <v>23</v>
      </c>
      <c r="J1266" s="15" t="s">
        <v>23</v>
      </c>
      <c r="K1266" s="13">
        <v>16.68</v>
      </c>
      <c r="L1266" s="13">
        <v>2017.62</v>
      </c>
      <c r="M1266" s="198"/>
    </row>
    <row r="1267" spans="1:13" ht="15" customHeight="1" outlineLevel="1" x14ac:dyDescent="0.25">
      <c r="A1267" s="148"/>
      <c r="B1267" s="148"/>
      <c r="C1267" s="148"/>
      <c r="D1267" s="138"/>
      <c r="E1267" s="138"/>
      <c r="F1267" s="50">
        <v>43466</v>
      </c>
      <c r="G1267" s="50">
        <v>43646</v>
      </c>
      <c r="H1267" s="150"/>
      <c r="I1267" s="15" t="s">
        <v>23</v>
      </c>
      <c r="J1267" s="15" t="s">
        <v>23</v>
      </c>
      <c r="K1267" s="13">
        <v>16.350000000000001</v>
      </c>
      <c r="L1267" s="13">
        <v>2157.88</v>
      </c>
      <c r="M1267" s="196" t="s">
        <v>427</v>
      </c>
    </row>
    <row r="1268" spans="1:13" ht="15" customHeight="1" outlineLevel="1" x14ac:dyDescent="0.25">
      <c r="A1268" s="147"/>
      <c r="B1268" s="147"/>
      <c r="C1268" s="147"/>
      <c r="D1268" s="141"/>
      <c r="E1268" s="141"/>
      <c r="F1268" s="50">
        <v>43647</v>
      </c>
      <c r="G1268" s="50">
        <v>43830</v>
      </c>
      <c r="H1268" s="151"/>
      <c r="I1268" s="15" t="s">
        <v>23</v>
      </c>
      <c r="J1268" s="15" t="s">
        <v>23</v>
      </c>
      <c r="K1268" s="13">
        <v>16.68</v>
      </c>
      <c r="L1268" s="13">
        <v>2201.04</v>
      </c>
      <c r="M1268" s="198"/>
    </row>
    <row r="1269" spans="1:13" ht="15" customHeight="1" outlineLevel="1" x14ac:dyDescent="0.25">
      <c r="A1269" s="146" t="s">
        <v>55</v>
      </c>
      <c r="B1269" s="146" t="s">
        <v>398</v>
      </c>
      <c r="C1269" s="146" t="s">
        <v>571</v>
      </c>
      <c r="D1269" s="137">
        <v>43454</v>
      </c>
      <c r="E1269" s="137" t="s">
        <v>481</v>
      </c>
      <c r="F1269" s="12">
        <v>43466</v>
      </c>
      <c r="G1269" s="12">
        <v>43646</v>
      </c>
      <c r="H1269" s="149"/>
      <c r="I1269" s="66">
        <v>39.020000000000003</v>
      </c>
      <c r="J1269" s="13">
        <v>2710.1</v>
      </c>
      <c r="K1269" s="15" t="s">
        <v>23</v>
      </c>
      <c r="L1269" s="15" t="s">
        <v>23</v>
      </c>
      <c r="M1269" s="153"/>
    </row>
    <row r="1270" spans="1:13" ht="15" customHeight="1" outlineLevel="1" x14ac:dyDescent="0.25">
      <c r="A1270" s="148"/>
      <c r="B1270" s="148"/>
      <c r="C1270" s="148"/>
      <c r="D1270" s="141"/>
      <c r="E1270" s="141"/>
      <c r="F1270" s="12">
        <v>43647</v>
      </c>
      <c r="G1270" s="12">
        <v>43830</v>
      </c>
      <c r="H1270" s="151"/>
      <c r="I1270" s="66">
        <v>41.55</v>
      </c>
      <c r="J1270" s="13">
        <v>2734.19</v>
      </c>
      <c r="K1270" s="15" t="s">
        <v>23</v>
      </c>
      <c r="L1270" s="15" t="s">
        <v>23</v>
      </c>
      <c r="M1270" s="152"/>
    </row>
    <row r="1271" spans="1:13" ht="15" customHeight="1" outlineLevel="1" x14ac:dyDescent="0.25">
      <c r="A1271" s="148"/>
      <c r="B1271" s="148"/>
      <c r="C1271" s="148"/>
      <c r="D1271" s="137">
        <f>$D$1469</f>
        <v>43454</v>
      </c>
      <c r="E1271" s="137" t="str">
        <f>$E$1469</f>
        <v>673-п</v>
      </c>
      <c r="F1271" s="50">
        <v>43466</v>
      </c>
      <c r="G1271" s="50">
        <v>43646</v>
      </c>
      <c r="H1271" s="149"/>
      <c r="I1271" s="15" t="s">
        <v>23</v>
      </c>
      <c r="J1271" s="15" t="s">
        <v>23</v>
      </c>
      <c r="K1271" s="13">
        <v>30.8</v>
      </c>
      <c r="L1271" s="13">
        <v>2073.9899999999998</v>
      </c>
      <c r="M1271" s="196" t="s">
        <v>420</v>
      </c>
    </row>
    <row r="1272" spans="1:13" ht="15" customHeight="1" outlineLevel="1" x14ac:dyDescent="0.25">
      <c r="A1272" s="148"/>
      <c r="B1272" s="148"/>
      <c r="C1272" s="148"/>
      <c r="D1272" s="138"/>
      <c r="E1272" s="138"/>
      <c r="F1272" s="50">
        <v>43647</v>
      </c>
      <c r="G1272" s="50">
        <v>43830</v>
      </c>
      <c r="H1272" s="150"/>
      <c r="I1272" s="15" t="s">
        <v>23</v>
      </c>
      <c r="J1272" s="15" t="s">
        <v>23</v>
      </c>
      <c r="K1272" s="13">
        <v>31.42</v>
      </c>
      <c r="L1272" s="13">
        <v>2115.4699999999998</v>
      </c>
      <c r="M1272" s="198"/>
    </row>
    <row r="1273" spans="1:13" ht="15" customHeight="1" outlineLevel="1" x14ac:dyDescent="0.25">
      <c r="A1273" s="148"/>
      <c r="B1273" s="148"/>
      <c r="C1273" s="148"/>
      <c r="D1273" s="138"/>
      <c r="E1273" s="138"/>
      <c r="F1273" s="50">
        <v>43466</v>
      </c>
      <c r="G1273" s="50">
        <v>43646</v>
      </c>
      <c r="H1273" s="150"/>
      <c r="I1273" s="15" t="s">
        <v>23</v>
      </c>
      <c r="J1273" s="15" t="s">
        <v>23</v>
      </c>
      <c r="K1273" s="13">
        <f>$K$1271</f>
        <v>30.8</v>
      </c>
      <c r="L1273" s="13">
        <v>2271.5100000000002</v>
      </c>
      <c r="M1273" s="196" t="s">
        <v>421</v>
      </c>
    </row>
    <row r="1274" spans="1:13" ht="15" customHeight="1" outlineLevel="1" x14ac:dyDescent="0.25">
      <c r="A1274" s="148"/>
      <c r="B1274" s="148"/>
      <c r="C1274" s="148"/>
      <c r="D1274" s="138"/>
      <c r="E1274" s="138"/>
      <c r="F1274" s="50">
        <v>43647</v>
      </c>
      <c r="G1274" s="50">
        <v>43830</v>
      </c>
      <c r="H1274" s="150"/>
      <c r="I1274" s="15" t="s">
        <v>23</v>
      </c>
      <c r="J1274" s="15" t="s">
        <v>23</v>
      </c>
      <c r="K1274" s="13">
        <f>$K$1272</f>
        <v>31.42</v>
      </c>
      <c r="L1274" s="13">
        <v>2316.94</v>
      </c>
      <c r="M1274" s="198"/>
    </row>
    <row r="1275" spans="1:13" ht="15" customHeight="1" outlineLevel="1" x14ac:dyDescent="0.25">
      <c r="A1275" s="148"/>
      <c r="B1275" s="148"/>
      <c r="C1275" s="148"/>
      <c r="D1275" s="138"/>
      <c r="E1275" s="138"/>
      <c r="F1275" s="50">
        <v>43466</v>
      </c>
      <c r="G1275" s="50">
        <v>43646</v>
      </c>
      <c r="H1275" s="150"/>
      <c r="I1275" s="15" t="s">
        <v>23</v>
      </c>
      <c r="J1275" s="15" t="s">
        <v>23</v>
      </c>
      <c r="K1275" s="13">
        <f>$K$1271</f>
        <v>30.8</v>
      </c>
      <c r="L1275" s="13">
        <v>1933.85</v>
      </c>
      <c r="M1275" s="196" t="s">
        <v>422</v>
      </c>
    </row>
    <row r="1276" spans="1:13" ht="15" customHeight="1" outlineLevel="1" x14ac:dyDescent="0.25">
      <c r="A1276" s="148"/>
      <c r="B1276" s="148"/>
      <c r="C1276" s="148"/>
      <c r="D1276" s="138"/>
      <c r="E1276" s="138"/>
      <c r="F1276" s="50">
        <v>43647</v>
      </c>
      <c r="G1276" s="50">
        <v>43830</v>
      </c>
      <c r="H1276" s="150"/>
      <c r="I1276" s="15" t="s">
        <v>23</v>
      </c>
      <c r="J1276" s="15" t="s">
        <v>23</v>
      </c>
      <c r="K1276" s="13">
        <f>$K$1272</f>
        <v>31.42</v>
      </c>
      <c r="L1276" s="13">
        <v>1972.53</v>
      </c>
      <c r="M1276" s="198"/>
    </row>
    <row r="1277" spans="1:13" ht="15" customHeight="1" outlineLevel="1" x14ac:dyDescent="0.25">
      <c r="A1277" s="148"/>
      <c r="B1277" s="148"/>
      <c r="C1277" s="148"/>
      <c r="D1277" s="138"/>
      <c r="E1277" s="138"/>
      <c r="F1277" s="50">
        <v>43466</v>
      </c>
      <c r="G1277" s="50">
        <v>43646</v>
      </c>
      <c r="H1277" s="150"/>
      <c r="I1277" s="15" t="s">
        <v>23</v>
      </c>
      <c r="J1277" s="15" t="s">
        <v>23</v>
      </c>
      <c r="K1277" s="13">
        <f>$K$1271</f>
        <v>30.8</v>
      </c>
      <c r="L1277" s="13">
        <v>2073.9899999999998</v>
      </c>
      <c r="M1277" s="196" t="s">
        <v>423</v>
      </c>
    </row>
    <row r="1278" spans="1:13" ht="15" customHeight="1" outlineLevel="1" x14ac:dyDescent="0.25">
      <c r="A1278" s="148"/>
      <c r="B1278" s="148"/>
      <c r="C1278" s="148"/>
      <c r="D1278" s="138"/>
      <c r="E1278" s="138"/>
      <c r="F1278" s="50">
        <v>43647</v>
      </c>
      <c r="G1278" s="50">
        <v>43830</v>
      </c>
      <c r="H1278" s="150"/>
      <c r="I1278" s="15" t="s">
        <v>23</v>
      </c>
      <c r="J1278" s="15" t="s">
        <v>23</v>
      </c>
      <c r="K1278" s="13">
        <f>$K$1272</f>
        <v>31.42</v>
      </c>
      <c r="L1278" s="13">
        <v>2115.4699999999998</v>
      </c>
      <c r="M1278" s="198"/>
    </row>
    <row r="1279" spans="1:13" ht="15" customHeight="1" outlineLevel="1" x14ac:dyDescent="0.25">
      <c r="A1279" s="148"/>
      <c r="B1279" s="148"/>
      <c r="C1279" s="148"/>
      <c r="D1279" s="138"/>
      <c r="E1279" s="138"/>
      <c r="F1279" s="50">
        <v>43466</v>
      </c>
      <c r="G1279" s="50">
        <v>43646</v>
      </c>
      <c r="H1279" s="150"/>
      <c r="I1279" s="15" t="s">
        <v>23</v>
      </c>
      <c r="J1279" s="15" t="s">
        <v>23</v>
      </c>
      <c r="K1279" s="13">
        <f>$K$1271</f>
        <v>30.8</v>
      </c>
      <c r="L1279" s="13">
        <v>2168.2600000000002</v>
      </c>
      <c r="M1279" s="196" t="s">
        <v>424</v>
      </c>
    </row>
    <row r="1280" spans="1:13" ht="15" customHeight="1" outlineLevel="1" x14ac:dyDescent="0.25">
      <c r="A1280" s="148"/>
      <c r="B1280" s="148"/>
      <c r="C1280" s="148"/>
      <c r="D1280" s="138"/>
      <c r="E1280" s="138"/>
      <c r="F1280" s="50">
        <v>43647</v>
      </c>
      <c r="G1280" s="50">
        <v>43830</v>
      </c>
      <c r="H1280" s="150"/>
      <c r="I1280" s="15" t="s">
        <v>23</v>
      </c>
      <c r="J1280" s="15" t="s">
        <v>23</v>
      </c>
      <c r="K1280" s="13">
        <f>$K$1272</f>
        <v>31.42</v>
      </c>
      <c r="L1280" s="13">
        <v>2211.62</v>
      </c>
      <c r="M1280" s="198"/>
    </row>
    <row r="1281" spans="1:15" ht="15" customHeight="1" outlineLevel="1" x14ac:dyDescent="0.25">
      <c r="A1281" s="148"/>
      <c r="B1281" s="148"/>
      <c r="C1281" s="148"/>
      <c r="D1281" s="138"/>
      <c r="E1281" s="138"/>
      <c r="F1281" s="50">
        <v>43466</v>
      </c>
      <c r="G1281" s="50">
        <v>43646</v>
      </c>
      <c r="H1281" s="150"/>
      <c r="I1281" s="15" t="s">
        <v>23</v>
      </c>
      <c r="J1281" s="15" t="s">
        <v>23</v>
      </c>
      <c r="K1281" s="13">
        <f>$K$1271</f>
        <v>30.8</v>
      </c>
      <c r="L1281" s="13">
        <v>2345.98</v>
      </c>
      <c r="M1281" s="196" t="s">
        <v>425</v>
      </c>
    </row>
    <row r="1282" spans="1:15" ht="15" customHeight="1" outlineLevel="1" x14ac:dyDescent="0.25">
      <c r="A1282" s="148"/>
      <c r="B1282" s="148"/>
      <c r="C1282" s="148"/>
      <c r="D1282" s="138"/>
      <c r="E1282" s="138"/>
      <c r="F1282" s="50">
        <v>43647</v>
      </c>
      <c r="G1282" s="50">
        <v>43830</v>
      </c>
      <c r="H1282" s="150"/>
      <c r="I1282" s="15" t="s">
        <v>23</v>
      </c>
      <c r="J1282" s="15" t="s">
        <v>23</v>
      </c>
      <c r="K1282" s="13">
        <f>$K$1272</f>
        <v>31.42</v>
      </c>
      <c r="L1282" s="13">
        <v>2392.9</v>
      </c>
      <c r="M1282" s="198"/>
    </row>
    <row r="1283" spans="1:15" ht="15" customHeight="1" outlineLevel="1" x14ac:dyDescent="0.25">
      <c r="A1283" s="148"/>
      <c r="B1283" s="148"/>
      <c r="C1283" s="148"/>
      <c r="D1283" s="138"/>
      <c r="E1283" s="138"/>
      <c r="F1283" s="50">
        <v>43466</v>
      </c>
      <c r="G1283" s="50">
        <v>43646</v>
      </c>
      <c r="H1283" s="150"/>
      <c r="I1283" s="15" t="s">
        <v>23</v>
      </c>
      <c r="J1283" s="15" t="s">
        <v>23</v>
      </c>
      <c r="K1283" s="13">
        <f>$K$1271</f>
        <v>30.8</v>
      </c>
      <c r="L1283" s="13">
        <v>1987.57</v>
      </c>
      <c r="M1283" s="196" t="s">
        <v>426</v>
      </c>
    </row>
    <row r="1284" spans="1:15" ht="15" customHeight="1" outlineLevel="1" x14ac:dyDescent="0.25">
      <c r="A1284" s="148"/>
      <c r="B1284" s="148"/>
      <c r="C1284" s="148"/>
      <c r="D1284" s="138"/>
      <c r="E1284" s="138"/>
      <c r="F1284" s="50">
        <v>43647</v>
      </c>
      <c r="G1284" s="50">
        <v>43830</v>
      </c>
      <c r="H1284" s="150"/>
      <c r="I1284" s="15" t="s">
        <v>23</v>
      </c>
      <c r="J1284" s="15" t="s">
        <v>23</v>
      </c>
      <c r="K1284" s="13">
        <f>$K$1272</f>
        <v>31.42</v>
      </c>
      <c r="L1284" s="13">
        <v>2027.32</v>
      </c>
      <c r="M1284" s="198"/>
    </row>
    <row r="1285" spans="1:15" ht="15" customHeight="1" outlineLevel="1" x14ac:dyDescent="0.25">
      <c r="A1285" s="148"/>
      <c r="B1285" s="148"/>
      <c r="C1285" s="148"/>
      <c r="D1285" s="138"/>
      <c r="E1285" s="138"/>
      <c r="F1285" s="50">
        <v>43466</v>
      </c>
      <c r="G1285" s="50">
        <v>43646</v>
      </c>
      <c r="H1285" s="150"/>
      <c r="I1285" s="15" t="s">
        <v>23</v>
      </c>
      <c r="J1285" s="15" t="s">
        <v>23</v>
      </c>
      <c r="K1285" s="13">
        <f>$K$1271</f>
        <v>30.8</v>
      </c>
      <c r="L1285" s="13">
        <v>2168.2600000000002</v>
      </c>
      <c r="M1285" s="196" t="s">
        <v>427</v>
      </c>
    </row>
    <row r="1286" spans="1:15" ht="15" customHeight="1" outlineLevel="1" x14ac:dyDescent="0.25">
      <c r="A1286" s="147"/>
      <c r="B1286" s="147"/>
      <c r="C1286" s="148"/>
      <c r="D1286" s="141"/>
      <c r="E1286" s="141"/>
      <c r="F1286" s="50">
        <v>43647</v>
      </c>
      <c r="G1286" s="50">
        <v>43830</v>
      </c>
      <c r="H1286" s="151"/>
      <c r="I1286" s="15" t="s">
        <v>23</v>
      </c>
      <c r="J1286" s="15" t="s">
        <v>23</v>
      </c>
      <c r="K1286" s="13">
        <f>$K$1272</f>
        <v>31.42</v>
      </c>
      <c r="L1286" s="13">
        <v>2211.62</v>
      </c>
      <c r="M1286" s="198"/>
    </row>
    <row r="1287" spans="1:15" ht="15" customHeight="1" outlineLevel="1" x14ac:dyDescent="0.25">
      <c r="A1287" s="146" t="s">
        <v>55</v>
      </c>
      <c r="B1287" s="146" t="s">
        <v>399</v>
      </c>
      <c r="C1287" s="148"/>
      <c r="D1287" s="137">
        <f>$D$1269</f>
        <v>43454</v>
      </c>
      <c r="E1287" s="137" t="str">
        <f>$E$1269</f>
        <v>565-п</v>
      </c>
      <c r="F1287" s="12">
        <v>43466</v>
      </c>
      <c r="G1287" s="12">
        <v>43646</v>
      </c>
      <c r="H1287" s="149"/>
      <c r="I1287" s="66">
        <f>$I$1269</f>
        <v>39.020000000000003</v>
      </c>
      <c r="J1287" s="13">
        <f>$J$1269</f>
        <v>2710.1</v>
      </c>
      <c r="K1287" s="15" t="s">
        <v>23</v>
      </c>
      <c r="L1287" s="15" t="s">
        <v>23</v>
      </c>
      <c r="M1287" s="153"/>
    </row>
    <row r="1288" spans="1:15" ht="15" customHeight="1" outlineLevel="1" x14ac:dyDescent="0.25">
      <c r="A1288" s="148"/>
      <c r="B1288" s="148"/>
      <c r="C1288" s="148"/>
      <c r="D1288" s="141"/>
      <c r="E1288" s="141"/>
      <c r="F1288" s="12">
        <v>43647</v>
      </c>
      <c r="G1288" s="12">
        <v>43830</v>
      </c>
      <c r="H1288" s="151"/>
      <c r="I1288" s="66">
        <f>$I$1270</f>
        <v>41.55</v>
      </c>
      <c r="J1288" s="13">
        <f>$J$1270</f>
        <v>2734.19</v>
      </c>
      <c r="K1288" s="15" t="s">
        <v>23</v>
      </c>
      <c r="L1288" s="15" t="s">
        <v>23</v>
      </c>
      <c r="M1288" s="152"/>
    </row>
    <row r="1289" spans="1:15" ht="15" customHeight="1" outlineLevel="1" x14ac:dyDescent="0.25">
      <c r="A1289" s="148"/>
      <c r="B1289" s="148"/>
      <c r="C1289" s="148"/>
      <c r="D1289" s="137">
        <f>$D$1469</f>
        <v>43454</v>
      </c>
      <c r="E1289" s="137" t="str">
        <f>$E$1469</f>
        <v>673-п</v>
      </c>
      <c r="F1289" s="50">
        <v>43466</v>
      </c>
      <c r="G1289" s="50">
        <v>43646</v>
      </c>
      <c r="H1289" s="149"/>
      <c r="I1289" s="15" t="s">
        <v>23</v>
      </c>
      <c r="J1289" s="15" t="s">
        <v>23</v>
      </c>
      <c r="K1289" s="13">
        <f>$K$1271</f>
        <v>30.8</v>
      </c>
      <c r="L1289" s="13">
        <f>$L$1271</f>
        <v>2073.9899999999998</v>
      </c>
      <c r="M1289" s="196" t="s">
        <v>420</v>
      </c>
      <c r="N1289" s="55">
        <f>K1289/1.2</f>
        <v>25.666666666666668</v>
      </c>
      <c r="O1289" s="55">
        <f>L1289/1.2</f>
        <v>1728.3249999999998</v>
      </c>
    </row>
    <row r="1290" spans="1:15" ht="15" customHeight="1" outlineLevel="1" x14ac:dyDescent="0.25">
      <c r="A1290" s="148"/>
      <c r="B1290" s="148"/>
      <c r="C1290" s="148"/>
      <c r="D1290" s="138"/>
      <c r="E1290" s="138"/>
      <c r="F1290" s="50">
        <v>43647</v>
      </c>
      <c r="G1290" s="50">
        <v>43830</v>
      </c>
      <c r="H1290" s="150"/>
      <c r="I1290" s="15" t="s">
        <v>23</v>
      </c>
      <c r="J1290" s="15" t="s">
        <v>23</v>
      </c>
      <c r="K1290" s="13">
        <f>$K$1272</f>
        <v>31.42</v>
      </c>
      <c r="L1290" s="13">
        <f>$L$1272</f>
        <v>2115.4699999999998</v>
      </c>
      <c r="M1290" s="198"/>
      <c r="N1290" s="55">
        <f t="shared" ref="N1290:N1304" si="41">K1290/1.2</f>
        <v>26.183333333333337</v>
      </c>
      <c r="O1290" s="55">
        <f t="shared" ref="O1290:O1304" si="42">L1290/1.2</f>
        <v>1762.8916666666667</v>
      </c>
    </row>
    <row r="1291" spans="1:15" ht="15" customHeight="1" outlineLevel="1" x14ac:dyDescent="0.25">
      <c r="A1291" s="148"/>
      <c r="B1291" s="148"/>
      <c r="C1291" s="148"/>
      <c r="D1291" s="138"/>
      <c r="E1291" s="138"/>
      <c r="F1291" s="50">
        <v>43466</v>
      </c>
      <c r="G1291" s="50">
        <v>43646</v>
      </c>
      <c r="H1291" s="150"/>
      <c r="I1291" s="15" t="s">
        <v>23</v>
      </c>
      <c r="J1291" s="15" t="s">
        <v>23</v>
      </c>
      <c r="K1291" s="13">
        <f>$K$1273</f>
        <v>30.8</v>
      </c>
      <c r="L1291" s="13">
        <f>$L$1273</f>
        <v>2271.5100000000002</v>
      </c>
      <c r="M1291" s="196" t="s">
        <v>421</v>
      </c>
      <c r="N1291" s="55">
        <f t="shared" si="41"/>
        <v>25.666666666666668</v>
      </c>
      <c r="O1291" s="55">
        <f t="shared" si="42"/>
        <v>1892.9250000000002</v>
      </c>
    </row>
    <row r="1292" spans="1:15" ht="15" customHeight="1" outlineLevel="1" x14ac:dyDescent="0.25">
      <c r="A1292" s="148"/>
      <c r="B1292" s="148"/>
      <c r="C1292" s="148"/>
      <c r="D1292" s="138"/>
      <c r="E1292" s="138"/>
      <c r="F1292" s="50">
        <v>43647</v>
      </c>
      <c r="G1292" s="50">
        <v>43830</v>
      </c>
      <c r="H1292" s="150"/>
      <c r="I1292" s="15" t="s">
        <v>23</v>
      </c>
      <c r="J1292" s="15" t="s">
        <v>23</v>
      </c>
      <c r="K1292" s="13">
        <f>$K$1274</f>
        <v>31.42</v>
      </c>
      <c r="L1292" s="13">
        <f>$L$1274</f>
        <v>2316.94</v>
      </c>
      <c r="M1292" s="198"/>
      <c r="N1292" s="55">
        <f t="shared" si="41"/>
        <v>26.183333333333337</v>
      </c>
      <c r="O1292" s="55">
        <f t="shared" si="42"/>
        <v>1930.7833333333335</v>
      </c>
    </row>
    <row r="1293" spans="1:15" ht="15" customHeight="1" outlineLevel="1" x14ac:dyDescent="0.25">
      <c r="A1293" s="148"/>
      <c r="B1293" s="148"/>
      <c r="C1293" s="148"/>
      <c r="D1293" s="138"/>
      <c r="E1293" s="138"/>
      <c r="F1293" s="50">
        <v>43466</v>
      </c>
      <c r="G1293" s="50">
        <v>43646</v>
      </c>
      <c r="H1293" s="150"/>
      <c r="I1293" s="15" t="s">
        <v>23</v>
      </c>
      <c r="J1293" s="15" t="s">
        <v>23</v>
      </c>
      <c r="K1293" s="13">
        <f>$K$1275</f>
        <v>30.8</v>
      </c>
      <c r="L1293" s="13">
        <f>$L$1275</f>
        <v>1933.85</v>
      </c>
      <c r="M1293" s="196" t="s">
        <v>422</v>
      </c>
      <c r="N1293" s="55">
        <f t="shared" si="41"/>
        <v>25.666666666666668</v>
      </c>
      <c r="O1293" s="55">
        <f t="shared" si="42"/>
        <v>1611.5416666666667</v>
      </c>
    </row>
    <row r="1294" spans="1:15" ht="15" customHeight="1" outlineLevel="1" x14ac:dyDescent="0.25">
      <c r="A1294" s="148"/>
      <c r="B1294" s="148"/>
      <c r="C1294" s="148"/>
      <c r="D1294" s="138"/>
      <c r="E1294" s="138"/>
      <c r="F1294" s="50">
        <v>43647</v>
      </c>
      <c r="G1294" s="50">
        <v>43830</v>
      </c>
      <c r="H1294" s="150"/>
      <c r="I1294" s="15" t="s">
        <v>23</v>
      </c>
      <c r="J1294" s="15" t="s">
        <v>23</v>
      </c>
      <c r="K1294" s="13">
        <f>$K$1276</f>
        <v>31.42</v>
      </c>
      <c r="L1294" s="13">
        <f>$L$1276</f>
        <v>1972.53</v>
      </c>
      <c r="M1294" s="198"/>
      <c r="N1294" s="55">
        <f t="shared" si="41"/>
        <v>26.183333333333337</v>
      </c>
      <c r="O1294" s="55">
        <f t="shared" si="42"/>
        <v>1643.7750000000001</v>
      </c>
    </row>
    <row r="1295" spans="1:15" ht="15" customHeight="1" outlineLevel="1" x14ac:dyDescent="0.25">
      <c r="A1295" s="148"/>
      <c r="B1295" s="148"/>
      <c r="C1295" s="148"/>
      <c r="D1295" s="138"/>
      <c r="E1295" s="138"/>
      <c r="F1295" s="50">
        <v>43466</v>
      </c>
      <c r="G1295" s="50">
        <v>43646</v>
      </c>
      <c r="H1295" s="150"/>
      <c r="I1295" s="15" t="s">
        <v>23</v>
      </c>
      <c r="J1295" s="15" t="s">
        <v>23</v>
      </c>
      <c r="K1295" s="13">
        <f>$K$1277</f>
        <v>30.8</v>
      </c>
      <c r="L1295" s="13">
        <f>$L$1277</f>
        <v>2073.9899999999998</v>
      </c>
      <c r="M1295" s="196" t="s">
        <v>423</v>
      </c>
      <c r="N1295" s="55">
        <f t="shared" si="41"/>
        <v>25.666666666666668</v>
      </c>
      <c r="O1295" s="55">
        <f t="shared" si="42"/>
        <v>1728.3249999999998</v>
      </c>
    </row>
    <row r="1296" spans="1:15" ht="15" customHeight="1" outlineLevel="1" x14ac:dyDescent="0.25">
      <c r="A1296" s="148"/>
      <c r="B1296" s="148"/>
      <c r="C1296" s="148"/>
      <c r="D1296" s="138"/>
      <c r="E1296" s="138"/>
      <c r="F1296" s="50">
        <v>43647</v>
      </c>
      <c r="G1296" s="50">
        <v>43830</v>
      </c>
      <c r="H1296" s="150"/>
      <c r="I1296" s="15" t="s">
        <v>23</v>
      </c>
      <c r="J1296" s="15" t="s">
        <v>23</v>
      </c>
      <c r="K1296" s="13">
        <f>$K$1278</f>
        <v>31.42</v>
      </c>
      <c r="L1296" s="13">
        <f>$L$1278</f>
        <v>2115.4699999999998</v>
      </c>
      <c r="M1296" s="198"/>
      <c r="N1296" s="55">
        <f t="shared" si="41"/>
        <v>26.183333333333337</v>
      </c>
      <c r="O1296" s="55">
        <f t="shared" si="42"/>
        <v>1762.8916666666667</v>
      </c>
    </row>
    <row r="1297" spans="1:17" ht="15" customHeight="1" outlineLevel="1" x14ac:dyDescent="0.25">
      <c r="A1297" s="148"/>
      <c r="B1297" s="148"/>
      <c r="C1297" s="148"/>
      <c r="D1297" s="138"/>
      <c r="E1297" s="138"/>
      <c r="F1297" s="50">
        <v>43466</v>
      </c>
      <c r="G1297" s="50">
        <v>43646</v>
      </c>
      <c r="H1297" s="150"/>
      <c r="I1297" s="15" t="s">
        <v>23</v>
      </c>
      <c r="J1297" s="15" t="s">
        <v>23</v>
      </c>
      <c r="K1297" s="13">
        <f>$K$1279</f>
        <v>30.8</v>
      </c>
      <c r="L1297" s="13">
        <f>$L$1279</f>
        <v>2168.2600000000002</v>
      </c>
      <c r="M1297" s="196" t="s">
        <v>424</v>
      </c>
      <c r="N1297" s="55">
        <f t="shared" si="41"/>
        <v>25.666666666666668</v>
      </c>
      <c r="O1297" s="55">
        <f t="shared" si="42"/>
        <v>1806.8833333333337</v>
      </c>
    </row>
    <row r="1298" spans="1:17" ht="15" customHeight="1" outlineLevel="1" x14ac:dyDescent="0.25">
      <c r="A1298" s="148"/>
      <c r="B1298" s="148"/>
      <c r="C1298" s="148"/>
      <c r="D1298" s="138"/>
      <c r="E1298" s="138"/>
      <c r="F1298" s="50">
        <v>43647</v>
      </c>
      <c r="G1298" s="50">
        <v>43830</v>
      </c>
      <c r="H1298" s="150"/>
      <c r="I1298" s="15" t="s">
        <v>23</v>
      </c>
      <c r="J1298" s="15" t="s">
        <v>23</v>
      </c>
      <c r="K1298" s="13">
        <f>$K$1280</f>
        <v>31.42</v>
      </c>
      <c r="L1298" s="13">
        <f>$L$1280</f>
        <v>2211.62</v>
      </c>
      <c r="M1298" s="198"/>
      <c r="N1298" s="55">
        <f t="shared" si="41"/>
        <v>26.183333333333337</v>
      </c>
      <c r="O1298" s="55">
        <f t="shared" si="42"/>
        <v>1843.0166666666667</v>
      </c>
    </row>
    <row r="1299" spans="1:17" ht="15" customHeight="1" outlineLevel="1" x14ac:dyDescent="0.25">
      <c r="A1299" s="148"/>
      <c r="B1299" s="148"/>
      <c r="C1299" s="148"/>
      <c r="D1299" s="138"/>
      <c r="E1299" s="138"/>
      <c r="F1299" s="50">
        <v>43466</v>
      </c>
      <c r="G1299" s="50">
        <v>43646</v>
      </c>
      <c r="H1299" s="150"/>
      <c r="I1299" s="15" t="s">
        <v>23</v>
      </c>
      <c r="J1299" s="15" t="s">
        <v>23</v>
      </c>
      <c r="K1299" s="13">
        <f>$K$1281</f>
        <v>30.8</v>
      </c>
      <c r="L1299" s="13">
        <f>$L$1281</f>
        <v>2345.98</v>
      </c>
      <c r="M1299" s="196" t="s">
        <v>425</v>
      </c>
      <c r="N1299" s="55">
        <f t="shared" si="41"/>
        <v>25.666666666666668</v>
      </c>
      <c r="O1299" s="55">
        <f t="shared" si="42"/>
        <v>1954.9833333333333</v>
      </c>
    </row>
    <row r="1300" spans="1:17" ht="15" customHeight="1" outlineLevel="1" x14ac:dyDescent="0.25">
      <c r="A1300" s="148"/>
      <c r="B1300" s="148"/>
      <c r="C1300" s="148"/>
      <c r="D1300" s="138"/>
      <c r="E1300" s="138"/>
      <c r="F1300" s="50">
        <v>43647</v>
      </c>
      <c r="G1300" s="50">
        <v>43830</v>
      </c>
      <c r="H1300" s="150"/>
      <c r="I1300" s="15" t="s">
        <v>23</v>
      </c>
      <c r="J1300" s="15" t="s">
        <v>23</v>
      </c>
      <c r="K1300" s="13">
        <f>$K$1282</f>
        <v>31.42</v>
      </c>
      <c r="L1300" s="13">
        <f>$L$1282</f>
        <v>2392.9</v>
      </c>
      <c r="M1300" s="198"/>
      <c r="N1300" s="55">
        <f t="shared" si="41"/>
        <v>26.183333333333337</v>
      </c>
      <c r="O1300" s="55">
        <f t="shared" si="42"/>
        <v>1994.0833333333335</v>
      </c>
    </row>
    <row r="1301" spans="1:17" ht="15" customHeight="1" outlineLevel="1" x14ac:dyDescent="0.25">
      <c r="A1301" s="148"/>
      <c r="B1301" s="148"/>
      <c r="C1301" s="148"/>
      <c r="D1301" s="138"/>
      <c r="E1301" s="138"/>
      <c r="F1301" s="50">
        <v>43466</v>
      </c>
      <c r="G1301" s="50">
        <v>43646</v>
      </c>
      <c r="H1301" s="150"/>
      <c r="I1301" s="15" t="s">
        <v>23</v>
      </c>
      <c r="J1301" s="15" t="s">
        <v>23</v>
      </c>
      <c r="K1301" s="13">
        <f>$K$1283</f>
        <v>30.8</v>
      </c>
      <c r="L1301" s="13">
        <f>$L$1283</f>
        <v>1987.57</v>
      </c>
      <c r="M1301" s="196" t="s">
        <v>426</v>
      </c>
      <c r="N1301" s="55">
        <f t="shared" si="41"/>
        <v>25.666666666666668</v>
      </c>
      <c r="O1301" s="55">
        <f t="shared" si="42"/>
        <v>1656.3083333333334</v>
      </c>
      <c r="P1301" s="121">
        <f>I1287-N1301</f>
        <v>13.353333333333335</v>
      </c>
      <c r="Q1301" s="57">
        <f>J1287-O1301</f>
        <v>1053.7916666666665</v>
      </c>
    </row>
    <row r="1302" spans="1:17" ht="15" customHeight="1" outlineLevel="1" x14ac:dyDescent="0.25">
      <c r="A1302" s="148"/>
      <c r="B1302" s="148"/>
      <c r="C1302" s="148"/>
      <c r="D1302" s="138"/>
      <c r="E1302" s="138"/>
      <c r="F1302" s="50">
        <v>43647</v>
      </c>
      <c r="G1302" s="50">
        <v>43830</v>
      </c>
      <c r="H1302" s="150"/>
      <c r="I1302" s="15" t="s">
        <v>23</v>
      </c>
      <c r="J1302" s="15" t="s">
        <v>23</v>
      </c>
      <c r="K1302" s="13">
        <f>$K$1284</f>
        <v>31.42</v>
      </c>
      <c r="L1302" s="13">
        <f>$L$1284</f>
        <v>2027.32</v>
      </c>
      <c r="M1302" s="198"/>
      <c r="N1302" s="55">
        <f t="shared" si="41"/>
        <v>26.183333333333337</v>
      </c>
      <c r="O1302" s="55">
        <f t="shared" si="42"/>
        <v>1689.4333333333334</v>
      </c>
    </row>
    <row r="1303" spans="1:17" ht="15" customHeight="1" outlineLevel="1" x14ac:dyDescent="0.25">
      <c r="A1303" s="148"/>
      <c r="B1303" s="148"/>
      <c r="C1303" s="148"/>
      <c r="D1303" s="138"/>
      <c r="E1303" s="138"/>
      <c r="F1303" s="50">
        <v>43466</v>
      </c>
      <c r="G1303" s="50">
        <v>43646</v>
      </c>
      <c r="H1303" s="150"/>
      <c r="I1303" s="15" t="s">
        <v>23</v>
      </c>
      <c r="J1303" s="15" t="s">
        <v>23</v>
      </c>
      <c r="K1303" s="13">
        <f>$K$1285</f>
        <v>30.8</v>
      </c>
      <c r="L1303" s="13">
        <f>$L$1285</f>
        <v>2168.2600000000002</v>
      </c>
      <c r="M1303" s="196" t="s">
        <v>427</v>
      </c>
      <c r="N1303" s="55">
        <f t="shared" si="41"/>
        <v>25.666666666666668</v>
      </c>
      <c r="O1303" s="55">
        <f t="shared" si="42"/>
        <v>1806.8833333333337</v>
      </c>
    </row>
    <row r="1304" spans="1:17" ht="15" customHeight="1" outlineLevel="1" x14ac:dyDescent="0.25">
      <c r="A1304" s="147"/>
      <c r="B1304" s="147"/>
      <c r="C1304" s="148"/>
      <c r="D1304" s="141"/>
      <c r="E1304" s="141"/>
      <c r="F1304" s="50">
        <v>43647</v>
      </c>
      <c r="G1304" s="50">
        <v>43830</v>
      </c>
      <c r="H1304" s="151"/>
      <c r="I1304" s="15" t="s">
        <v>23</v>
      </c>
      <c r="J1304" s="15" t="s">
        <v>23</v>
      </c>
      <c r="K1304" s="13">
        <f>$K$1286</f>
        <v>31.42</v>
      </c>
      <c r="L1304" s="13">
        <f>$L$1286</f>
        <v>2211.62</v>
      </c>
      <c r="M1304" s="198"/>
      <c r="N1304" s="55">
        <f t="shared" si="41"/>
        <v>26.183333333333337</v>
      </c>
      <c r="O1304" s="55">
        <f t="shared" si="42"/>
        <v>1843.0166666666667</v>
      </c>
    </row>
    <row r="1305" spans="1:17" ht="15" customHeight="1" outlineLevel="1" x14ac:dyDescent="0.25">
      <c r="A1305" s="146" t="s">
        <v>55</v>
      </c>
      <c r="B1305" s="146" t="s">
        <v>401</v>
      </c>
      <c r="C1305" s="148"/>
      <c r="D1305" s="137">
        <f>$D$1269</f>
        <v>43454</v>
      </c>
      <c r="E1305" s="137" t="str">
        <f>$E$1269</f>
        <v>565-п</v>
      </c>
      <c r="F1305" s="12">
        <v>43466</v>
      </c>
      <c r="G1305" s="12">
        <v>43646</v>
      </c>
      <c r="H1305" s="149"/>
      <c r="I1305" s="66">
        <f>$I$1269</f>
        <v>39.020000000000003</v>
      </c>
      <c r="J1305" s="13">
        <f>$J$1269</f>
        <v>2710.1</v>
      </c>
      <c r="K1305" s="15" t="s">
        <v>23</v>
      </c>
      <c r="L1305" s="15" t="s">
        <v>23</v>
      </c>
      <c r="M1305" s="153"/>
    </row>
    <row r="1306" spans="1:17" ht="15" customHeight="1" outlineLevel="1" x14ac:dyDescent="0.25">
      <c r="A1306" s="148"/>
      <c r="B1306" s="148"/>
      <c r="C1306" s="148"/>
      <c r="D1306" s="141"/>
      <c r="E1306" s="141"/>
      <c r="F1306" s="12">
        <v>43647</v>
      </c>
      <c r="G1306" s="12">
        <v>43830</v>
      </c>
      <c r="H1306" s="151"/>
      <c r="I1306" s="66">
        <f>$I$1270</f>
        <v>41.55</v>
      </c>
      <c r="J1306" s="13">
        <f>$J$1270</f>
        <v>2734.19</v>
      </c>
      <c r="K1306" s="15" t="s">
        <v>23</v>
      </c>
      <c r="L1306" s="15" t="s">
        <v>23</v>
      </c>
      <c r="M1306" s="152"/>
    </row>
    <row r="1307" spans="1:17" ht="15" customHeight="1" outlineLevel="1" x14ac:dyDescent="0.25">
      <c r="A1307" s="148"/>
      <c r="B1307" s="148"/>
      <c r="C1307" s="148"/>
      <c r="D1307" s="137">
        <f>$D$1469</f>
        <v>43454</v>
      </c>
      <c r="E1307" s="137" t="str">
        <f>$E$1469</f>
        <v>673-п</v>
      </c>
      <c r="F1307" s="50">
        <v>43466</v>
      </c>
      <c r="G1307" s="50">
        <v>43646</v>
      </c>
      <c r="H1307" s="149"/>
      <c r="I1307" s="15" t="s">
        <v>23</v>
      </c>
      <c r="J1307" s="15" t="s">
        <v>23</v>
      </c>
      <c r="K1307" s="13">
        <f>$K$1271</f>
        <v>30.8</v>
      </c>
      <c r="L1307" s="13">
        <f>$L$1271</f>
        <v>2073.9899999999998</v>
      </c>
      <c r="M1307" s="196" t="s">
        <v>420</v>
      </c>
    </row>
    <row r="1308" spans="1:17" ht="15" customHeight="1" outlineLevel="1" x14ac:dyDescent="0.25">
      <c r="A1308" s="148"/>
      <c r="B1308" s="148"/>
      <c r="C1308" s="148"/>
      <c r="D1308" s="138"/>
      <c r="E1308" s="138"/>
      <c r="F1308" s="50">
        <v>43647</v>
      </c>
      <c r="G1308" s="50">
        <v>43830</v>
      </c>
      <c r="H1308" s="150"/>
      <c r="I1308" s="15" t="s">
        <v>23</v>
      </c>
      <c r="J1308" s="15" t="s">
        <v>23</v>
      </c>
      <c r="K1308" s="13">
        <f>$K$1272</f>
        <v>31.42</v>
      </c>
      <c r="L1308" s="13">
        <f>$L$1272</f>
        <v>2115.4699999999998</v>
      </c>
      <c r="M1308" s="198"/>
    </row>
    <row r="1309" spans="1:17" ht="15" customHeight="1" outlineLevel="1" x14ac:dyDescent="0.25">
      <c r="A1309" s="148"/>
      <c r="B1309" s="148"/>
      <c r="C1309" s="148"/>
      <c r="D1309" s="138"/>
      <c r="E1309" s="138"/>
      <c r="F1309" s="50">
        <v>43466</v>
      </c>
      <c r="G1309" s="50">
        <v>43646</v>
      </c>
      <c r="H1309" s="150"/>
      <c r="I1309" s="15" t="s">
        <v>23</v>
      </c>
      <c r="J1309" s="15" t="s">
        <v>23</v>
      </c>
      <c r="K1309" s="13">
        <f>$K$1273</f>
        <v>30.8</v>
      </c>
      <c r="L1309" s="13">
        <f>$L$1273</f>
        <v>2271.5100000000002</v>
      </c>
      <c r="M1309" s="196" t="s">
        <v>421</v>
      </c>
    </row>
    <row r="1310" spans="1:17" ht="15" customHeight="1" outlineLevel="1" x14ac:dyDescent="0.25">
      <c r="A1310" s="148"/>
      <c r="B1310" s="148"/>
      <c r="C1310" s="148"/>
      <c r="D1310" s="138"/>
      <c r="E1310" s="138"/>
      <c r="F1310" s="50">
        <v>43647</v>
      </c>
      <c r="G1310" s="50">
        <v>43830</v>
      </c>
      <c r="H1310" s="150"/>
      <c r="I1310" s="15" t="s">
        <v>23</v>
      </c>
      <c r="J1310" s="15" t="s">
        <v>23</v>
      </c>
      <c r="K1310" s="13">
        <f>$K$1274</f>
        <v>31.42</v>
      </c>
      <c r="L1310" s="13">
        <f>$L$1274</f>
        <v>2316.94</v>
      </c>
      <c r="M1310" s="198"/>
    </row>
    <row r="1311" spans="1:17" ht="15" customHeight="1" outlineLevel="1" x14ac:dyDescent="0.25">
      <c r="A1311" s="148"/>
      <c r="B1311" s="148"/>
      <c r="C1311" s="148"/>
      <c r="D1311" s="138"/>
      <c r="E1311" s="138"/>
      <c r="F1311" s="50">
        <v>43466</v>
      </c>
      <c r="G1311" s="50">
        <v>43646</v>
      </c>
      <c r="H1311" s="150"/>
      <c r="I1311" s="15" t="s">
        <v>23</v>
      </c>
      <c r="J1311" s="15" t="s">
        <v>23</v>
      </c>
      <c r="K1311" s="13">
        <f>$K$1275</f>
        <v>30.8</v>
      </c>
      <c r="L1311" s="13">
        <f>$L$1275</f>
        <v>1933.85</v>
      </c>
      <c r="M1311" s="196" t="s">
        <v>422</v>
      </c>
    </row>
    <row r="1312" spans="1:17" ht="15" customHeight="1" outlineLevel="1" x14ac:dyDescent="0.25">
      <c r="A1312" s="148"/>
      <c r="B1312" s="148"/>
      <c r="C1312" s="148"/>
      <c r="D1312" s="138"/>
      <c r="E1312" s="138"/>
      <c r="F1312" s="50">
        <v>43647</v>
      </c>
      <c r="G1312" s="50">
        <v>43830</v>
      </c>
      <c r="H1312" s="150"/>
      <c r="I1312" s="15" t="s">
        <v>23</v>
      </c>
      <c r="J1312" s="15" t="s">
        <v>23</v>
      </c>
      <c r="K1312" s="13">
        <f>$K$1276</f>
        <v>31.42</v>
      </c>
      <c r="L1312" s="13">
        <f>$L$1276</f>
        <v>1972.53</v>
      </c>
      <c r="M1312" s="198"/>
    </row>
    <row r="1313" spans="1:15" ht="15" customHeight="1" outlineLevel="1" x14ac:dyDescent="0.25">
      <c r="A1313" s="148"/>
      <c r="B1313" s="148"/>
      <c r="C1313" s="148"/>
      <c r="D1313" s="138"/>
      <c r="E1313" s="138"/>
      <c r="F1313" s="50">
        <v>43466</v>
      </c>
      <c r="G1313" s="50">
        <v>43646</v>
      </c>
      <c r="H1313" s="150"/>
      <c r="I1313" s="15" t="s">
        <v>23</v>
      </c>
      <c r="J1313" s="15" t="s">
        <v>23</v>
      </c>
      <c r="K1313" s="13">
        <f>$K$1277</f>
        <v>30.8</v>
      </c>
      <c r="L1313" s="13">
        <f>$L$1277</f>
        <v>2073.9899999999998</v>
      </c>
      <c r="M1313" s="196" t="s">
        <v>423</v>
      </c>
    </row>
    <row r="1314" spans="1:15" ht="15" customHeight="1" outlineLevel="1" x14ac:dyDescent="0.25">
      <c r="A1314" s="148"/>
      <c r="B1314" s="148"/>
      <c r="C1314" s="148"/>
      <c r="D1314" s="138"/>
      <c r="E1314" s="138"/>
      <c r="F1314" s="50">
        <v>43647</v>
      </c>
      <c r="G1314" s="50">
        <v>43830</v>
      </c>
      <c r="H1314" s="150"/>
      <c r="I1314" s="15" t="s">
        <v>23</v>
      </c>
      <c r="J1314" s="15" t="s">
        <v>23</v>
      </c>
      <c r="K1314" s="13">
        <f>$K$1278</f>
        <v>31.42</v>
      </c>
      <c r="L1314" s="13">
        <f>$L$1278</f>
        <v>2115.4699999999998</v>
      </c>
      <c r="M1314" s="198"/>
    </row>
    <row r="1315" spans="1:15" ht="15" customHeight="1" outlineLevel="1" x14ac:dyDescent="0.25">
      <c r="A1315" s="148"/>
      <c r="B1315" s="148"/>
      <c r="C1315" s="148"/>
      <c r="D1315" s="138"/>
      <c r="E1315" s="138"/>
      <c r="F1315" s="50">
        <v>43466</v>
      </c>
      <c r="G1315" s="50">
        <v>43646</v>
      </c>
      <c r="H1315" s="150"/>
      <c r="I1315" s="15" t="s">
        <v>23</v>
      </c>
      <c r="J1315" s="15" t="s">
        <v>23</v>
      </c>
      <c r="K1315" s="13">
        <f>$K$1279</f>
        <v>30.8</v>
      </c>
      <c r="L1315" s="13">
        <f>$L$1279</f>
        <v>2168.2600000000002</v>
      </c>
      <c r="M1315" s="196" t="s">
        <v>424</v>
      </c>
    </row>
    <row r="1316" spans="1:15" ht="15" customHeight="1" outlineLevel="1" x14ac:dyDescent="0.25">
      <c r="A1316" s="148"/>
      <c r="B1316" s="148"/>
      <c r="C1316" s="148"/>
      <c r="D1316" s="138"/>
      <c r="E1316" s="138"/>
      <c r="F1316" s="50">
        <v>43647</v>
      </c>
      <c r="G1316" s="50">
        <v>43830</v>
      </c>
      <c r="H1316" s="150"/>
      <c r="I1316" s="15" t="s">
        <v>23</v>
      </c>
      <c r="J1316" s="15" t="s">
        <v>23</v>
      </c>
      <c r="K1316" s="13">
        <f>$K$1280</f>
        <v>31.42</v>
      </c>
      <c r="L1316" s="13">
        <f>$L$1280</f>
        <v>2211.62</v>
      </c>
      <c r="M1316" s="198"/>
    </row>
    <row r="1317" spans="1:15" ht="15" customHeight="1" outlineLevel="1" x14ac:dyDescent="0.25">
      <c r="A1317" s="148"/>
      <c r="B1317" s="148"/>
      <c r="C1317" s="148"/>
      <c r="D1317" s="138"/>
      <c r="E1317" s="138"/>
      <c r="F1317" s="50">
        <v>43466</v>
      </c>
      <c r="G1317" s="50">
        <v>43646</v>
      </c>
      <c r="H1317" s="150"/>
      <c r="I1317" s="15" t="s">
        <v>23</v>
      </c>
      <c r="J1317" s="15" t="s">
        <v>23</v>
      </c>
      <c r="K1317" s="13">
        <f>$K$1281</f>
        <v>30.8</v>
      </c>
      <c r="L1317" s="13">
        <f>$L$1281</f>
        <v>2345.98</v>
      </c>
      <c r="M1317" s="196" t="s">
        <v>425</v>
      </c>
    </row>
    <row r="1318" spans="1:15" ht="15" customHeight="1" outlineLevel="1" x14ac:dyDescent="0.25">
      <c r="A1318" s="148"/>
      <c r="B1318" s="148"/>
      <c r="C1318" s="148"/>
      <c r="D1318" s="138"/>
      <c r="E1318" s="138"/>
      <c r="F1318" s="50">
        <v>43647</v>
      </c>
      <c r="G1318" s="50">
        <v>43830</v>
      </c>
      <c r="H1318" s="150"/>
      <c r="I1318" s="15" t="s">
        <v>23</v>
      </c>
      <c r="J1318" s="15" t="s">
        <v>23</v>
      </c>
      <c r="K1318" s="13">
        <f>$K$1282</f>
        <v>31.42</v>
      </c>
      <c r="L1318" s="13">
        <f>$L$1282</f>
        <v>2392.9</v>
      </c>
      <c r="M1318" s="198"/>
    </row>
    <row r="1319" spans="1:15" ht="15" customHeight="1" outlineLevel="1" x14ac:dyDescent="0.25">
      <c r="A1319" s="148"/>
      <c r="B1319" s="148"/>
      <c r="C1319" s="148"/>
      <c r="D1319" s="138"/>
      <c r="E1319" s="138"/>
      <c r="F1319" s="50">
        <v>43466</v>
      </c>
      <c r="G1319" s="50">
        <v>43646</v>
      </c>
      <c r="H1319" s="150"/>
      <c r="I1319" s="15" t="s">
        <v>23</v>
      </c>
      <c r="J1319" s="15" t="s">
        <v>23</v>
      </c>
      <c r="K1319" s="13">
        <f>$K$1283</f>
        <v>30.8</v>
      </c>
      <c r="L1319" s="13">
        <f>$L$1283</f>
        <v>1987.57</v>
      </c>
      <c r="M1319" s="196" t="s">
        <v>426</v>
      </c>
      <c r="N1319" s="55">
        <f>K1319/1.2</f>
        <v>25.666666666666668</v>
      </c>
      <c r="O1319" s="55">
        <f>L1319/1.2</f>
        <v>1656.3083333333334</v>
      </c>
    </row>
    <row r="1320" spans="1:15" ht="15" customHeight="1" outlineLevel="1" x14ac:dyDescent="0.25">
      <c r="A1320" s="148"/>
      <c r="B1320" s="148"/>
      <c r="C1320" s="148"/>
      <c r="D1320" s="138"/>
      <c r="E1320" s="138"/>
      <c r="F1320" s="50">
        <v>43647</v>
      </c>
      <c r="G1320" s="50">
        <v>43830</v>
      </c>
      <c r="H1320" s="150"/>
      <c r="I1320" s="15" t="s">
        <v>23</v>
      </c>
      <c r="J1320" s="15" t="s">
        <v>23</v>
      </c>
      <c r="K1320" s="13">
        <f>$K$1284</f>
        <v>31.42</v>
      </c>
      <c r="L1320" s="13">
        <f>$L$1284</f>
        <v>2027.32</v>
      </c>
      <c r="M1320" s="198"/>
    </row>
    <row r="1321" spans="1:15" ht="15" customHeight="1" outlineLevel="1" x14ac:dyDescent="0.25">
      <c r="A1321" s="148"/>
      <c r="B1321" s="148"/>
      <c r="C1321" s="148"/>
      <c r="D1321" s="138"/>
      <c r="E1321" s="138"/>
      <c r="F1321" s="50">
        <v>43466</v>
      </c>
      <c r="G1321" s="50">
        <v>43646</v>
      </c>
      <c r="H1321" s="150"/>
      <c r="I1321" s="15" t="s">
        <v>23</v>
      </c>
      <c r="J1321" s="15" t="s">
        <v>23</v>
      </c>
      <c r="K1321" s="13">
        <f>$K$1285</f>
        <v>30.8</v>
      </c>
      <c r="L1321" s="13">
        <f>$L$1285</f>
        <v>2168.2600000000002</v>
      </c>
      <c r="M1321" s="196" t="s">
        <v>427</v>
      </c>
    </row>
    <row r="1322" spans="1:15" ht="15" customHeight="1" outlineLevel="1" x14ac:dyDescent="0.25">
      <c r="A1322" s="147"/>
      <c r="B1322" s="147"/>
      <c r="C1322" s="148"/>
      <c r="D1322" s="141"/>
      <c r="E1322" s="141"/>
      <c r="F1322" s="50">
        <v>43647</v>
      </c>
      <c r="G1322" s="50">
        <v>43830</v>
      </c>
      <c r="H1322" s="151"/>
      <c r="I1322" s="15" t="s">
        <v>23</v>
      </c>
      <c r="J1322" s="15" t="s">
        <v>23</v>
      </c>
      <c r="K1322" s="13">
        <f>$K$1286</f>
        <v>31.42</v>
      </c>
      <c r="L1322" s="13">
        <f>$L$1286</f>
        <v>2211.62</v>
      </c>
      <c r="M1322" s="198"/>
    </row>
    <row r="1323" spans="1:15" ht="15" customHeight="1" outlineLevel="1" x14ac:dyDescent="0.25">
      <c r="A1323" s="146" t="s">
        <v>55</v>
      </c>
      <c r="B1323" s="146" t="s">
        <v>364</v>
      </c>
      <c r="C1323" s="148"/>
      <c r="D1323" s="137">
        <f>$D$1269</f>
        <v>43454</v>
      </c>
      <c r="E1323" s="137" t="str">
        <f>$E$1269</f>
        <v>565-п</v>
      </c>
      <c r="F1323" s="12">
        <v>43466</v>
      </c>
      <c r="G1323" s="12">
        <v>43646</v>
      </c>
      <c r="H1323" s="149"/>
      <c r="I1323" s="66">
        <f>$I$1269</f>
        <v>39.020000000000003</v>
      </c>
      <c r="J1323" s="13">
        <f>$J$1269</f>
        <v>2710.1</v>
      </c>
      <c r="K1323" s="15" t="s">
        <v>23</v>
      </c>
      <c r="L1323" s="15" t="s">
        <v>23</v>
      </c>
      <c r="M1323" s="153"/>
    </row>
    <row r="1324" spans="1:15" ht="15" customHeight="1" outlineLevel="1" x14ac:dyDescent="0.25">
      <c r="A1324" s="148"/>
      <c r="B1324" s="148"/>
      <c r="C1324" s="148"/>
      <c r="D1324" s="141"/>
      <c r="E1324" s="141"/>
      <c r="F1324" s="12">
        <v>43647</v>
      </c>
      <c r="G1324" s="12">
        <v>43830</v>
      </c>
      <c r="H1324" s="151"/>
      <c r="I1324" s="66">
        <f>$I$1270</f>
        <v>41.55</v>
      </c>
      <c r="J1324" s="13">
        <f>$J$1270</f>
        <v>2734.19</v>
      </c>
      <c r="K1324" s="15" t="s">
        <v>23</v>
      </c>
      <c r="L1324" s="15" t="s">
        <v>23</v>
      </c>
      <c r="M1324" s="152"/>
    </row>
    <row r="1325" spans="1:15" ht="15" customHeight="1" outlineLevel="1" x14ac:dyDescent="0.25">
      <c r="A1325" s="148"/>
      <c r="B1325" s="148"/>
      <c r="C1325" s="148"/>
      <c r="D1325" s="137">
        <f>$D$1469</f>
        <v>43454</v>
      </c>
      <c r="E1325" s="137" t="str">
        <f>$E$1469</f>
        <v>673-п</v>
      </c>
      <c r="F1325" s="50">
        <v>43466</v>
      </c>
      <c r="G1325" s="50">
        <v>43646</v>
      </c>
      <c r="H1325" s="149"/>
      <c r="I1325" s="15" t="s">
        <v>23</v>
      </c>
      <c r="J1325" s="15" t="s">
        <v>23</v>
      </c>
      <c r="K1325" s="13">
        <f>$K$1271</f>
        <v>30.8</v>
      </c>
      <c r="L1325" s="13">
        <f>$L$1271</f>
        <v>2073.9899999999998</v>
      </c>
      <c r="M1325" s="196" t="s">
        <v>420</v>
      </c>
    </row>
    <row r="1326" spans="1:15" ht="15" customHeight="1" outlineLevel="1" x14ac:dyDescent="0.25">
      <c r="A1326" s="148"/>
      <c r="B1326" s="148"/>
      <c r="C1326" s="148"/>
      <c r="D1326" s="138"/>
      <c r="E1326" s="138"/>
      <c r="F1326" s="50">
        <v>43647</v>
      </c>
      <c r="G1326" s="50">
        <v>43830</v>
      </c>
      <c r="H1326" s="150"/>
      <c r="I1326" s="15" t="s">
        <v>23</v>
      </c>
      <c r="J1326" s="15" t="s">
        <v>23</v>
      </c>
      <c r="K1326" s="13">
        <f>$K$1272</f>
        <v>31.42</v>
      </c>
      <c r="L1326" s="13">
        <f>$L$1272</f>
        <v>2115.4699999999998</v>
      </c>
      <c r="M1326" s="198"/>
    </row>
    <row r="1327" spans="1:15" ht="15" customHeight="1" outlineLevel="1" x14ac:dyDescent="0.25">
      <c r="A1327" s="148"/>
      <c r="B1327" s="148"/>
      <c r="C1327" s="148"/>
      <c r="D1327" s="138"/>
      <c r="E1327" s="138"/>
      <c r="F1327" s="50">
        <v>43466</v>
      </c>
      <c r="G1327" s="50">
        <v>43646</v>
      </c>
      <c r="H1327" s="150"/>
      <c r="I1327" s="15" t="s">
        <v>23</v>
      </c>
      <c r="J1327" s="15" t="s">
        <v>23</v>
      </c>
      <c r="K1327" s="13">
        <f>$K$1273</f>
        <v>30.8</v>
      </c>
      <c r="L1327" s="13">
        <f>$L$1273</f>
        <v>2271.5100000000002</v>
      </c>
      <c r="M1327" s="196" t="s">
        <v>421</v>
      </c>
    </row>
    <row r="1328" spans="1:15" ht="15" customHeight="1" outlineLevel="1" x14ac:dyDescent="0.25">
      <c r="A1328" s="148"/>
      <c r="B1328" s="148"/>
      <c r="C1328" s="148"/>
      <c r="D1328" s="138"/>
      <c r="E1328" s="138"/>
      <c r="F1328" s="50">
        <v>43647</v>
      </c>
      <c r="G1328" s="50">
        <v>43830</v>
      </c>
      <c r="H1328" s="150"/>
      <c r="I1328" s="15" t="s">
        <v>23</v>
      </c>
      <c r="J1328" s="15" t="s">
        <v>23</v>
      </c>
      <c r="K1328" s="13">
        <f>$K$1274</f>
        <v>31.42</v>
      </c>
      <c r="L1328" s="13">
        <f>$L$1274</f>
        <v>2316.94</v>
      </c>
      <c r="M1328" s="198"/>
    </row>
    <row r="1329" spans="1:13" ht="15" customHeight="1" outlineLevel="1" x14ac:dyDescent="0.25">
      <c r="A1329" s="148"/>
      <c r="B1329" s="148"/>
      <c r="C1329" s="148"/>
      <c r="D1329" s="138"/>
      <c r="E1329" s="138"/>
      <c r="F1329" s="50">
        <v>43466</v>
      </c>
      <c r="G1329" s="50">
        <v>43646</v>
      </c>
      <c r="H1329" s="150"/>
      <c r="I1329" s="15" t="s">
        <v>23</v>
      </c>
      <c r="J1329" s="15" t="s">
        <v>23</v>
      </c>
      <c r="K1329" s="13">
        <f>$K$1275</f>
        <v>30.8</v>
      </c>
      <c r="L1329" s="13">
        <f>$L$1275</f>
        <v>1933.85</v>
      </c>
      <c r="M1329" s="196" t="s">
        <v>422</v>
      </c>
    </row>
    <row r="1330" spans="1:13" ht="15" customHeight="1" outlineLevel="1" x14ac:dyDescent="0.25">
      <c r="A1330" s="148"/>
      <c r="B1330" s="148"/>
      <c r="C1330" s="148"/>
      <c r="D1330" s="138"/>
      <c r="E1330" s="138"/>
      <c r="F1330" s="50">
        <v>43647</v>
      </c>
      <c r="G1330" s="50">
        <v>43830</v>
      </c>
      <c r="H1330" s="150"/>
      <c r="I1330" s="15" t="s">
        <v>23</v>
      </c>
      <c r="J1330" s="15" t="s">
        <v>23</v>
      </c>
      <c r="K1330" s="13">
        <f>$K$1276</f>
        <v>31.42</v>
      </c>
      <c r="L1330" s="13">
        <f>$L$1276</f>
        <v>1972.53</v>
      </c>
      <c r="M1330" s="198"/>
    </row>
    <row r="1331" spans="1:13" ht="15" customHeight="1" outlineLevel="1" x14ac:dyDescent="0.25">
      <c r="A1331" s="148"/>
      <c r="B1331" s="148"/>
      <c r="C1331" s="148"/>
      <c r="D1331" s="138"/>
      <c r="E1331" s="138"/>
      <c r="F1331" s="50">
        <v>43466</v>
      </c>
      <c r="G1331" s="50">
        <v>43646</v>
      </c>
      <c r="H1331" s="150"/>
      <c r="I1331" s="15" t="s">
        <v>23</v>
      </c>
      <c r="J1331" s="15" t="s">
        <v>23</v>
      </c>
      <c r="K1331" s="13">
        <f>$K$1277</f>
        <v>30.8</v>
      </c>
      <c r="L1331" s="13">
        <f>$L$1277</f>
        <v>2073.9899999999998</v>
      </c>
      <c r="M1331" s="196" t="s">
        <v>423</v>
      </c>
    </row>
    <row r="1332" spans="1:13" ht="15" customHeight="1" outlineLevel="1" x14ac:dyDescent="0.25">
      <c r="A1332" s="148"/>
      <c r="B1332" s="148"/>
      <c r="C1332" s="148"/>
      <c r="D1332" s="138"/>
      <c r="E1332" s="138"/>
      <c r="F1332" s="50">
        <v>43647</v>
      </c>
      <c r="G1332" s="50">
        <v>43830</v>
      </c>
      <c r="H1332" s="150"/>
      <c r="I1332" s="15" t="s">
        <v>23</v>
      </c>
      <c r="J1332" s="15" t="s">
        <v>23</v>
      </c>
      <c r="K1332" s="13">
        <f>$K$1278</f>
        <v>31.42</v>
      </c>
      <c r="L1332" s="13">
        <f>$L$1278</f>
        <v>2115.4699999999998</v>
      </c>
      <c r="M1332" s="198"/>
    </row>
    <row r="1333" spans="1:13" ht="15" customHeight="1" outlineLevel="1" x14ac:dyDescent="0.25">
      <c r="A1333" s="148"/>
      <c r="B1333" s="148"/>
      <c r="C1333" s="148"/>
      <c r="D1333" s="138"/>
      <c r="E1333" s="138"/>
      <c r="F1333" s="50">
        <v>43466</v>
      </c>
      <c r="G1333" s="50">
        <v>43646</v>
      </c>
      <c r="H1333" s="150"/>
      <c r="I1333" s="15" t="s">
        <v>23</v>
      </c>
      <c r="J1333" s="15" t="s">
        <v>23</v>
      </c>
      <c r="K1333" s="13">
        <f>$K$1279</f>
        <v>30.8</v>
      </c>
      <c r="L1333" s="13">
        <f>$L$1279</f>
        <v>2168.2600000000002</v>
      </c>
      <c r="M1333" s="196" t="s">
        <v>424</v>
      </c>
    </row>
    <row r="1334" spans="1:13" ht="15" customHeight="1" outlineLevel="1" x14ac:dyDescent="0.25">
      <c r="A1334" s="148"/>
      <c r="B1334" s="148"/>
      <c r="C1334" s="148"/>
      <c r="D1334" s="138"/>
      <c r="E1334" s="138"/>
      <c r="F1334" s="50">
        <v>43647</v>
      </c>
      <c r="G1334" s="50">
        <v>43830</v>
      </c>
      <c r="H1334" s="150"/>
      <c r="I1334" s="15" t="s">
        <v>23</v>
      </c>
      <c r="J1334" s="15" t="s">
        <v>23</v>
      </c>
      <c r="K1334" s="13">
        <f>$K$1280</f>
        <v>31.42</v>
      </c>
      <c r="L1334" s="13">
        <f>$L$1280</f>
        <v>2211.62</v>
      </c>
      <c r="M1334" s="198"/>
    </row>
    <row r="1335" spans="1:13" ht="15" customHeight="1" outlineLevel="1" x14ac:dyDescent="0.25">
      <c r="A1335" s="148"/>
      <c r="B1335" s="148"/>
      <c r="C1335" s="148"/>
      <c r="D1335" s="138"/>
      <c r="E1335" s="138"/>
      <c r="F1335" s="50">
        <v>43466</v>
      </c>
      <c r="G1335" s="50">
        <v>43646</v>
      </c>
      <c r="H1335" s="150"/>
      <c r="I1335" s="15" t="s">
        <v>23</v>
      </c>
      <c r="J1335" s="15" t="s">
        <v>23</v>
      </c>
      <c r="K1335" s="13">
        <f>$K$1281</f>
        <v>30.8</v>
      </c>
      <c r="L1335" s="13">
        <f>$L$1281</f>
        <v>2345.98</v>
      </c>
      <c r="M1335" s="196" t="s">
        <v>425</v>
      </c>
    </row>
    <row r="1336" spans="1:13" ht="15" customHeight="1" outlineLevel="1" x14ac:dyDescent="0.25">
      <c r="A1336" s="148"/>
      <c r="B1336" s="148"/>
      <c r="C1336" s="148"/>
      <c r="D1336" s="138"/>
      <c r="E1336" s="138"/>
      <c r="F1336" s="50">
        <v>43647</v>
      </c>
      <c r="G1336" s="50">
        <v>43830</v>
      </c>
      <c r="H1336" s="150"/>
      <c r="I1336" s="15" t="s">
        <v>23</v>
      </c>
      <c r="J1336" s="15" t="s">
        <v>23</v>
      </c>
      <c r="K1336" s="13">
        <f>$K$1282</f>
        <v>31.42</v>
      </c>
      <c r="L1336" s="13">
        <f>$L$1282</f>
        <v>2392.9</v>
      </c>
      <c r="M1336" s="198"/>
    </row>
    <row r="1337" spans="1:13" ht="15" customHeight="1" outlineLevel="1" x14ac:dyDescent="0.25">
      <c r="A1337" s="148"/>
      <c r="B1337" s="148"/>
      <c r="C1337" s="148"/>
      <c r="D1337" s="138"/>
      <c r="E1337" s="138"/>
      <c r="F1337" s="50">
        <v>43466</v>
      </c>
      <c r="G1337" s="50">
        <v>43646</v>
      </c>
      <c r="H1337" s="150"/>
      <c r="I1337" s="15" t="s">
        <v>23</v>
      </c>
      <c r="J1337" s="15" t="s">
        <v>23</v>
      </c>
      <c r="K1337" s="13">
        <f>$K$1283</f>
        <v>30.8</v>
      </c>
      <c r="L1337" s="13">
        <f>$L$1283</f>
        <v>1987.57</v>
      </c>
      <c r="M1337" s="196" t="s">
        <v>426</v>
      </c>
    </row>
    <row r="1338" spans="1:13" ht="15" customHeight="1" outlineLevel="1" x14ac:dyDescent="0.25">
      <c r="A1338" s="148"/>
      <c r="B1338" s="148"/>
      <c r="C1338" s="148"/>
      <c r="D1338" s="138"/>
      <c r="E1338" s="138"/>
      <c r="F1338" s="50">
        <v>43647</v>
      </c>
      <c r="G1338" s="50">
        <v>43830</v>
      </c>
      <c r="H1338" s="150"/>
      <c r="I1338" s="15" t="s">
        <v>23</v>
      </c>
      <c r="J1338" s="15" t="s">
        <v>23</v>
      </c>
      <c r="K1338" s="13">
        <f>$K$1284</f>
        <v>31.42</v>
      </c>
      <c r="L1338" s="13">
        <f>$L$1284</f>
        <v>2027.32</v>
      </c>
      <c r="M1338" s="198"/>
    </row>
    <row r="1339" spans="1:13" ht="15" customHeight="1" outlineLevel="1" x14ac:dyDescent="0.25">
      <c r="A1339" s="148"/>
      <c r="B1339" s="148"/>
      <c r="C1339" s="148"/>
      <c r="D1339" s="138"/>
      <c r="E1339" s="138"/>
      <c r="F1339" s="50">
        <v>43466</v>
      </c>
      <c r="G1339" s="50">
        <v>43646</v>
      </c>
      <c r="H1339" s="150"/>
      <c r="I1339" s="15" t="s">
        <v>23</v>
      </c>
      <c r="J1339" s="15" t="s">
        <v>23</v>
      </c>
      <c r="K1339" s="13">
        <f>$K$1285</f>
        <v>30.8</v>
      </c>
      <c r="L1339" s="13">
        <f>$L$1285</f>
        <v>2168.2600000000002</v>
      </c>
      <c r="M1339" s="196" t="s">
        <v>427</v>
      </c>
    </row>
    <row r="1340" spans="1:13" ht="15" customHeight="1" outlineLevel="1" x14ac:dyDescent="0.25">
      <c r="A1340" s="147"/>
      <c r="B1340" s="147"/>
      <c r="C1340" s="148"/>
      <c r="D1340" s="141"/>
      <c r="E1340" s="141"/>
      <c r="F1340" s="50">
        <v>43647</v>
      </c>
      <c r="G1340" s="50">
        <v>43830</v>
      </c>
      <c r="H1340" s="151"/>
      <c r="I1340" s="15" t="s">
        <v>23</v>
      </c>
      <c r="J1340" s="15" t="s">
        <v>23</v>
      </c>
      <c r="K1340" s="13">
        <f>$K$1286</f>
        <v>31.42</v>
      </c>
      <c r="L1340" s="13">
        <f>$L$1286</f>
        <v>2211.62</v>
      </c>
      <c r="M1340" s="198"/>
    </row>
    <row r="1341" spans="1:13" ht="15" customHeight="1" outlineLevel="1" x14ac:dyDescent="0.25">
      <c r="A1341" s="146" t="s">
        <v>55</v>
      </c>
      <c r="B1341" s="146" t="s">
        <v>256</v>
      </c>
      <c r="C1341" s="148"/>
      <c r="D1341" s="137">
        <f>$D$1269</f>
        <v>43454</v>
      </c>
      <c r="E1341" s="137" t="str">
        <f>$E$1269</f>
        <v>565-п</v>
      </c>
      <c r="F1341" s="12">
        <v>43466</v>
      </c>
      <c r="G1341" s="12">
        <v>43646</v>
      </c>
      <c r="H1341" s="149"/>
      <c r="I1341" s="66">
        <f>$I$1269</f>
        <v>39.020000000000003</v>
      </c>
      <c r="J1341" s="13">
        <f>$J$1269</f>
        <v>2710.1</v>
      </c>
      <c r="K1341" s="15" t="s">
        <v>23</v>
      </c>
      <c r="L1341" s="15" t="s">
        <v>23</v>
      </c>
      <c r="M1341" s="153"/>
    </row>
    <row r="1342" spans="1:13" ht="15" customHeight="1" outlineLevel="1" x14ac:dyDescent="0.25">
      <c r="A1342" s="148"/>
      <c r="B1342" s="148"/>
      <c r="C1342" s="148"/>
      <c r="D1342" s="141"/>
      <c r="E1342" s="141"/>
      <c r="F1342" s="12">
        <v>43647</v>
      </c>
      <c r="G1342" s="12">
        <v>43830</v>
      </c>
      <c r="H1342" s="151"/>
      <c r="I1342" s="66">
        <f>$I$1270</f>
        <v>41.55</v>
      </c>
      <c r="J1342" s="13">
        <f>$J$1270</f>
        <v>2734.19</v>
      </c>
      <c r="K1342" s="15" t="s">
        <v>23</v>
      </c>
      <c r="L1342" s="15" t="s">
        <v>23</v>
      </c>
      <c r="M1342" s="152"/>
    </row>
    <row r="1343" spans="1:13" ht="15" customHeight="1" outlineLevel="1" x14ac:dyDescent="0.25">
      <c r="A1343" s="148"/>
      <c r="B1343" s="148"/>
      <c r="C1343" s="148"/>
      <c r="D1343" s="137">
        <f>$D$1469</f>
        <v>43454</v>
      </c>
      <c r="E1343" s="137" t="str">
        <f>$E$1469</f>
        <v>673-п</v>
      </c>
      <c r="F1343" s="50">
        <v>43466</v>
      </c>
      <c r="G1343" s="50">
        <v>43646</v>
      </c>
      <c r="H1343" s="149"/>
      <c r="I1343" s="15" t="s">
        <v>23</v>
      </c>
      <c r="J1343" s="15" t="s">
        <v>23</v>
      </c>
      <c r="K1343" s="13">
        <f>$K$1271</f>
        <v>30.8</v>
      </c>
      <c r="L1343" s="13">
        <f>$L$1271</f>
        <v>2073.9899999999998</v>
      </c>
      <c r="M1343" s="196" t="s">
        <v>420</v>
      </c>
    </row>
    <row r="1344" spans="1:13" ht="15" customHeight="1" outlineLevel="1" x14ac:dyDescent="0.25">
      <c r="A1344" s="148"/>
      <c r="B1344" s="148"/>
      <c r="C1344" s="148"/>
      <c r="D1344" s="138"/>
      <c r="E1344" s="138"/>
      <c r="F1344" s="50">
        <v>43647</v>
      </c>
      <c r="G1344" s="50">
        <v>43830</v>
      </c>
      <c r="H1344" s="150"/>
      <c r="I1344" s="15" t="s">
        <v>23</v>
      </c>
      <c r="J1344" s="15" t="s">
        <v>23</v>
      </c>
      <c r="K1344" s="13">
        <f>$K$1272</f>
        <v>31.42</v>
      </c>
      <c r="L1344" s="13">
        <f>$L$1272</f>
        <v>2115.4699999999998</v>
      </c>
      <c r="M1344" s="198"/>
    </row>
    <row r="1345" spans="1:13" ht="15" customHeight="1" outlineLevel="1" x14ac:dyDescent="0.25">
      <c r="A1345" s="148"/>
      <c r="B1345" s="148"/>
      <c r="C1345" s="148"/>
      <c r="D1345" s="138"/>
      <c r="E1345" s="138"/>
      <c r="F1345" s="50">
        <v>43466</v>
      </c>
      <c r="G1345" s="50">
        <v>43646</v>
      </c>
      <c r="H1345" s="150"/>
      <c r="I1345" s="15" t="s">
        <v>23</v>
      </c>
      <c r="J1345" s="15" t="s">
        <v>23</v>
      </c>
      <c r="K1345" s="13">
        <f>$K$1273</f>
        <v>30.8</v>
      </c>
      <c r="L1345" s="13">
        <f>$L$1273</f>
        <v>2271.5100000000002</v>
      </c>
      <c r="M1345" s="196" t="s">
        <v>421</v>
      </c>
    </row>
    <row r="1346" spans="1:13" ht="15" customHeight="1" outlineLevel="1" x14ac:dyDescent="0.25">
      <c r="A1346" s="148"/>
      <c r="B1346" s="148"/>
      <c r="C1346" s="148"/>
      <c r="D1346" s="138"/>
      <c r="E1346" s="138"/>
      <c r="F1346" s="50">
        <v>43647</v>
      </c>
      <c r="G1346" s="50">
        <v>43830</v>
      </c>
      <c r="H1346" s="150"/>
      <c r="I1346" s="15" t="s">
        <v>23</v>
      </c>
      <c r="J1346" s="15" t="s">
        <v>23</v>
      </c>
      <c r="K1346" s="13">
        <f>$K$1274</f>
        <v>31.42</v>
      </c>
      <c r="L1346" s="13">
        <f>$L$1274</f>
        <v>2316.94</v>
      </c>
      <c r="M1346" s="198"/>
    </row>
    <row r="1347" spans="1:13" ht="15" customHeight="1" outlineLevel="1" x14ac:dyDescent="0.25">
      <c r="A1347" s="148"/>
      <c r="B1347" s="148"/>
      <c r="C1347" s="148"/>
      <c r="D1347" s="138"/>
      <c r="E1347" s="138"/>
      <c r="F1347" s="50">
        <v>43466</v>
      </c>
      <c r="G1347" s="50">
        <v>43646</v>
      </c>
      <c r="H1347" s="150"/>
      <c r="I1347" s="15" t="s">
        <v>23</v>
      </c>
      <c r="J1347" s="15" t="s">
        <v>23</v>
      </c>
      <c r="K1347" s="13">
        <f>$K$1275</f>
        <v>30.8</v>
      </c>
      <c r="L1347" s="13">
        <f>$L$1275</f>
        <v>1933.85</v>
      </c>
      <c r="M1347" s="196" t="s">
        <v>422</v>
      </c>
    </row>
    <row r="1348" spans="1:13" ht="15" customHeight="1" outlineLevel="1" x14ac:dyDescent="0.25">
      <c r="A1348" s="148"/>
      <c r="B1348" s="148"/>
      <c r="C1348" s="148"/>
      <c r="D1348" s="138"/>
      <c r="E1348" s="138"/>
      <c r="F1348" s="50">
        <v>43647</v>
      </c>
      <c r="G1348" s="50">
        <v>43830</v>
      </c>
      <c r="H1348" s="150"/>
      <c r="I1348" s="15" t="s">
        <v>23</v>
      </c>
      <c r="J1348" s="15" t="s">
        <v>23</v>
      </c>
      <c r="K1348" s="13">
        <f>$K$1276</f>
        <v>31.42</v>
      </c>
      <c r="L1348" s="13">
        <f>$L$1276</f>
        <v>1972.53</v>
      </c>
      <c r="M1348" s="198"/>
    </row>
    <row r="1349" spans="1:13" ht="15" customHeight="1" outlineLevel="1" x14ac:dyDescent="0.25">
      <c r="A1349" s="148"/>
      <c r="B1349" s="148"/>
      <c r="C1349" s="148"/>
      <c r="D1349" s="138"/>
      <c r="E1349" s="138"/>
      <c r="F1349" s="50">
        <v>43466</v>
      </c>
      <c r="G1349" s="50">
        <v>43646</v>
      </c>
      <c r="H1349" s="150"/>
      <c r="I1349" s="15" t="s">
        <v>23</v>
      </c>
      <c r="J1349" s="15" t="s">
        <v>23</v>
      </c>
      <c r="K1349" s="13">
        <f>$K$1277</f>
        <v>30.8</v>
      </c>
      <c r="L1349" s="13">
        <f>$L$1277</f>
        <v>2073.9899999999998</v>
      </c>
      <c r="M1349" s="196" t="s">
        <v>423</v>
      </c>
    </row>
    <row r="1350" spans="1:13" ht="15" customHeight="1" outlineLevel="1" x14ac:dyDescent="0.25">
      <c r="A1350" s="148"/>
      <c r="B1350" s="148"/>
      <c r="C1350" s="148"/>
      <c r="D1350" s="138"/>
      <c r="E1350" s="138"/>
      <c r="F1350" s="50">
        <v>43647</v>
      </c>
      <c r="G1350" s="50">
        <v>43830</v>
      </c>
      <c r="H1350" s="150"/>
      <c r="I1350" s="15" t="s">
        <v>23</v>
      </c>
      <c r="J1350" s="15" t="s">
        <v>23</v>
      </c>
      <c r="K1350" s="13">
        <f>$K$1278</f>
        <v>31.42</v>
      </c>
      <c r="L1350" s="13">
        <f>$L$1278</f>
        <v>2115.4699999999998</v>
      </c>
      <c r="M1350" s="198"/>
    </row>
    <row r="1351" spans="1:13" ht="15" customHeight="1" outlineLevel="1" x14ac:dyDescent="0.25">
      <c r="A1351" s="148"/>
      <c r="B1351" s="148"/>
      <c r="C1351" s="148"/>
      <c r="D1351" s="138"/>
      <c r="E1351" s="138"/>
      <c r="F1351" s="50">
        <v>43466</v>
      </c>
      <c r="G1351" s="50">
        <v>43646</v>
      </c>
      <c r="H1351" s="150"/>
      <c r="I1351" s="15" t="s">
        <v>23</v>
      </c>
      <c r="J1351" s="15" t="s">
        <v>23</v>
      </c>
      <c r="K1351" s="13">
        <f>$K$1279</f>
        <v>30.8</v>
      </c>
      <c r="L1351" s="13">
        <f>$L$1279</f>
        <v>2168.2600000000002</v>
      </c>
      <c r="M1351" s="196" t="s">
        <v>424</v>
      </c>
    </row>
    <row r="1352" spans="1:13" ht="15" customHeight="1" outlineLevel="1" x14ac:dyDescent="0.25">
      <c r="A1352" s="148"/>
      <c r="B1352" s="148"/>
      <c r="C1352" s="148"/>
      <c r="D1352" s="138"/>
      <c r="E1352" s="138"/>
      <c r="F1352" s="50">
        <v>43647</v>
      </c>
      <c r="G1352" s="50">
        <v>43830</v>
      </c>
      <c r="H1352" s="150"/>
      <c r="I1352" s="15" t="s">
        <v>23</v>
      </c>
      <c r="J1352" s="15" t="s">
        <v>23</v>
      </c>
      <c r="K1352" s="13">
        <f>$K$1280</f>
        <v>31.42</v>
      </c>
      <c r="L1352" s="13">
        <f>$L$1280</f>
        <v>2211.62</v>
      </c>
      <c r="M1352" s="198"/>
    </row>
    <row r="1353" spans="1:13" ht="15" customHeight="1" outlineLevel="1" x14ac:dyDescent="0.25">
      <c r="A1353" s="148"/>
      <c r="B1353" s="148"/>
      <c r="C1353" s="148"/>
      <c r="D1353" s="138"/>
      <c r="E1353" s="138"/>
      <c r="F1353" s="50">
        <v>43466</v>
      </c>
      <c r="G1353" s="50">
        <v>43646</v>
      </c>
      <c r="H1353" s="150"/>
      <c r="I1353" s="15" t="s">
        <v>23</v>
      </c>
      <c r="J1353" s="15" t="s">
        <v>23</v>
      </c>
      <c r="K1353" s="13">
        <f>$K$1281</f>
        <v>30.8</v>
      </c>
      <c r="L1353" s="13">
        <f>$L$1281</f>
        <v>2345.98</v>
      </c>
      <c r="M1353" s="196" t="s">
        <v>425</v>
      </c>
    </row>
    <row r="1354" spans="1:13" ht="15" customHeight="1" outlineLevel="1" x14ac:dyDescent="0.25">
      <c r="A1354" s="148"/>
      <c r="B1354" s="148"/>
      <c r="C1354" s="148"/>
      <c r="D1354" s="138"/>
      <c r="E1354" s="138"/>
      <c r="F1354" s="50">
        <v>43647</v>
      </c>
      <c r="G1354" s="50">
        <v>43830</v>
      </c>
      <c r="H1354" s="150"/>
      <c r="I1354" s="15" t="s">
        <v>23</v>
      </c>
      <c r="J1354" s="15" t="s">
        <v>23</v>
      </c>
      <c r="K1354" s="13">
        <f>$K$1282</f>
        <v>31.42</v>
      </c>
      <c r="L1354" s="13">
        <f>$L$1282</f>
        <v>2392.9</v>
      </c>
      <c r="M1354" s="198"/>
    </row>
    <row r="1355" spans="1:13" ht="15" customHeight="1" outlineLevel="1" x14ac:dyDescent="0.25">
      <c r="A1355" s="148"/>
      <c r="B1355" s="148"/>
      <c r="C1355" s="148"/>
      <c r="D1355" s="138"/>
      <c r="E1355" s="138"/>
      <c r="F1355" s="50">
        <v>43466</v>
      </c>
      <c r="G1355" s="50">
        <v>43646</v>
      </c>
      <c r="H1355" s="150"/>
      <c r="I1355" s="15" t="s">
        <v>23</v>
      </c>
      <c r="J1355" s="15" t="s">
        <v>23</v>
      </c>
      <c r="K1355" s="13">
        <f>$K$1283</f>
        <v>30.8</v>
      </c>
      <c r="L1355" s="13">
        <f>$L$1283</f>
        <v>1987.57</v>
      </c>
      <c r="M1355" s="196" t="s">
        <v>426</v>
      </c>
    </row>
    <row r="1356" spans="1:13" ht="15" customHeight="1" outlineLevel="1" x14ac:dyDescent="0.25">
      <c r="A1356" s="148"/>
      <c r="B1356" s="148"/>
      <c r="C1356" s="148"/>
      <c r="D1356" s="138"/>
      <c r="E1356" s="138"/>
      <c r="F1356" s="50">
        <v>43647</v>
      </c>
      <c r="G1356" s="50">
        <v>43830</v>
      </c>
      <c r="H1356" s="150"/>
      <c r="I1356" s="15" t="s">
        <v>23</v>
      </c>
      <c r="J1356" s="15" t="s">
        <v>23</v>
      </c>
      <c r="K1356" s="13">
        <f>$K$1284</f>
        <v>31.42</v>
      </c>
      <c r="L1356" s="13">
        <f>$L$1284</f>
        <v>2027.32</v>
      </c>
      <c r="M1356" s="198"/>
    </row>
    <row r="1357" spans="1:13" ht="15" customHeight="1" outlineLevel="1" x14ac:dyDescent="0.25">
      <c r="A1357" s="148"/>
      <c r="B1357" s="148"/>
      <c r="C1357" s="148"/>
      <c r="D1357" s="138"/>
      <c r="E1357" s="138"/>
      <c r="F1357" s="50">
        <v>43466</v>
      </c>
      <c r="G1357" s="50">
        <v>43646</v>
      </c>
      <c r="H1357" s="150"/>
      <c r="I1357" s="15" t="s">
        <v>23</v>
      </c>
      <c r="J1357" s="15" t="s">
        <v>23</v>
      </c>
      <c r="K1357" s="13">
        <f>$K$1285</f>
        <v>30.8</v>
      </c>
      <c r="L1357" s="13">
        <f>$L$1285</f>
        <v>2168.2600000000002</v>
      </c>
      <c r="M1357" s="196" t="s">
        <v>427</v>
      </c>
    </row>
    <row r="1358" spans="1:13" ht="15" customHeight="1" outlineLevel="1" x14ac:dyDescent="0.25">
      <c r="A1358" s="147"/>
      <c r="B1358" s="147"/>
      <c r="C1358" s="148"/>
      <c r="D1358" s="141"/>
      <c r="E1358" s="141"/>
      <c r="F1358" s="50">
        <v>43647</v>
      </c>
      <c r="G1358" s="50">
        <v>43830</v>
      </c>
      <c r="H1358" s="151"/>
      <c r="I1358" s="15" t="s">
        <v>23</v>
      </c>
      <c r="J1358" s="15" t="s">
        <v>23</v>
      </c>
      <c r="K1358" s="13">
        <f>$K$1286</f>
        <v>31.42</v>
      </c>
      <c r="L1358" s="13">
        <f>$L$1286</f>
        <v>2211.62</v>
      </c>
      <c r="M1358" s="198"/>
    </row>
    <row r="1359" spans="1:13" ht="15" customHeight="1" outlineLevel="1" x14ac:dyDescent="0.25">
      <c r="A1359" s="146" t="s">
        <v>55</v>
      </c>
      <c r="B1359" s="146" t="s">
        <v>402</v>
      </c>
      <c r="C1359" s="148"/>
      <c r="D1359" s="137">
        <f>$D$1269</f>
        <v>43454</v>
      </c>
      <c r="E1359" s="137" t="str">
        <f>$E$1269</f>
        <v>565-п</v>
      </c>
      <c r="F1359" s="12">
        <v>43466</v>
      </c>
      <c r="G1359" s="12">
        <v>43646</v>
      </c>
      <c r="H1359" s="149"/>
      <c r="I1359" s="66">
        <f>$I$1269</f>
        <v>39.020000000000003</v>
      </c>
      <c r="J1359" s="13">
        <f>$J$1269</f>
        <v>2710.1</v>
      </c>
      <c r="K1359" s="15" t="s">
        <v>23</v>
      </c>
      <c r="L1359" s="15" t="s">
        <v>23</v>
      </c>
      <c r="M1359" s="153"/>
    </row>
    <row r="1360" spans="1:13" ht="15" customHeight="1" outlineLevel="1" x14ac:dyDescent="0.25">
      <c r="A1360" s="148"/>
      <c r="B1360" s="148"/>
      <c r="C1360" s="148"/>
      <c r="D1360" s="141"/>
      <c r="E1360" s="141"/>
      <c r="F1360" s="12">
        <v>43647</v>
      </c>
      <c r="G1360" s="12">
        <v>43830</v>
      </c>
      <c r="H1360" s="151"/>
      <c r="I1360" s="66">
        <f>$I$1270</f>
        <v>41.55</v>
      </c>
      <c r="J1360" s="13">
        <f>$J$1270</f>
        <v>2734.19</v>
      </c>
      <c r="K1360" s="15" t="s">
        <v>23</v>
      </c>
      <c r="L1360" s="15" t="s">
        <v>23</v>
      </c>
      <c r="M1360" s="152"/>
    </row>
    <row r="1361" spans="1:13" ht="15" customHeight="1" outlineLevel="1" x14ac:dyDescent="0.25">
      <c r="A1361" s="148"/>
      <c r="B1361" s="148"/>
      <c r="C1361" s="148"/>
      <c r="D1361" s="137">
        <f>$D$1469</f>
        <v>43454</v>
      </c>
      <c r="E1361" s="137" t="str">
        <f>$E$1469</f>
        <v>673-п</v>
      </c>
      <c r="F1361" s="50">
        <v>43466</v>
      </c>
      <c r="G1361" s="50">
        <v>43646</v>
      </c>
      <c r="H1361" s="149"/>
      <c r="I1361" s="15" t="s">
        <v>23</v>
      </c>
      <c r="J1361" s="15" t="s">
        <v>23</v>
      </c>
      <c r="K1361" s="13">
        <f>$K$1271</f>
        <v>30.8</v>
      </c>
      <c r="L1361" s="13">
        <f>$L$1271</f>
        <v>2073.9899999999998</v>
      </c>
      <c r="M1361" s="196" t="s">
        <v>420</v>
      </c>
    </row>
    <row r="1362" spans="1:13" ht="15" customHeight="1" outlineLevel="1" x14ac:dyDescent="0.25">
      <c r="A1362" s="148"/>
      <c r="B1362" s="148"/>
      <c r="C1362" s="148"/>
      <c r="D1362" s="138"/>
      <c r="E1362" s="138"/>
      <c r="F1362" s="50">
        <v>43647</v>
      </c>
      <c r="G1362" s="50">
        <v>43830</v>
      </c>
      <c r="H1362" s="150"/>
      <c r="I1362" s="15" t="s">
        <v>23</v>
      </c>
      <c r="J1362" s="15" t="s">
        <v>23</v>
      </c>
      <c r="K1362" s="13">
        <f>$K$1272</f>
        <v>31.42</v>
      </c>
      <c r="L1362" s="13">
        <f>$L$1272</f>
        <v>2115.4699999999998</v>
      </c>
      <c r="M1362" s="198"/>
    </row>
    <row r="1363" spans="1:13" ht="15" customHeight="1" outlineLevel="1" x14ac:dyDescent="0.25">
      <c r="A1363" s="148"/>
      <c r="B1363" s="148"/>
      <c r="C1363" s="148"/>
      <c r="D1363" s="138"/>
      <c r="E1363" s="138"/>
      <c r="F1363" s="50">
        <v>43466</v>
      </c>
      <c r="G1363" s="50">
        <v>43646</v>
      </c>
      <c r="H1363" s="150"/>
      <c r="I1363" s="15" t="s">
        <v>23</v>
      </c>
      <c r="J1363" s="15" t="s">
        <v>23</v>
      </c>
      <c r="K1363" s="13">
        <f>$K$1273</f>
        <v>30.8</v>
      </c>
      <c r="L1363" s="13">
        <f>$L$1273</f>
        <v>2271.5100000000002</v>
      </c>
      <c r="M1363" s="196" t="s">
        <v>421</v>
      </c>
    </row>
    <row r="1364" spans="1:13" ht="15" customHeight="1" outlineLevel="1" x14ac:dyDescent="0.25">
      <c r="A1364" s="148"/>
      <c r="B1364" s="148"/>
      <c r="C1364" s="148"/>
      <c r="D1364" s="138"/>
      <c r="E1364" s="138"/>
      <c r="F1364" s="50">
        <v>43647</v>
      </c>
      <c r="G1364" s="50">
        <v>43830</v>
      </c>
      <c r="H1364" s="150"/>
      <c r="I1364" s="15" t="s">
        <v>23</v>
      </c>
      <c r="J1364" s="15" t="s">
        <v>23</v>
      </c>
      <c r="K1364" s="13">
        <f>$K$1274</f>
        <v>31.42</v>
      </c>
      <c r="L1364" s="13">
        <f>$L$1274</f>
        <v>2316.94</v>
      </c>
      <c r="M1364" s="198"/>
    </row>
    <row r="1365" spans="1:13" ht="15" customHeight="1" outlineLevel="1" x14ac:dyDescent="0.25">
      <c r="A1365" s="148"/>
      <c r="B1365" s="148"/>
      <c r="C1365" s="148"/>
      <c r="D1365" s="138"/>
      <c r="E1365" s="138"/>
      <c r="F1365" s="50">
        <v>43466</v>
      </c>
      <c r="G1365" s="50">
        <v>43646</v>
      </c>
      <c r="H1365" s="150"/>
      <c r="I1365" s="15" t="s">
        <v>23</v>
      </c>
      <c r="J1365" s="15" t="s">
        <v>23</v>
      </c>
      <c r="K1365" s="13">
        <f>$K$1275</f>
        <v>30.8</v>
      </c>
      <c r="L1365" s="13">
        <f>$L$1275</f>
        <v>1933.85</v>
      </c>
      <c r="M1365" s="196" t="s">
        <v>422</v>
      </c>
    </row>
    <row r="1366" spans="1:13" ht="15" customHeight="1" outlineLevel="1" x14ac:dyDescent="0.25">
      <c r="A1366" s="148"/>
      <c r="B1366" s="148"/>
      <c r="C1366" s="148"/>
      <c r="D1366" s="138"/>
      <c r="E1366" s="138"/>
      <c r="F1366" s="50">
        <v>43647</v>
      </c>
      <c r="G1366" s="50">
        <v>43830</v>
      </c>
      <c r="H1366" s="150"/>
      <c r="I1366" s="15" t="s">
        <v>23</v>
      </c>
      <c r="J1366" s="15" t="s">
        <v>23</v>
      </c>
      <c r="K1366" s="13">
        <f>$K$1276</f>
        <v>31.42</v>
      </c>
      <c r="L1366" s="13">
        <f>$L$1276</f>
        <v>1972.53</v>
      </c>
      <c r="M1366" s="198"/>
    </row>
    <row r="1367" spans="1:13" ht="15" customHeight="1" outlineLevel="1" x14ac:dyDescent="0.25">
      <c r="A1367" s="148"/>
      <c r="B1367" s="148"/>
      <c r="C1367" s="148"/>
      <c r="D1367" s="138"/>
      <c r="E1367" s="138"/>
      <c r="F1367" s="50">
        <v>43466</v>
      </c>
      <c r="G1367" s="50">
        <v>43646</v>
      </c>
      <c r="H1367" s="150"/>
      <c r="I1367" s="15" t="s">
        <v>23</v>
      </c>
      <c r="J1367" s="15" t="s">
        <v>23</v>
      </c>
      <c r="K1367" s="13">
        <f>$K$1277</f>
        <v>30.8</v>
      </c>
      <c r="L1367" s="13">
        <f>$L$1277</f>
        <v>2073.9899999999998</v>
      </c>
      <c r="M1367" s="196" t="s">
        <v>423</v>
      </c>
    </row>
    <row r="1368" spans="1:13" ht="15" customHeight="1" outlineLevel="1" x14ac:dyDescent="0.25">
      <c r="A1368" s="148"/>
      <c r="B1368" s="148"/>
      <c r="C1368" s="148"/>
      <c r="D1368" s="138"/>
      <c r="E1368" s="138"/>
      <c r="F1368" s="50">
        <v>43647</v>
      </c>
      <c r="G1368" s="50">
        <v>43830</v>
      </c>
      <c r="H1368" s="150"/>
      <c r="I1368" s="15" t="s">
        <v>23</v>
      </c>
      <c r="J1368" s="15" t="s">
        <v>23</v>
      </c>
      <c r="K1368" s="13">
        <f>$K$1278</f>
        <v>31.42</v>
      </c>
      <c r="L1368" s="13">
        <f>$L$1278</f>
        <v>2115.4699999999998</v>
      </c>
      <c r="M1368" s="198"/>
    </row>
    <row r="1369" spans="1:13" ht="15" customHeight="1" outlineLevel="1" x14ac:dyDescent="0.25">
      <c r="A1369" s="148"/>
      <c r="B1369" s="148"/>
      <c r="C1369" s="148"/>
      <c r="D1369" s="138"/>
      <c r="E1369" s="138"/>
      <c r="F1369" s="50">
        <v>43466</v>
      </c>
      <c r="G1369" s="50">
        <v>43646</v>
      </c>
      <c r="H1369" s="150"/>
      <c r="I1369" s="15" t="s">
        <v>23</v>
      </c>
      <c r="J1369" s="15" t="s">
        <v>23</v>
      </c>
      <c r="K1369" s="13">
        <f>$K$1279</f>
        <v>30.8</v>
      </c>
      <c r="L1369" s="13">
        <f>$L$1279</f>
        <v>2168.2600000000002</v>
      </c>
      <c r="M1369" s="196" t="s">
        <v>424</v>
      </c>
    </row>
    <row r="1370" spans="1:13" ht="15" customHeight="1" outlineLevel="1" x14ac:dyDescent="0.25">
      <c r="A1370" s="148"/>
      <c r="B1370" s="148"/>
      <c r="C1370" s="148"/>
      <c r="D1370" s="138"/>
      <c r="E1370" s="138"/>
      <c r="F1370" s="50">
        <v>43647</v>
      </c>
      <c r="G1370" s="50">
        <v>43830</v>
      </c>
      <c r="H1370" s="150"/>
      <c r="I1370" s="15" t="s">
        <v>23</v>
      </c>
      <c r="J1370" s="15" t="s">
        <v>23</v>
      </c>
      <c r="K1370" s="13">
        <f>$K$1280</f>
        <v>31.42</v>
      </c>
      <c r="L1370" s="13">
        <f>$L$1280</f>
        <v>2211.62</v>
      </c>
      <c r="M1370" s="198"/>
    </row>
    <row r="1371" spans="1:13" ht="15" customHeight="1" outlineLevel="1" x14ac:dyDescent="0.25">
      <c r="A1371" s="148"/>
      <c r="B1371" s="148"/>
      <c r="C1371" s="148"/>
      <c r="D1371" s="138"/>
      <c r="E1371" s="138"/>
      <c r="F1371" s="50">
        <v>43466</v>
      </c>
      <c r="G1371" s="50">
        <v>43646</v>
      </c>
      <c r="H1371" s="150"/>
      <c r="I1371" s="15" t="s">
        <v>23</v>
      </c>
      <c r="J1371" s="15" t="s">
        <v>23</v>
      </c>
      <c r="K1371" s="13">
        <f>$K$1281</f>
        <v>30.8</v>
      </c>
      <c r="L1371" s="13">
        <f>$L$1281</f>
        <v>2345.98</v>
      </c>
      <c r="M1371" s="196" t="s">
        <v>425</v>
      </c>
    </row>
    <row r="1372" spans="1:13" ht="15" customHeight="1" outlineLevel="1" x14ac:dyDescent="0.25">
      <c r="A1372" s="148"/>
      <c r="B1372" s="148"/>
      <c r="C1372" s="148"/>
      <c r="D1372" s="138"/>
      <c r="E1372" s="138"/>
      <c r="F1372" s="50">
        <v>43647</v>
      </c>
      <c r="G1372" s="50">
        <v>43830</v>
      </c>
      <c r="H1372" s="150"/>
      <c r="I1372" s="15" t="s">
        <v>23</v>
      </c>
      <c r="J1372" s="15" t="s">
        <v>23</v>
      </c>
      <c r="K1372" s="13">
        <f>$K$1282</f>
        <v>31.42</v>
      </c>
      <c r="L1372" s="13">
        <f>$L$1282</f>
        <v>2392.9</v>
      </c>
      <c r="M1372" s="198"/>
    </row>
    <row r="1373" spans="1:13" ht="15" customHeight="1" outlineLevel="1" x14ac:dyDescent="0.25">
      <c r="A1373" s="148"/>
      <c r="B1373" s="148"/>
      <c r="C1373" s="148"/>
      <c r="D1373" s="138"/>
      <c r="E1373" s="138"/>
      <c r="F1373" s="50">
        <v>43466</v>
      </c>
      <c r="G1373" s="50">
        <v>43646</v>
      </c>
      <c r="H1373" s="150"/>
      <c r="I1373" s="15" t="s">
        <v>23</v>
      </c>
      <c r="J1373" s="15" t="s">
        <v>23</v>
      </c>
      <c r="K1373" s="13">
        <f>$K$1283</f>
        <v>30.8</v>
      </c>
      <c r="L1373" s="13">
        <f>$L$1283</f>
        <v>1987.57</v>
      </c>
      <c r="M1373" s="196" t="s">
        <v>426</v>
      </c>
    </row>
    <row r="1374" spans="1:13" ht="15" customHeight="1" outlineLevel="1" x14ac:dyDescent="0.25">
      <c r="A1374" s="148"/>
      <c r="B1374" s="148"/>
      <c r="C1374" s="148"/>
      <c r="D1374" s="138"/>
      <c r="E1374" s="138"/>
      <c r="F1374" s="50">
        <v>43647</v>
      </c>
      <c r="G1374" s="50">
        <v>43830</v>
      </c>
      <c r="H1374" s="150"/>
      <c r="I1374" s="15" t="s">
        <v>23</v>
      </c>
      <c r="J1374" s="15" t="s">
        <v>23</v>
      </c>
      <c r="K1374" s="13">
        <f>$K$1284</f>
        <v>31.42</v>
      </c>
      <c r="L1374" s="13">
        <f>$L$1284</f>
        <v>2027.32</v>
      </c>
      <c r="M1374" s="198"/>
    </row>
    <row r="1375" spans="1:13" ht="15" customHeight="1" outlineLevel="1" x14ac:dyDescent="0.25">
      <c r="A1375" s="148"/>
      <c r="B1375" s="148"/>
      <c r="C1375" s="148"/>
      <c r="D1375" s="138"/>
      <c r="E1375" s="138"/>
      <c r="F1375" s="50">
        <v>43466</v>
      </c>
      <c r="G1375" s="50">
        <v>43646</v>
      </c>
      <c r="H1375" s="150"/>
      <c r="I1375" s="15" t="s">
        <v>23</v>
      </c>
      <c r="J1375" s="15" t="s">
        <v>23</v>
      </c>
      <c r="K1375" s="13">
        <f>$K$1285</f>
        <v>30.8</v>
      </c>
      <c r="L1375" s="13">
        <f>$L$1285</f>
        <v>2168.2600000000002</v>
      </c>
      <c r="M1375" s="196" t="s">
        <v>427</v>
      </c>
    </row>
    <row r="1376" spans="1:13" ht="15" customHeight="1" outlineLevel="1" x14ac:dyDescent="0.25">
      <c r="A1376" s="147"/>
      <c r="B1376" s="147"/>
      <c r="C1376" s="148"/>
      <c r="D1376" s="141"/>
      <c r="E1376" s="141"/>
      <c r="F1376" s="50">
        <v>43647</v>
      </c>
      <c r="G1376" s="50">
        <v>43830</v>
      </c>
      <c r="H1376" s="151"/>
      <c r="I1376" s="15" t="s">
        <v>23</v>
      </c>
      <c r="J1376" s="15" t="s">
        <v>23</v>
      </c>
      <c r="K1376" s="13">
        <f>$K$1286</f>
        <v>31.42</v>
      </c>
      <c r="L1376" s="13">
        <f>$L$1286</f>
        <v>2211.62</v>
      </c>
      <c r="M1376" s="198"/>
    </row>
    <row r="1377" spans="1:13" ht="15" customHeight="1" outlineLevel="1" x14ac:dyDescent="0.25">
      <c r="A1377" s="146" t="s">
        <v>55</v>
      </c>
      <c r="B1377" s="146" t="s">
        <v>358</v>
      </c>
      <c r="C1377" s="148"/>
      <c r="D1377" s="137">
        <f>$D$1269</f>
        <v>43454</v>
      </c>
      <c r="E1377" s="137" t="str">
        <f>$E$1269</f>
        <v>565-п</v>
      </c>
      <c r="F1377" s="12">
        <v>43466</v>
      </c>
      <c r="G1377" s="12">
        <v>43646</v>
      </c>
      <c r="H1377" s="149"/>
      <c r="I1377" s="66">
        <f>$I$1269</f>
        <v>39.020000000000003</v>
      </c>
      <c r="J1377" s="13">
        <f>$J$1269</f>
        <v>2710.1</v>
      </c>
      <c r="K1377" s="15" t="s">
        <v>23</v>
      </c>
      <c r="L1377" s="15" t="s">
        <v>23</v>
      </c>
      <c r="M1377" s="153"/>
    </row>
    <row r="1378" spans="1:13" ht="15" customHeight="1" outlineLevel="1" x14ac:dyDescent="0.25">
      <c r="A1378" s="148"/>
      <c r="B1378" s="148"/>
      <c r="C1378" s="148"/>
      <c r="D1378" s="141"/>
      <c r="E1378" s="141"/>
      <c r="F1378" s="12">
        <v>43647</v>
      </c>
      <c r="G1378" s="12">
        <v>43830</v>
      </c>
      <c r="H1378" s="151"/>
      <c r="I1378" s="66">
        <f>$I$1270</f>
        <v>41.55</v>
      </c>
      <c r="J1378" s="13">
        <f>$J$1270</f>
        <v>2734.19</v>
      </c>
      <c r="K1378" s="15" t="s">
        <v>23</v>
      </c>
      <c r="L1378" s="15" t="s">
        <v>23</v>
      </c>
      <c r="M1378" s="152"/>
    </row>
    <row r="1379" spans="1:13" ht="15" customHeight="1" outlineLevel="1" x14ac:dyDescent="0.25">
      <c r="A1379" s="148"/>
      <c r="B1379" s="148"/>
      <c r="C1379" s="148"/>
      <c r="D1379" s="137">
        <f>$D$1469</f>
        <v>43454</v>
      </c>
      <c r="E1379" s="137" t="str">
        <f>$E$1469</f>
        <v>673-п</v>
      </c>
      <c r="F1379" s="50">
        <v>43466</v>
      </c>
      <c r="G1379" s="50">
        <v>43646</v>
      </c>
      <c r="H1379" s="149"/>
      <c r="I1379" s="15" t="s">
        <v>23</v>
      </c>
      <c r="J1379" s="15" t="s">
        <v>23</v>
      </c>
      <c r="K1379" s="13">
        <f>$K$1271</f>
        <v>30.8</v>
      </c>
      <c r="L1379" s="13">
        <f>$L$1271</f>
        <v>2073.9899999999998</v>
      </c>
      <c r="M1379" s="196" t="s">
        <v>420</v>
      </c>
    </row>
    <row r="1380" spans="1:13" ht="15" customHeight="1" outlineLevel="1" x14ac:dyDescent="0.25">
      <c r="A1380" s="148"/>
      <c r="B1380" s="148"/>
      <c r="C1380" s="148"/>
      <c r="D1380" s="138"/>
      <c r="E1380" s="138"/>
      <c r="F1380" s="50">
        <v>43647</v>
      </c>
      <c r="G1380" s="50">
        <v>43830</v>
      </c>
      <c r="H1380" s="150"/>
      <c r="I1380" s="15" t="s">
        <v>23</v>
      </c>
      <c r="J1380" s="15" t="s">
        <v>23</v>
      </c>
      <c r="K1380" s="13">
        <f>$K$1272</f>
        <v>31.42</v>
      </c>
      <c r="L1380" s="13">
        <f>$L$1272</f>
        <v>2115.4699999999998</v>
      </c>
      <c r="M1380" s="198"/>
    </row>
    <row r="1381" spans="1:13" ht="15" customHeight="1" outlineLevel="1" x14ac:dyDescent="0.25">
      <c r="A1381" s="148"/>
      <c r="B1381" s="148"/>
      <c r="C1381" s="148"/>
      <c r="D1381" s="138"/>
      <c r="E1381" s="138"/>
      <c r="F1381" s="50">
        <v>43466</v>
      </c>
      <c r="G1381" s="50">
        <v>43646</v>
      </c>
      <c r="H1381" s="150"/>
      <c r="I1381" s="15" t="s">
        <v>23</v>
      </c>
      <c r="J1381" s="15" t="s">
        <v>23</v>
      </c>
      <c r="K1381" s="13">
        <f>$K$1273</f>
        <v>30.8</v>
      </c>
      <c r="L1381" s="13">
        <f>$L$1273</f>
        <v>2271.5100000000002</v>
      </c>
      <c r="M1381" s="196" t="s">
        <v>421</v>
      </c>
    </row>
    <row r="1382" spans="1:13" ht="15" customHeight="1" outlineLevel="1" x14ac:dyDescent="0.25">
      <c r="A1382" s="148"/>
      <c r="B1382" s="148"/>
      <c r="C1382" s="148"/>
      <c r="D1382" s="138"/>
      <c r="E1382" s="138"/>
      <c r="F1382" s="50">
        <v>43647</v>
      </c>
      <c r="G1382" s="50">
        <v>43830</v>
      </c>
      <c r="H1382" s="150"/>
      <c r="I1382" s="15" t="s">
        <v>23</v>
      </c>
      <c r="J1382" s="15" t="s">
        <v>23</v>
      </c>
      <c r="K1382" s="13">
        <f>$K$1274</f>
        <v>31.42</v>
      </c>
      <c r="L1382" s="13">
        <f>$L$1274</f>
        <v>2316.94</v>
      </c>
      <c r="M1382" s="198"/>
    </row>
    <row r="1383" spans="1:13" ht="15" customHeight="1" outlineLevel="1" x14ac:dyDescent="0.25">
      <c r="A1383" s="148"/>
      <c r="B1383" s="148"/>
      <c r="C1383" s="148"/>
      <c r="D1383" s="138"/>
      <c r="E1383" s="138"/>
      <c r="F1383" s="50">
        <v>43466</v>
      </c>
      <c r="G1383" s="50">
        <v>43646</v>
      </c>
      <c r="H1383" s="150"/>
      <c r="I1383" s="15" t="s">
        <v>23</v>
      </c>
      <c r="J1383" s="15" t="s">
        <v>23</v>
      </c>
      <c r="K1383" s="13">
        <f>$K$1275</f>
        <v>30.8</v>
      </c>
      <c r="L1383" s="13">
        <f>$L$1275</f>
        <v>1933.85</v>
      </c>
      <c r="M1383" s="196" t="s">
        <v>422</v>
      </c>
    </row>
    <row r="1384" spans="1:13" ht="15" customHeight="1" outlineLevel="1" x14ac:dyDescent="0.25">
      <c r="A1384" s="148"/>
      <c r="B1384" s="148"/>
      <c r="C1384" s="148"/>
      <c r="D1384" s="138"/>
      <c r="E1384" s="138"/>
      <c r="F1384" s="50">
        <v>43647</v>
      </c>
      <c r="G1384" s="50">
        <v>43830</v>
      </c>
      <c r="H1384" s="150"/>
      <c r="I1384" s="15" t="s">
        <v>23</v>
      </c>
      <c r="J1384" s="15" t="s">
        <v>23</v>
      </c>
      <c r="K1384" s="13">
        <f>$K$1276</f>
        <v>31.42</v>
      </c>
      <c r="L1384" s="13">
        <f>$L$1276</f>
        <v>1972.53</v>
      </c>
      <c r="M1384" s="198"/>
    </row>
    <row r="1385" spans="1:13" ht="15" customHeight="1" outlineLevel="1" x14ac:dyDescent="0.25">
      <c r="A1385" s="148"/>
      <c r="B1385" s="148"/>
      <c r="C1385" s="148"/>
      <c r="D1385" s="138"/>
      <c r="E1385" s="138"/>
      <c r="F1385" s="50">
        <v>43466</v>
      </c>
      <c r="G1385" s="50">
        <v>43646</v>
      </c>
      <c r="H1385" s="150"/>
      <c r="I1385" s="15" t="s">
        <v>23</v>
      </c>
      <c r="J1385" s="15" t="s">
        <v>23</v>
      </c>
      <c r="K1385" s="13">
        <f>$K$1277</f>
        <v>30.8</v>
      </c>
      <c r="L1385" s="13">
        <f>$L$1277</f>
        <v>2073.9899999999998</v>
      </c>
      <c r="M1385" s="196" t="s">
        <v>423</v>
      </c>
    </row>
    <row r="1386" spans="1:13" ht="15" customHeight="1" outlineLevel="1" x14ac:dyDescent="0.25">
      <c r="A1386" s="148"/>
      <c r="B1386" s="148"/>
      <c r="C1386" s="148"/>
      <c r="D1386" s="138"/>
      <c r="E1386" s="138"/>
      <c r="F1386" s="50">
        <v>43647</v>
      </c>
      <c r="G1386" s="50">
        <v>43830</v>
      </c>
      <c r="H1386" s="150"/>
      <c r="I1386" s="15" t="s">
        <v>23</v>
      </c>
      <c r="J1386" s="15" t="s">
        <v>23</v>
      </c>
      <c r="K1386" s="13">
        <f>$K$1278</f>
        <v>31.42</v>
      </c>
      <c r="L1386" s="13">
        <f>$L$1278</f>
        <v>2115.4699999999998</v>
      </c>
      <c r="M1386" s="198"/>
    </row>
    <row r="1387" spans="1:13" ht="15" customHeight="1" outlineLevel="1" x14ac:dyDescent="0.25">
      <c r="A1387" s="148"/>
      <c r="B1387" s="148"/>
      <c r="C1387" s="148"/>
      <c r="D1387" s="138"/>
      <c r="E1387" s="138"/>
      <c r="F1387" s="50">
        <v>43466</v>
      </c>
      <c r="G1387" s="50">
        <v>43646</v>
      </c>
      <c r="H1387" s="150"/>
      <c r="I1387" s="15" t="s">
        <v>23</v>
      </c>
      <c r="J1387" s="15" t="s">
        <v>23</v>
      </c>
      <c r="K1387" s="13">
        <f>$K$1279</f>
        <v>30.8</v>
      </c>
      <c r="L1387" s="13">
        <f>$L$1279</f>
        <v>2168.2600000000002</v>
      </c>
      <c r="M1387" s="196" t="s">
        <v>424</v>
      </c>
    </row>
    <row r="1388" spans="1:13" ht="15" customHeight="1" outlineLevel="1" x14ac:dyDescent="0.25">
      <c r="A1388" s="148"/>
      <c r="B1388" s="148"/>
      <c r="C1388" s="148"/>
      <c r="D1388" s="138"/>
      <c r="E1388" s="138"/>
      <c r="F1388" s="50">
        <v>43647</v>
      </c>
      <c r="G1388" s="50">
        <v>43830</v>
      </c>
      <c r="H1388" s="150"/>
      <c r="I1388" s="15" t="s">
        <v>23</v>
      </c>
      <c r="J1388" s="15" t="s">
        <v>23</v>
      </c>
      <c r="K1388" s="13">
        <f>$K$1280</f>
        <v>31.42</v>
      </c>
      <c r="L1388" s="13">
        <f>$L$1280</f>
        <v>2211.62</v>
      </c>
      <c r="M1388" s="198"/>
    </row>
    <row r="1389" spans="1:13" ht="15" customHeight="1" outlineLevel="1" x14ac:dyDescent="0.25">
      <c r="A1389" s="148"/>
      <c r="B1389" s="148"/>
      <c r="C1389" s="148"/>
      <c r="D1389" s="138"/>
      <c r="E1389" s="138"/>
      <c r="F1389" s="50">
        <v>43466</v>
      </c>
      <c r="G1389" s="50">
        <v>43646</v>
      </c>
      <c r="H1389" s="150"/>
      <c r="I1389" s="15" t="s">
        <v>23</v>
      </c>
      <c r="J1389" s="15" t="s">
        <v>23</v>
      </c>
      <c r="K1389" s="13">
        <f>$K$1281</f>
        <v>30.8</v>
      </c>
      <c r="L1389" s="13">
        <f>$L$1281</f>
        <v>2345.98</v>
      </c>
      <c r="M1389" s="196" t="s">
        <v>425</v>
      </c>
    </row>
    <row r="1390" spans="1:13" ht="15" customHeight="1" outlineLevel="1" x14ac:dyDescent="0.25">
      <c r="A1390" s="148"/>
      <c r="B1390" s="148"/>
      <c r="C1390" s="148"/>
      <c r="D1390" s="138"/>
      <c r="E1390" s="138"/>
      <c r="F1390" s="50">
        <v>43647</v>
      </c>
      <c r="G1390" s="50">
        <v>43830</v>
      </c>
      <c r="H1390" s="150"/>
      <c r="I1390" s="15" t="s">
        <v>23</v>
      </c>
      <c r="J1390" s="15" t="s">
        <v>23</v>
      </c>
      <c r="K1390" s="13">
        <f>$K$1282</f>
        <v>31.42</v>
      </c>
      <c r="L1390" s="13">
        <f>$L$1282</f>
        <v>2392.9</v>
      </c>
      <c r="M1390" s="198"/>
    </row>
    <row r="1391" spans="1:13" ht="15" customHeight="1" outlineLevel="1" x14ac:dyDescent="0.25">
      <c r="A1391" s="148"/>
      <c r="B1391" s="148"/>
      <c r="C1391" s="148"/>
      <c r="D1391" s="138"/>
      <c r="E1391" s="138"/>
      <c r="F1391" s="50">
        <v>43466</v>
      </c>
      <c r="G1391" s="50">
        <v>43646</v>
      </c>
      <c r="H1391" s="150"/>
      <c r="I1391" s="15" t="s">
        <v>23</v>
      </c>
      <c r="J1391" s="15" t="s">
        <v>23</v>
      </c>
      <c r="K1391" s="13">
        <f>$K$1283</f>
        <v>30.8</v>
      </c>
      <c r="L1391" s="13">
        <f>$L$1283</f>
        <v>1987.57</v>
      </c>
      <c r="M1391" s="196" t="s">
        <v>426</v>
      </c>
    </row>
    <row r="1392" spans="1:13" ht="15" customHeight="1" outlineLevel="1" x14ac:dyDescent="0.25">
      <c r="A1392" s="148"/>
      <c r="B1392" s="148"/>
      <c r="C1392" s="148"/>
      <c r="D1392" s="138"/>
      <c r="E1392" s="138"/>
      <c r="F1392" s="50">
        <v>43647</v>
      </c>
      <c r="G1392" s="50">
        <v>43830</v>
      </c>
      <c r="H1392" s="150"/>
      <c r="I1392" s="15" t="s">
        <v>23</v>
      </c>
      <c r="J1392" s="15" t="s">
        <v>23</v>
      </c>
      <c r="K1392" s="13">
        <f>$K$1284</f>
        <v>31.42</v>
      </c>
      <c r="L1392" s="13">
        <f>$L$1284</f>
        <v>2027.32</v>
      </c>
      <c r="M1392" s="198"/>
    </row>
    <row r="1393" spans="1:13" ht="15" customHeight="1" outlineLevel="1" x14ac:dyDescent="0.25">
      <c r="A1393" s="148"/>
      <c r="B1393" s="148"/>
      <c r="C1393" s="148"/>
      <c r="D1393" s="138"/>
      <c r="E1393" s="138"/>
      <c r="F1393" s="50">
        <v>43466</v>
      </c>
      <c r="G1393" s="50">
        <v>43646</v>
      </c>
      <c r="H1393" s="150"/>
      <c r="I1393" s="15" t="s">
        <v>23</v>
      </c>
      <c r="J1393" s="15" t="s">
        <v>23</v>
      </c>
      <c r="K1393" s="13">
        <f>$K$1285</f>
        <v>30.8</v>
      </c>
      <c r="L1393" s="13">
        <f>$L$1285</f>
        <v>2168.2600000000002</v>
      </c>
      <c r="M1393" s="196" t="s">
        <v>427</v>
      </c>
    </row>
    <row r="1394" spans="1:13" ht="15" customHeight="1" outlineLevel="1" x14ac:dyDescent="0.25">
      <c r="A1394" s="147"/>
      <c r="B1394" s="147"/>
      <c r="C1394" s="148"/>
      <c r="D1394" s="141"/>
      <c r="E1394" s="141"/>
      <c r="F1394" s="50">
        <v>43647</v>
      </c>
      <c r="G1394" s="50">
        <v>43830</v>
      </c>
      <c r="H1394" s="151"/>
      <c r="I1394" s="15" t="s">
        <v>23</v>
      </c>
      <c r="J1394" s="15" t="s">
        <v>23</v>
      </c>
      <c r="K1394" s="13">
        <f>$K$1286</f>
        <v>31.42</v>
      </c>
      <c r="L1394" s="13">
        <f>$L$1286</f>
        <v>2211.62</v>
      </c>
      <c r="M1394" s="198"/>
    </row>
    <row r="1395" spans="1:13" ht="15" customHeight="1" outlineLevel="1" x14ac:dyDescent="0.25">
      <c r="A1395" s="146" t="s">
        <v>55</v>
      </c>
      <c r="B1395" s="146" t="s">
        <v>257</v>
      </c>
      <c r="C1395" s="148"/>
      <c r="D1395" s="137">
        <f>$D$1269</f>
        <v>43454</v>
      </c>
      <c r="E1395" s="137" t="str">
        <f>$E$1269</f>
        <v>565-п</v>
      </c>
      <c r="F1395" s="12">
        <v>43466</v>
      </c>
      <c r="G1395" s="12">
        <v>43646</v>
      </c>
      <c r="H1395" s="149"/>
      <c r="I1395" s="66">
        <f>$I$1269</f>
        <v>39.020000000000003</v>
      </c>
      <c r="J1395" s="13">
        <f>$J$1269</f>
        <v>2710.1</v>
      </c>
      <c r="K1395" s="15" t="s">
        <v>23</v>
      </c>
      <c r="L1395" s="15" t="s">
        <v>23</v>
      </c>
      <c r="M1395" s="153"/>
    </row>
    <row r="1396" spans="1:13" ht="15" customHeight="1" outlineLevel="1" x14ac:dyDescent="0.25">
      <c r="A1396" s="148"/>
      <c r="B1396" s="148"/>
      <c r="C1396" s="148"/>
      <c r="D1396" s="141"/>
      <c r="E1396" s="141"/>
      <c r="F1396" s="12">
        <v>43647</v>
      </c>
      <c r="G1396" s="12">
        <v>43830</v>
      </c>
      <c r="H1396" s="151"/>
      <c r="I1396" s="66">
        <f>$I$1270</f>
        <v>41.55</v>
      </c>
      <c r="J1396" s="13">
        <f>$J$1270</f>
        <v>2734.19</v>
      </c>
      <c r="K1396" s="15" t="s">
        <v>23</v>
      </c>
      <c r="L1396" s="15" t="s">
        <v>23</v>
      </c>
      <c r="M1396" s="152"/>
    </row>
    <row r="1397" spans="1:13" ht="15" customHeight="1" outlineLevel="1" x14ac:dyDescent="0.25">
      <c r="A1397" s="148"/>
      <c r="B1397" s="148"/>
      <c r="C1397" s="148"/>
      <c r="D1397" s="137">
        <f>$D$1469</f>
        <v>43454</v>
      </c>
      <c r="E1397" s="137" t="str">
        <f>$E$1469</f>
        <v>673-п</v>
      </c>
      <c r="F1397" s="50">
        <v>43466</v>
      </c>
      <c r="G1397" s="50">
        <v>43646</v>
      </c>
      <c r="H1397" s="149"/>
      <c r="I1397" s="15" t="s">
        <v>23</v>
      </c>
      <c r="J1397" s="15" t="s">
        <v>23</v>
      </c>
      <c r="K1397" s="13">
        <f>$K$1271</f>
        <v>30.8</v>
      </c>
      <c r="L1397" s="13">
        <f>$L$1271</f>
        <v>2073.9899999999998</v>
      </c>
      <c r="M1397" s="196" t="s">
        <v>420</v>
      </c>
    </row>
    <row r="1398" spans="1:13" ht="15" customHeight="1" outlineLevel="1" x14ac:dyDescent="0.25">
      <c r="A1398" s="148"/>
      <c r="B1398" s="148"/>
      <c r="C1398" s="148"/>
      <c r="D1398" s="138"/>
      <c r="E1398" s="138"/>
      <c r="F1398" s="50">
        <v>43647</v>
      </c>
      <c r="G1398" s="50">
        <v>43830</v>
      </c>
      <c r="H1398" s="150"/>
      <c r="I1398" s="15" t="s">
        <v>23</v>
      </c>
      <c r="J1398" s="15" t="s">
        <v>23</v>
      </c>
      <c r="K1398" s="13">
        <f>$K$1272</f>
        <v>31.42</v>
      </c>
      <c r="L1398" s="13">
        <f>$L$1272</f>
        <v>2115.4699999999998</v>
      </c>
      <c r="M1398" s="198"/>
    </row>
    <row r="1399" spans="1:13" ht="15" customHeight="1" outlineLevel="1" x14ac:dyDescent="0.25">
      <c r="A1399" s="148"/>
      <c r="B1399" s="148"/>
      <c r="C1399" s="148"/>
      <c r="D1399" s="138"/>
      <c r="E1399" s="138"/>
      <c r="F1399" s="50">
        <v>43466</v>
      </c>
      <c r="G1399" s="50">
        <v>43646</v>
      </c>
      <c r="H1399" s="150"/>
      <c r="I1399" s="15" t="s">
        <v>23</v>
      </c>
      <c r="J1399" s="15" t="s">
        <v>23</v>
      </c>
      <c r="K1399" s="13">
        <f>$K$1273</f>
        <v>30.8</v>
      </c>
      <c r="L1399" s="13">
        <f>$L$1273</f>
        <v>2271.5100000000002</v>
      </c>
      <c r="M1399" s="196" t="s">
        <v>421</v>
      </c>
    </row>
    <row r="1400" spans="1:13" ht="15" customHeight="1" outlineLevel="1" x14ac:dyDescent="0.25">
      <c r="A1400" s="148"/>
      <c r="B1400" s="148"/>
      <c r="C1400" s="148"/>
      <c r="D1400" s="138"/>
      <c r="E1400" s="138"/>
      <c r="F1400" s="50">
        <v>43647</v>
      </c>
      <c r="G1400" s="50">
        <v>43830</v>
      </c>
      <c r="H1400" s="150"/>
      <c r="I1400" s="15" t="s">
        <v>23</v>
      </c>
      <c r="J1400" s="15" t="s">
        <v>23</v>
      </c>
      <c r="K1400" s="13">
        <f>$K$1274</f>
        <v>31.42</v>
      </c>
      <c r="L1400" s="13">
        <f>$L$1274</f>
        <v>2316.94</v>
      </c>
      <c r="M1400" s="198"/>
    </row>
    <row r="1401" spans="1:13" ht="15" customHeight="1" outlineLevel="1" x14ac:dyDescent="0.25">
      <c r="A1401" s="148"/>
      <c r="B1401" s="148"/>
      <c r="C1401" s="148"/>
      <c r="D1401" s="138"/>
      <c r="E1401" s="138"/>
      <c r="F1401" s="50">
        <v>43466</v>
      </c>
      <c r="G1401" s="50">
        <v>43646</v>
      </c>
      <c r="H1401" s="150"/>
      <c r="I1401" s="15" t="s">
        <v>23</v>
      </c>
      <c r="J1401" s="15" t="s">
        <v>23</v>
      </c>
      <c r="K1401" s="13">
        <f>$K$1275</f>
        <v>30.8</v>
      </c>
      <c r="L1401" s="13">
        <f>$L$1275</f>
        <v>1933.85</v>
      </c>
      <c r="M1401" s="196" t="s">
        <v>422</v>
      </c>
    </row>
    <row r="1402" spans="1:13" ht="15" customHeight="1" outlineLevel="1" x14ac:dyDescent="0.25">
      <c r="A1402" s="148"/>
      <c r="B1402" s="148"/>
      <c r="C1402" s="148"/>
      <c r="D1402" s="138"/>
      <c r="E1402" s="138"/>
      <c r="F1402" s="50">
        <v>43647</v>
      </c>
      <c r="G1402" s="50">
        <v>43830</v>
      </c>
      <c r="H1402" s="150"/>
      <c r="I1402" s="15" t="s">
        <v>23</v>
      </c>
      <c r="J1402" s="15" t="s">
        <v>23</v>
      </c>
      <c r="K1402" s="13">
        <f>$K$1276</f>
        <v>31.42</v>
      </c>
      <c r="L1402" s="13">
        <f>$L$1276</f>
        <v>1972.53</v>
      </c>
      <c r="M1402" s="198"/>
    </row>
    <row r="1403" spans="1:13" ht="15" customHeight="1" outlineLevel="1" x14ac:dyDescent="0.25">
      <c r="A1403" s="148"/>
      <c r="B1403" s="148"/>
      <c r="C1403" s="148"/>
      <c r="D1403" s="138"/>
      <c r="E1403" s="138"/>
      <c r="F1403" s="50">
        <v>43466</v>
      </c>
      <c r="G1403" s="50">
        <v>43646</v>
      </c>
      <c r="H1403" s="150"/>
      <c r="I1403" s="15" t="s">
        <v>23</v>
      </c>
      <c r="J1403" s="15" t="s">
        <v>23</v>
      </c>
      <c r="K1403" s="13">
        <f>$K$1277</f>
        <v>30.8</v>
      </c>
      <c r="L1403" s="13">
        <f>$L$1277</f>
        <v>2073.9899999999998</v>
      </c>
      <c r="M1403" s="196" t="s">
        <v>423</v>
      </c>
    </row>
    <row r="1404" spans="1:13" ht="15" customHeight="1" outlineLevel="1" x14ac:dyDescent="0.25">
      <c r="A1404" s="148"/>
      <c r="B1404" s="148"/>
      <c r="C1404" s="148"/>
      <c r="D1404" s="138"/>
      <c r="E1404" s="138"/>
      <c r="F1404" s="50">
        <v>43647</v>
      </c>
      <c r="G1404" s="50">
        <v>43830</v>
      </c>
      <c r="H1404" s="150"/>
      <c r="I1404" s="15" t="s">
        <v>23</v>
      </c>
      <c r="J1404" s="15" t="s">
        <v>23</v>
      </c>
      <c r="K1404" s="13">
        <f>$K$1278</f>
        <v>31.42</v>
      </c>
      <c r="L1404" s="13">
        <f>$L$1278</f>
        <v>2115.4699999999998</v>
      </c>
      <c r="M1404" s="198"/>
    </row>
    <row r="1405" spans="1:13" ht="15" customHeight="1" outlineLevel="1" x14ac:dyDescent="0.25">
      <c r="A1405" s="148"/>
      <c r="B1405" s="148"/>
      <c r="C1405" s="148"/>
      <c r="D1405" s="138"/>
      <c r="E1405" s="138"/>
      <c r="F1405" s="50">
        <v>43466</v>
      </c>
      <c r="G1405" s="50">
        <v>43646</v>
      </c>
      <c r="H1405" s="150"/>
      <c r="I1405" s="15" t="s">
        <v>23</v>
      </c>
      <c r="J1405" s="15" t="s">
        <v>23</v>
      </c>
      <c r="K1405" s="13">
        <f>$K$1279</f>
        <v>30.8</v>
      </c>
      <c r="L1405" s="13">
        <f>$L$1279</f>
        <v>2168.2600000000002</v>
      </c>
      <c r="M1405" s="196" t="s">
        <v>424</v>
      </c>
    </row>
    <row r="1406" spans="1:13" ht="15" customHeight="1" outlineLevel="1" x14ac:dyDescent="0.25">
      <c r="A1406" s="148"/>
      <c r="B1406" s="148"/>
      <c r="C1406" s="148"/>
      <c r="D1406" s="138"/>
      <c r="E1406" s="138"/>
      <c r="F1406" s="50">
        <v>43647</v>
      </c>
      <c r="G1406" s="50">
        <v>43830</v>
      </c>
      <c r="H1406" s="150"/>
      <c r="I1406" s="15" t="s">
        <v>23</v>
      </c>
      <c r="J1406" s="15" t="s">
        <v>23</v>
      </c>
      <c r="K1406" s="13">
        <f>$K$1280</f>
        <v>31.42</v>
      </c>
      <c r="L1406" s="13">
        <f>$L$1280</f>
        <v>2211.62</v>
      </c>
      <c r="M1406" s="198"/>
    </row>
    <row r="1407" spans="1:13" ht="15" customHeight="1" outlineLevel="1" x14ac:dyDescent="0.25">
      <c r="A1407" s="148"/>
      <c r="B1407" s="148"/>
      <c r="C1407" s="148"/>
      <c r="D1407" s="138"/>
      <c r="E1407" s="138"/>
      <c r="F1407" s="50">
        <v>43466</v>
      </c>
      <c r="G1407" s="50">
        <v>43646</v>
      </c>
      <c r="H1407" s="150"/>
      <c r="I1407" s="15" t="s">
        <v>23</v>
      </c>
      <c r="J1407" s="15" t="s">
        <v>23</v>
      </c>
      <c r="K1407" s="13">
        <f>$K$1281</f>
        <v>30.8</v>
      </c>
      <c r="L1407" s="13">
        <f>$L$1281</f>
        <v>2345.98</v>
      </c>
      <c r="M1407" s="196" t="s">
        <v>425</v>
      </c>
    </row>
    <row r="1408" spans="1:13" ht="15" customHeight="1" outlineLevel="1" x14ac:dyDescent="0.25">
      <c r="A1408" s="148"/>
      <c r="B1408" s="148"/>
      <c r="C1408" s="148"/>
      <c r="D1408" s="138"/>
      <c r="E1408" s="138"/>
      <c r="F1408" s="50">
        <v>43647</v>
      </c>
      <c r="G1408" s="50">
        <v>43830</v>
      </c>
      <c r="H1408" s="150"/>
      <c r="I1408" s="15" t="s">
        <v>23</v>
      </c>
      <c r="J1408" s="15" t="s">
        <v>23</v>
      </c>
      <c r="K1408" s="13">
        <f>$K$1282</f>
        <v>31.42</v>
      </c>
      <c r="L1408" s="13">
        <f>$L$1282</f>
        <v>2392.9</v>
      </c>
      <c r="M1408" s="198"/>
    </row>
    <row r="1409" spans="1:13" ht="15" customHeight="1" outlineLevel="1" x14ac:dyDescent="0.25">
      <c r="A1409" s="148"/>
      <c r="B1409" s="148"/>
      <c r="C1409" s="148"/>
      <c r="D1409" s="138"/>
      <c r="E1409" s="138"/>
      <c r="F1409" s="50">
        <v>43466</v>
      </c>
      <c r="G1409" s="50">
        <v>43646</v>
      </c>
      <c r="H1409" s="150"/>
      <c r="I1409" s="15" t="s">
        <v>23</v>
      </c>
      <c r="J1409" s="15" t="s">
        <v>23</v>
      </c>
      <c r="K1409" s="13">
        <f>$K$1283</f>
        <v>30.8</v>
      </c>
      <c r="L1409" s="13">
        <f>$L$1283</f>
        <v>1987.57</v>
      </c>
      <c r="M1409" s="196" t="s">
        <v>426</v>
      </c>
    </row>
    <row r="1410" spans="1:13" ht="15" customHeight="1" outlineLevel="1" x14ac:dyDescent="0.25">
      <c r="A1410" s="148"/>
      <c r="B1410" s="148"/>
      <c r="C1410" s="148"/>
      <c r="D1410" s="138"/>
      <c r="E1410" s="138"/>
      <c r="F1410" s="50">
        <v>43647</v>
      </c>
      <c r="G1410" s="50">
        <v>43830</v>
      </c>
      <c r="H1410" s="150"/>
      <c r="I1410" s="15" t="s">
        <v>23</v>
      </c>
      <c r="J1410" s="15" t="s">
        <v>23</v>
      </c>
      <c r="K1410" s="13">
        <f>$K$1284</f>
        <v>31.42</v>
      </c>
      <c r="L1410" s="13">
        <f>$L$1284</f>
        <v>2027.32</v>
      </c>
      <c r="M1410" s="198"/>
    </row>
    <row r="1411" spans="1:13" ht="15" customHeight="1" outlineLevel="1" x14ac:dyDescent="0.25">
      <c r="A1411" s="148"/>
      <c r="B1411" s="148"/>
      <c r="C1411" s="148"/>
      <c r="D1411" s="138"/>
      <c r="E1411" s="138"/>
      <c r="F1411" s="50">
        <v>43466</v>
      </c>
      <c r="G1411" s="50">
        <v>43646</v>
      </c>
      <c r="H1411" s="150"/>
      <c r="I1411" s="15" t="s">
        <v>23</v>
      </c>
      <c r="J1411" s="15" t="s">
        <v>23</v>
      </c>
      <c r="K1411" s="13">
        <f>$K$1285</f>
        <v>30.8</v>
      </c>
      <c r="L1411" s="13">
        <f>$L$1285</f>
        <v>2168.2600000000002</v>
      </c>
      <c r="M1411" s="196" t="s">
        <v>427</v>
      </c>
    </row>
    <row r="1412" spans="1:13" ht="15" customHeight="1" outlineLevel="1" x14ac:dyDescent="0.25">
      <c r="A1412" s="147"/>
      <c r="B1412" s="147"/>
      <c r="C1412" s="148"/>
      <c r="D1412" s="141"/>
      <c r="E1412" s="141"/>
      <c r="F1412" s="50">
        <v>43647</v>
      </c>
      <c r="G1412" s="50">
        <v>43830</v>
      </c>
      <c r="H1412" s="151"/>
      <c r="I1412" s="15" t="s">
        <v>23</v>
      </c>
      <c r="J1412" s="15" t="s">
        <v>23</v>
      </c>
      <c r="K1412" s="13">
        <f>$K$1286</f>
        <v>31.42</v>
      </c>
      <c r="L1412" s="13">
        <f>$L$1286</f>
        <v>2211.62</v>
      </c>
      <c r="M1412" s="198"/>
    </row>
    <row r="1413" spans="1:13" ht="15" customHeight="1" outlineLevel="1" x14ac:dyDescent="0.25">
      <c r="A1413" s="146" t="s">
        <v>55</v>
      </c>
      <c r="B1413" s="146" t="s">
        <v>365</v>
      </c>
      <c r="C1413" s="148"/>
      <c r="D1413" s="137">
        <f>$D$1269</f>
        <v>43454</v>
      </c>
      <c r="E1413" s="137" t="str">
        <f>$E$1269</f>
        <v>565-п</v>
      </c>
      <c r="F1413" s="12">
        <v>43466</v>
      </c>
      <c r="G1413" s="12">
        <v>43646</v>
      </c>
      <c r="H1413" s="149"/>
      <c r="I1413" s="66">
        <f>$I$1269</f>
        <v>39.020000000000003</v>
      </c>
      <c r="J1413" s="13">
        <f>$J$1269</f>
        <v>2710.1</v>
      </c>
      <c r="K1413" s="15" t="s">
        <v>23</v>
      </c>
      <c r="L1413" s="15" t="s">
        <v>23</v>
      </c>
      <c r="M1413" s="153"/>
    </row>
    <row r="1414" spans="1:13" ht="15" customHeight="1" outlineLevel="1" x14ac:dyDescent="0.25">
      <c r="A1414" s="148"/>
      <c r="B1414" s="148"/>
      <c r="C1414" s="148"/>
      <c r="D1414" s="141"/>
      <c r="E1414" s="141"/>
      <c r="F1414" s="12">
        <v>43647</v>
      </c>
      <c r="G1414" s="12">
        <v>43830</v>
      </c>
      <c r="H1414" s="151"/>
      <c r="I1414" s="66">
        <f>$I$1270</f>
        <v>41.55</v>
      </c>
      <c r="J1414" s="13">
        <f>$J$1270</f>
        <v>2734.19</v>
      </c>
      <c r="K1414" s="15" t="s">
        <v>23</v>
      </c>
      <c r="L1414" s="15" t="s">
        <v>23</v>
      </c>
      <c r="M1414" s="152"/>
    </row>
    <row r="1415" spans="1:13" ht="15" customHeight="1" outlineLevel="1" x14ac:dyDescent="0.25">
      <c r="A1415" s="148"/>
      <c r="B1415" s="148"/>
      <c r="C1415" s="148"/>
      <c r="D1415" s="137">
        <f>$D$1469</f>
        <v>43454</v>
      </c>
      <c r="E1415" s="137" t="str">
        <f>$E$1469</f>
        <v>673-п</v>
      </c>
      <c r="F1415" s="50">
        <v>43466</v>
      </c>
      <c r="G1415" s="50">
        <v>43646</v>
      </c>
      <c r="H1415" s="149"/>
      <c r="I1415" s="15" t="s">
        <v>23</v>
      </c>
      <c r="J1415" s="15" t="s">
        <v>23</v>
      </c>
      <c r="K1415" s="13">
        <f>$K$1271</f>
        <v>30.8</v>
      </c>
      <c r="L1415" s="13">
        <f>$L$1271</f>
        <v>2073.9899999999998</v>
      </c>
      <c r="M1415" s="196" t="s">
        <v>420</v>
      </c>
    </row>
    <row r="1416" spans="1:13" ht="15" customHeight="1" outlineLevel="1" x14ac:dyDescent="0.25">
      <c r="A1416" s="148"/>
      <c r="B1416" s="148"/>
      <c r="C1416" s="148"/>
      <c r="D1416" s="138"/>
      <c r="E1416" s="138"/>
      <c r="F1416" s="50">
        <v>43647</v>
      </c>
      <c r="G1416" s="50">
        <v>43830</v>
      </c>
      <c r="H1416" s="150"/>
      <c r="I1416" s="15" t="s">
        <v>23</v>
      </c>
      <c r="J1416" s="15" t="s">
        <v>23</v>
      </c>
      <c r="K1416" s="13">
        <f>$K$1272</f>
        <v>31.42</v>
      </c>
      <c r="L1416" s="13">
        <f>$L$1272</f>
        <v>2115.4699999999998</v>
      </c>
      <c r="M1416" s="198"/>
    </row>
    <row r="1417" spans="1:13" ht="15" customHeight="1" outlineLevel="1" x14ac:dyDescent="0.25">
      <c r="A1417" s="148"/>
      <c r="B1417" s="148"/>
      <c r="C1417" s="148"/>
      <c r="D1417" s="138"/>
      <c r="E1417" s="138"/>
      <c r="F1417" s="50">
        <v>43466</v>
      </c>
      <c r="G1417" s="50">
        <v>43646</v>
      </c>
      <c r="H1417" s="150"/>
      <c r="I1417" s="15" t="s">
        <v>23</v>
      </c>
      <c r="J1417" s="15" t="s">
        <v>23</v>
      </c>
      <c r="K1417" s="13">
        <f>$K$1273</f>
        <v>30.8</v>
      </c>
      <c r="L1417" s="13">
        <f>$L$1273</f>
        <v>2271.5100000000002</v>
      </c>
      <c r="M1417" s="196" t="s">
        <v>421</v>
      </c>
    </row>
    <row r="1418" spans="1:13" ht="15" customHeight="1" outlineLevel="1" x14ac:dyDescent="0.25">
      <c r="A1418" s="148"/>
      <c r="B1418" s="148"/>
      <c r="C1418" s="148"/>
      <c r="D1418" s="138"/>
      <c r="E1418" s="138"/>
      <c r="F1418" s="50">
        <v>43647</v>
      </c>
      <c r="G1418" s="50">
        <v>43830</v>
      </c>
      <c r="H1418" s="150"/>
      <c r="I1418" s="15" t="s">
        <v>23</v>
      </c>
      <c r="J1418" s="15" t="s">
        <v>23</v>
      </c>
      <c r="K1418" s="13">
        <f>$K$1274</f>
        <v>31.42</v>
      </c>
      <c r="L1418" s="13">
        <f>$L$1274</f>
        <v>2316.94</v>
      </c>
      <c r="M1418" s="198"/>
    </row>
    <row r="1419" spans="1:13" ht="15" customHeight="1" outlineLevel="1" x14ac:dyDescent="0.25">
      <c r="A1419" s="148"/>
      <c r="B1419" s="148"/>
      <c r="C1419" s="148"/>
      <c r="D1419" s="138"/>
      <c r="E1419" s="138"/>
      <c r="F1419" s="50">
        <v>43466</v>
      </c>
      <c r="G1419" s="50">
        <v>43646</v>
      </c>
      <c r="H1419" s="150"/>
      <c r="I1419" s="15" t="s">
        <v>23</v>
      </c>
      <c r="J1419" s="15" t="s">
        <v>23</v>
      </c>
      <c r="K1419" s="13">
        <f>$K$1275</f>
        <v>30.8</v>
      </c>
      <c r="L1419" s="13">
        <f>$L$1275</f>
        <v>1933.85</v>
      </c>
      <c r="M1419" s="196" t="s">
        <v>422</v>
      </c>
    </row>
    <row r="1420" spans="1:13" ht="15" customHeight="1" outlineLevel="1" x14ac:dyDescent="0.25">
      <c r="A1420" s="148"/>
      <c r="B1420" s="148"/>
      <c r="C1420" s="148"/>
      <c r="D1420" s="138"/>
      <c r="E1420" s="138"/>
      <c r="F1420" s="50">
        <v>43647</v>
      </c>
      <c r="G1420" s="50">
        <v>43830</v>
      </c>
      <c r="H1420" s="150"/>
      <c r="I1420" s="15" t="s">
        <v>23</v>
      </c>
      <c r="J1420" s="15" t="s">
        <v>23</v>
      </c>
      <c r="K1420" s="13">
        <f>$K$1276</f>
        <v>31.42</v>
      </c>
      <c r="L1420" s="13">
        <f>$L$1276</f>
        <v>1972.53</v>
      </c>
      <c r="M1420" s="198"/>
    </row>
    <row r="1421" spans="1:13" ht="15" customHeight="1" outlineLevel="1" x14ac:dyDescent="0.25">
      <c r="A1421" s="148"/>
      <c r="B1421" s="148"/>
      <c r="C1421" s="148"/>
      <c r="D1421" s="138"/>
      <c r="E1421" s="138"/>
      <c r="F1421" s="50">
        <v>43466</v>
      </c>
      <c r="G1421" s="50">
        <v>43646</v>
      </c>
      <c r="H1421" s="150"/>
      <c r="I1421" s="15" t="s">
        <v>23</v>
      </c>
      <c r="J1421" s="15" t="s">
        <v>23</v>
      </c>
      <c r="K1421" s="13">
        <f>$K$1277</f>
        <v>30.8</v>
      </c>
      <c r="L1421" s="13">
        <f>$L$1277</f>
        <v>2073.9899999999998</v>
      </c>
      <c r="M1421" s="196" t="s">
        <v>423</v>
      </c>
    </row>
    <row r="1422" spans="1:13" ht="15" customHeight="1" outlineLevel="1" x14ac:dyDescent="0.25">
      <c r="A1422" s="148"/>
      <c r="B1422" s="148"/>
      <c r="C1422" s="148"/>
      <c r="D1422" s="138"/>
      <c r="E1422" s="138"/>
      <c r="F1422" s="50">
        <v>43647</v>
      </c>
      <c r="G1422" s="50">
        <v>43830</v>
      </c>
      <c r="H1422" s="150"/>
      <c r="I1422" s="15" t="s">
        <v>23</v>
      </c>
      <c r="J1422" s="15" t="s">
        <v>23</v>
      </c>
      <c r="K1422" s="13">
        <f>$K$1278</f>
        <v>31.42</v>
      </c>
      <c r="L1422" s="13">
        <f>$L$1278</f>
        <v>2115.4699999999998</v>
      </c>
      <c r="M1422" s="198"/>
    </row>
    <row r="1423" spans="1:13" ht="15" customHeight="1" outlineLevel="1" x14ac:dyDescent="0.25">
      <c r="A1423" s="148"/>
      <c r="B1423" s="148"/>
      <c r="C1423" s="148"/>
      <c r="D1423" s="138"/>
      <c r="E1423" s="138"/>
      <c r="F1423" s="50">
        <v>43466</v>
      </c>
      <c r="G1423" s="50">
        <v>43646</v>
      </c>
      <c r="H1423" s="150"/>
      <c r="I1423" s="15" t="s">
        <v>23</v>
      </c>
      <c r="J1423" s="15" t="s">
        <v>23</v>
      </c>
      <c r="K1423" s="13">
        <f>$K$1279</f>
        <v>30.8</v>
      </c>
      <c r="L1423" s="13">
        <f>$L$1279</f>
        <v>2168.2600000000002</v>
      </c>
      <c r="M1423" s="196" t="s">
        <v>424</v>
      </c>
    </row>
    <row r="1424" spans="1:13" ht="15" customHeight="1" outlineLevel="1" x14ac:dyDescent="0.25">
      <c r="A1424" s="148"/>
      <c r="B1424" s="148"/>
      <c r="C1424" s="148"/>
      <c r="D1424" s="138"/>
      <c r="E1424" s="138"/>
      <c r="F1424" s="50">
        <v>43647</v>
      </c>
      <c r="G1424" s="50">
        <v>43830</v>
      </c>
      <c r="H1424" s="150"/>
      <c r="I1424" s="15" t="s">
        <v>23</v>
      </c>
      <c r="J1424" s="15" t="s">
        <v>23</v>
      </c>
      <c r="K1424" s="13">
        <f>$K$1280</f>
        <v>31.42</v>
      </c>
      <c r="L1424" s="13">
        <f>$L$1280</f>
        <v>2211.62</v>
      </c>
      <c r="M1424" s="198"/>
    </row>
    <row r="1425" spans="1:17" ht="15" customHeight="1" outlineLevel="1" x14ac:dyDescent="0.25">
      <c r="A1425" s="148"/>
      <c r="B1425" s="148"/>
      <c r="C1425" s="148"/>
      <c r="D1425" s="138"/>
      <c r="E1425" s="138"/>
      <c r="F1425" s="50">
        <v>43466</v>
      </c>
      <c r="G1425" s="50">
        <v>43646</v>
      </c>
      <c r="H1425" s="150"/>
      <c r="I1425" s="15" t="s">
        <v>23</v>
      </c>
      <c r="J1425" s="15" t="s">
        <v>23</v>
      </c>
      <c r="K1425" s="13">
        <f>$K$1281</f>
        <v>30.8</v>
      </c>
      <c r="L1425" s="13">
        <f>$L$1281</f>
        <v>2345.98</v>
      </c>
      <c r="M1425" s="196" t="s">
        <v>425</v>
      </c>
    </row>
    <row r="1426" spans="1:17" ht="15" customHeight="1" outlineLevel="1" x14ac:dyDescent="0.25">
      <c r="A1426" s="148"/>
      <c r="B1426" s="148"/>
      <c r="C1426" s="148"/>
      <c r="D1426" s="138"/>
      <c r="E1426" s="138"/>
      <c r="F1426" s="50">
        <v>43647</v>
      </c>
      <c r="G1426" s="50">
        <v>43830</v>
      </c>
      <c r="H1426" s="150"/>
      <c r="I1426" s="15" t="s">
        <v>23</v>
      </c>
      <c r="J1426" s="15" t="s">
        <v>23</v>
      </c>
      <c r="K1426" s="13">
        <f>$K$1282</f>
        <v>31.42</v>
      </c>
      <c r="L1426" s="13">
        <f>$L$1282</f>
        <v>2392.9</v>
      </c>
      <c r="M1426" s="198"/>
    </row>
    <row r="1427" spans="1:17" ht="15" customHeight="1" outlineLevel="1" x14ac:dyDescent="0.25">
      <c r="A1427" s="148"/>
      <c r="B1427" s="148"/>
      <c r="C1427" s="148"/>
      <c r="D1427" s="138"/>
      <c r="E1427" s="138"/>
      <c r="F1427" s="50">
        <v>43466</v>
      </c>
      <c r="G1427" s="50">
        <v>43646</v>
      </c>
      <c r="H1427" s="150"/>
      <c r="I1427" s="15" t="s">
        <v>23</v>
      </c>
      <c r="J1427" s="15" t="s">
        <v>23</v>
      </c>
      <c r="K1427" s="13">
        <f>$K$1283</f>
        <v>30.8</v>
      </c>
      <c r="L1427" s="13">
        <f>$L$1283</f>
        <v>1987.57</v>
      </c>
      <c r="M1427" s="196" t="s">
        <v>426</v>
      </c>
    </row>
    <row r="1428" spans="1:17" ht="15" customHeight="1" outlineLevel="1" x14ac:dyDescent="0.25">
      <c r="A1428" s="148"/>
      <c r="B1428" s="148"/>
      <c r="C1428" s="148"/>
      <c r="D1428" s="138"/>
      <c r="E1428" s="138"/>
      <c r="F1428" s="50">
        <v>43647</v>
      </c>
      <c r="G1428" s="50">
        <v>43830</v>
      </c>
      <c r="H1428" s="150"/>
      <c r="I1428" s="15" t="s">
        <v>23</v>
      </c>
      <c r="J1428" s="15" t="s">
        <v>23</v>
      </c>
      <c r="K1428" s="13">
        <f>$K$1284</f>
        <v>31.42</v>
      </c>
      <c r="L1428" s="13">
        <f>$L$1284</f>
        <v>2027.32</v>
      </c>
      <c r="M1428" s="198"/>
    </row>
    <row r="1429" spans="1:17" ht="15" customHeight="1" outlineLevel="1" x14ac:dyDescent="0.25">
      <c r="A1429" s="148"/>
      <c r="B1429" s="148"/>
      <c r="C1429" s="148"/>
      <c r="D1429" s="138"/>
      <c r="E1429" s="138"/>
      <c r="F1429" s="50">
        <v>43466</v>
      </c>
      <c r="G1429" s="50">
        <v>43646</v>
      </c>
      <c r="H1429" s="150"/>
      <c r="I1429" s="15" t="s">
        <v>23</v>
      </c>
      <c r="J1429" s="15" t="s">
        <v>23</v>
      </c>
      <c r="K1429" s="13">
        <f>$K$1285</f>
        <v>30.8</v>
      </c>
      <c r="L1429" s="13">
        <f>$L$1285</f>
        <v>2168.2600000000002</v>
      </c>
      <c r="M1429" s="196" t="s">
        <v>427</v>
      </c>
      <c r="N1429" s="55">
        <f>K1429/1.2</f>
        <v>25.666666666666668</v>
      </c>
      <c r="O1429" s="55">
        <f>L1429/1.2</f>
        <v>1806.8833333333337</v>
      </c>
      <c r="P1429" s="121">
        <f>I1413-N1429</f>
        <v>13.353333333333335</v>
      </c>
      <c r="Q1429" s="57">
        <f>J1413-O1429</f>
        <v>903.21666666666624</v>
      </c>
    </row>
    <row r="1430" spans="1:17" ht="15" customHeight="1" outlineLevel="1" x14ac:dyDescent="0.25">
      <c r="A1430" s="147"/>
      <c r="B1430" s="147"/>
      <c r="C1430" s="148"/>
      <c r="D1430" s="141"/>
      <c r="E1430" s="141"/>
      <c r="F1430" s="50">
        <v>43647</v>
      </c>
      <c r="G1430" s="50">
        <v>43830</v>
      </c>
      <c r="H1430" s="151"/>
      <c r="I1430" s="15" t="s">
        <v>23</v>
      </c>
      <c r="J1430" s="15" t="s">
        <v>23</v>
      </c>
      <c r="K1430" s="13">
        <f>$K$1286</f>
        <v>31.42</v>
      </c>
      <c r="L1430" s="13">
        <f>$L$1286</f>
        <v>2211.62</v>
      </c>
      <c r="M1430" s="198"/>
    </row>
    <row r="1431" spans="1:17" ht="15" customHeight="1" outlineLevel="1" x14ac:dyDescent="0.25">
      <c r="A1431" s="146" t="s">
        <v>55</v>
      </c>
      <c r="B1431" s="146" t="s">
        <v>255</v>
      </c>
      <c r="C1431" s="148"/>
      <c r="D1431" s="137">
        <f>$D$1269</f>
        <v>43454</v>
      </c>
      <c r="E1431" s="137" t="str">
        <f>$E$1269</f>
        <v>565-п</v>
      </c>
      <c r="F1431" s="12">
        <v>43466</v>
      </c>
      <c r="G1431" s="12">
        <v>43646</v>
      </c>
      <c r="H1431" s="149"/>
      <c r="I1431" s="66">
        <f>$I$1269</f>
        <v>39.020000000000003</v>
      </c>
      <c r="J1431" s="13">
        <f>$J$1269</f>
        <v>2710.1</v>
      </c>
      <c r="K1431" s="15" t="s">
        <v>23</v>
      </c>
      <c r="L1431" s="15" t="s">
        <v>23</v>
      </c>
      <c r="M1431" s="153"/>
    </row>
    <row r="1432" spans="1:17" ht="15" customHeight="1" outlineLevel="1" x14ac:dyDescent="0.25">
      <c r="A1432" s="148"/>
      <c r="B1432" s="148"/>
      <c r="C1432" s="148"/>
      <c r="D1432" s="141"/>
      <c r="E1432" s="141"/>
      <c r="F1432" s="12">
        <v>43647</v>
      </c>
      <c r="G1432" s="12">
        <v>43830</v>
      </c>
      <c r="H1432" s="151"/>
      <c r="I1432" s="66">
        <f>$I$1270</f>
        <v>41.55</v>
      </c>
      <c r="J1432" s="13">
        <f>$J$1270</f>
        <v>2734.19</v>
      </c>
      <c r="K1432" s="15" t="s">
        <v>23</v>
      </c>
      <c r="L1432" s="15" t="s">
        <v>23</v>
      </c>
      <c r="M1432" s="152"/>
    </row>
    <row r="1433" spans="1:17" ht="15" customHeight="1" outlineLevel="1" x14ac:dyDescent="0.25">
      <c r="A1433" s="148"/>
      <c r="B1433" s="148"/>
      <c r="C1433" s="148"/>
      <c r="D1433" s="137">
        <f>$D$1469</f>
        <v>43454</v>
      </c>
      <c r="E1433" s="137" t="str">
        <f>$E$1469</f>
        <v>673-п</v>
      </c>
      <c r="F1433" s="50">
        <v>43466</v>
      </c>
      <c r="G1433" s="50">
        <v>43646</v>
      </c>
      <c r="H1433" s="149"/>
      <c r="I1433" s="15" t="s">
        <v>23</v>
      </c>
      <c r="J1433" s="15" t="s">
        <v>23</v>
      </c>
      <c r="K1433" s="13">
        <v>26.92</v>
      </c>
      <c r="L1433" s="13">
        <v>1714.66</v>
      </c>
      <c r="M1433" s="196" t="s">
        <v>420</v>
      </c>
      <c r="N1433" s="55">
        <f>K1433/1.2</f>
        <v>22.433333333333337</v>
      </c>
      <c r="O1433" s="55">
        <f>L1433/1.2</f>
        <v>1428.8833333333334</v>
      </c>
    </row>
    <row r="1434" spans="1:17" ht="15" customHeight="1" outlineLevel="1" x14ac:dyDescent="0.25">
      <c r="A1434" s="148"/>
      <c r="B1434" s="148"/>
      <c r="C1434" s="148"/>
      <c r="D1434" s="138"/>
      <c r="E1434" s="138"/>
      <c r="F1434" s="50">
        <v>43647</v>
      </c>
      <c r="G1434" s="50">
        <v>43830</v>
      </c>
      <c r="H1434" s="150"/>
      <c r="I1434" s="15" t="s">
        <v>23</v>
      </c>
      <c r="J1434" s="15" t="s">
        <v>23</v>
      </c>
      <c r="K1434" s="13">
        <v>27.46</v>
      </c>
      <c r="L1434" s="13">
        <v>1748.95</v>
      </c>
      <c r="M1434" s="198"/>
      <c r="N1434" s="55">
        <f t="shared" ref="N1434:N1448" si="43">K1434/1.2</f>
        <v>22.883333333333336</v>
      </c>
      <c r="O1434" s="55">
        <f t="shared" ref="O1434:O1448" si="44">L1434/1.2</f>
        <v>1457.4583333333335</v>
      </c>
    </row>
    <row r="1435" spans="1:17" ht="15" customHeight="1" outlineLevel="1" x14ac:dyDescent="0.25">
      <c r="A1435" s="148"/>
      <c r="B1435" s="148"/>
      <c r="C1435" s="148"/>
      <c r="D1435" s="138"/>
      <c r="E1435" s="138"/>
      <c r="F1435" s="50">
        <v>43466</v>
      </c>
      <c r="G1435" s="50">
        <v>43646</v>
      </c>
      <c r="H1435" s="150"/>
      <c r="I1435" s="15" t="s">
        <v>23</v>
      </c>
      <c r="J1435" s="15" t="s">
        <v>23</v>
      </c>
      <c r="K1435" s="13">
        <v>26.92</v>
      </c>
      <c r="L1435" s="13">
        <v>1877.97</v>
      </c>
      <c r="M1435" s="196" t="s">
        <v>421</v>
      </c>
      <c r="N1435" s="55">
        <f t="shared" si="43"/>
        <v>22.433333333333337</v>
      </c>
      <c r="O1435" s="55">
        <f t="shared" si="44"/>
        <v>1564.9750000000001</v>
      </c>
    </row>
    <row r="1436" spans="1:17" ht="15" customHeight="1" outlineLevel="1" x14ac:dyDescent="0.25">
      <c r="A1436" s="148"/>
      <c r="B1436" s="148"/>
      <c r="C1436" s="148"/>
      <c r="D1436" s="138"/>
      <c r="E1436" s="138"/>
      <c r="F1436" s="50">
        <v>43647</v>
      </c>
      <c r="G1436" s="50">
        <v>43830</v>
      </c>
      <c r="H1436" s="150"/>
      <c r="I1436" s="15" t="s">
        <v>23</v>
      </c>
      <c r="J1436" s="15" t="s">
        <v>23</v>
      </c>
      <c r="K1436" s="13">
        <v>27.46</v>
      </c>
      <c r="L1436" s="13">
        <v>1915.52</v>
      </c>
      <c r="M1436" s="198"/>
      <c r="N1436" s="55">
        <f t="shared" si="43"/>
        <v>22.883333333333336</v>
      </c>
      <c r="O1436" s="55">
        <f t="shared" si="44"/>
        <v>1596.2666666666667</v>
      </c>
    </row>
    <row r="1437" spans="1:17" ht="15" customHeight="1" outlineLevel="1" x14ac:dyDescent="0.25">
      <c r="A1437" s="148"/>
      <c r="B1437" s="148"/>
      <c r="C1437" s="148"/>
      <c r="D1437" s="138"/>
      <c r="E1437" s="138"/>
      <c r="F1437" s="50">
        <v>43466</v>
      </c>
      <c r="G1437" s="50">
        <v>43646</v>
      </c>
      <c r="H1437" s="150"/>
      <c r="I1437" s="15" t="s">
        <v>23</v>
      </c>
      <c r="J1437" s="15" t="s">
        <v>23</v>
      </c>
      <c r="K1437" s="13">
        <v>26.92</v>
      </c>
      <c r="L1437" s="13">
        <v>1598.81</v>
      </c>
      <c r="M1437" s="196" t="s">
        <v>422</v>
      </c>
      <c r="N1437" s="55">
        <f t="shared" si="43"/>
        <v>22.433333333333337</v>
      </c>
      <c r="O1437" s="55">
        <f t="shared" si="44"/>
        <v>1332.3416666666667</v>
      </c>
      <c r="P1437" s="121">
        <f>I1431-N1437</f>
        <v>16.586666666666666</v>
      </c>
      <c r="Q1437" s="57">
        <f>J1431-O1437</f>
        <v>1377.7583333333332</v>
      </c>
    </row>
    <row r="1438" spans="1:17" ht="15" customHeight="1" outlineLevel="1" x14ac:dyDescent="0.25">
      <c r="A1438" s="148"/>
      <c r="B1438" s="148"/>
      <c r="C1438" s="148"/>
      <c r="D1438" s="138"/>
      <c r="E1438" s="138"/>
      <c r="F1438" s="50">
        <v>43647</v>
      </c>
      <c r="G1438" s="50">
        <v>43830</v>
      </c>
      <c r="H1438" s="150"/>
      <c r="I1438" s="15" t="s">
        <v>23</v>
      </c>
      <c r="J1438" s="15" t="s">
        <v>23</v>
      </c>
      <c r="K1438" s="13">
        <v>27.46</v>
      </c>
      <c r="L1438" s="13">
        <v>1630.78</v>
      </c>
      <c r="M1438" s="198"/>
      <c r="N1438" s="55">
        <f t="shared" si="43"/>
        <v>22.883333333333336</v>
      </c>
      <c r="O1438" s="55">
        <f t="shared" si="44"/>
        <v>1358.9833333333333</v>
      </c>
    </row>
    <row r="1439" spans="1:17" ht="15" customHeight="1" outlineLevel="1" x14ac:dyDescent="0.25">
      <c r="A1439" s="148"/>
      <c r="B1439" s="148"/>
      <c r="C1439" s="148"/>
      <c r="D1439" s="138"/>
      <c r="E1439" s="138"/>
      <c r="F1439" s="50">
        <v>43466</v>
      </c>
      <c r="G1439" s="50">
        <v>43646</v>
      </c>
      <c r="H1439" s="150"/>
      <c r="I1439" s="15" t="s">
        <v>23</v>
      </c>
      <c r="J1439" s="15" t="s">
        <v>23</v>
      </c>
      <c r="K1439" s="13">
        <v>26.92</v>
      </c>
      <c r="L1439" s="13">
        <v>1714.66</v>
      </c>
      <c r="M1439" s="196" t="s">
        <v>423</v>
      </c>
      <c r="N1439" s="55">
        <f t="shared" si="43"/>
        <v>22.433333333333337</v>
      </c>
      <c r="O1439" s="55">
        <f t="shared" si="44"/>
        <v>1428.8833333333334</v>
      </c>
    </row>
    <row r="1440" spans="1:17" ht="15" customHeight="1" outlineLevel="1" x14ac:dyDescent="0.25">
      <c r="A1440" s="148"/>
      <c r="B1440" s="148"/>
      <c r="C1440" s="148"/>
      <c r="D1440" s="138"/>
      <c r="E1440" s="138"/>
      <c r="F1440" s="50">
        <v>43647</v>
      </c>
      <c r="G1440" s="50">
        <v>43830</v>
      </c>
      <c r="H1440" s="150"/>
      <c r="I1440" s="15" t="s">
        <v>23</v>
      </c>
      <c r="J1440" s="15" t="s">
        <v>23</v>
      </c>
      <c r="K1440" s="13">
        <v>27.46</v>
      </c>
      <c r="L1440" s="13">
        <v>1748.95</v>
      </c>
      <c r="M1440" s="198"/>
      <c r="N1440" s="55">
        <f t="shared" si="43"/>
        <v>22.883333333333336</v>
      </c>
      <c r="O1440" s="55">
        <f t="shared" si="44"/>
        <v>1457.4583333333335</v>
      </c>
    </row>
    <row r="1441" spans="1:20" ht="15" customHeight="1" outlineLevel="1" x14ac:dyDescent="0.25">
      <c r="A1441" s="148"/>
      <c r="B1441" s="148"/>
      <c r="C1441" s="148"/>
      <c r="D1441" s="138"/>
      <c r="E1441" s="138"/>
      <c r="F1441" s="50">
        <v>43466</v>
      </c>
      <c r="G1441" s="50">
        <v>43646</v>
      </c>
      <c r="H1441" s="150"/>
      <c r="I1441" s="15" t="s">
        <v>23</v>
      </c>
      <c r="J1441" s="15" t="s">
        <v>23</v>
      </c>
      <c r="K1441" s="13">
        <v>26.92</v>
      </c>
      <c r="L1441" s="13">
        <v>1792.6</v>
      </c>
      <c r="M1441" s="196" t="s">
        <v>424</v>
      </c>
      <c r="N1441" s="55">
        <f t="shared" si="43"/>
        <v>22.433333333333337</v>
      </c>
      <c r="O1441" s="55">
        <f t="shared" si="44"/>
        <v>1493.8333333333333</v>
      </c>
      <c r="P1441" s="121">
        <f>I1431-N1441</f>
        <v>16.586666666666666</v>
      </c>
      <c r="Q1441" s="57">
        <f>J1431-O1441</f>
        <v>1216.2666666666667</v>
      </c>
    </row>
    <row r="1442" spans="1:20" ht="15" customHeight="1" outlineLevel="1" x14ac:dyDescent="0.25">
      <c r="A1442" s="148"/>
      <c r="B1442" s="148"/>
      <c r="C1442" s="148"/>
      <c r="D1442" s="138"/>
      <c r="E1442" s="138"/>
      <c r="F1442" s="50">
        <v>43647</v>
      </c>
      <c r="G1442" s="50">
        <v>43830</v>
      </c>
      <c r="H1442" s="150"/>
      <c r="I1442" s="15" t="s">
        <v>23</v>
      </c>
      <c r="J1442" s="15" t="s">
        <v>23</v>
      </c>
      <c r="K1442" s="13">
        <v>27.46</v>
      </c>
      <c r="L1442" s="13">
        <v>1828.45</v>
      </c>
      <c r="M1442" s="198"/>
      <c r="N1442" s="55">
        <f t="shared" si="43"/>
        <v>22.883333333333336</v>
      </c>
      <c r="O1442" s="55">
        <f t="shared" si="44"/>
        <v>1523.7083333333335</v>
      </c>
    </row>
    <row r="1443" spans="1:20" ht="15" customHeight="1" outlineLevel="1" x14ac:dyDescent="0.25">
      <c r="A1443" s="148"/>
      <c r="B1443" s="148"/>
      <c r="C1443" s="148"/>
      <c r="D1443" s="138"/>
      <c r="E1443" s="138"/>
      <c r="F1443" s="50">
        <v>43466</v>
      </c>
      <c r="G1443" s="50">
        <v>43646</v>
      </c>
      <c r="H1443" s="150"/>
      <c r="I1443" s="15" t="s">
        <v>23</v>
      </c>
      <c r="J1443" s="15" t="s">
        <v>23</v>
      </c>
      <c r="K1443" s="13">
        <v>26.92</v>
      </c>
      <c r="L1443" s="13">
        <v>1939.54</v>
      </c>
      <c r="M1443" s="196" t="s">
        <v>425</v>
      </c>
      <c r="N1443" s="55">
        <f t="shared" si="43"/>
        <v>22.433333333333337</v>
      </c>
      <c r="O1443" s="55">
        <f t="shared" si="44"/>
        <v>1616.2833333333333</v>
      </c>
      <c r="P1443" s="121">
        <f>I1431-N1443</f>
        <v>16.586666666666666</v>
      </c>
      <c r="Q1443" s="57">
        <f>J1431-O1443</f>
        <v>1093.8166666666666</v>
      </c>
    </row>
    <row r="1444" spans="1:20" ht="15" customHeight="1" outlineLevel="1" x14ac:dyDescent="0.25">
      <c r="A1444" s="148"/>
      <c r="B1444" s="148"/>
      <c r="C1444" s="148"/>
      <c r="D1444" s="138"/>
      <c r="E1444" s="138"/>
      <c r="F1444" s="50">
        <v>43647</v>
      </c>
      <c r="G1444" s="50">
        <v>43830</v>
      </c>
      <c r="H1444" s="150"/>
      <c r="I1444" s="15" t="s">
        <v>23</v>
      </c>
      <c r="J1444" s="15" t="s">
        <v>23</v>
      </c>
      <c r="K1444" s="13">
        <v>27.46</v>
      </c>
      <c r="L1444" s="13">
        <v>1978.32</v>
      </c>
      <c r="M1444" s="198"/>
      <c r="N1444" s="55">
        <f t="shared" si="43"/>
        <v>22.883333333333336</v>
      </c>
      <c r="O1444" s="55">
        <f t="shared" si="44"/>
        <v>1648.6</v>
      </c>
    </row>
    <row r="1445" spans="1:20" ht="15" customHeight="1" outlineLevel="1" x14ac:dyDescent="0.25">
      <c r="A1445" s="148"/>
      <c r="B1445" s="148"/>
      <c r="C1445" s="148"/>
      <c r="D1445" s="138"/>
      <c r="E1445" s="138"/>
      <c r="F1445" s="50">
        <v>43466</v>
      </c>
      <c r="G1445" s="50">
        <v>43646</v>
      </c>
      <c r="H1445" s="150"/>
      <c r="I1445" s="15" t="s">
        <v>23</v>
      </c>
      <c r="J1445" s="15" t="s">
        <v>23</v>
      </c>
      <c r="K1445" s="13">
        <v>26.92</v>
      </c>
      <c r="L1445" s="13">
        <v>1643.22</v>
      </c>
      <c r="M1445" s="196" t="s">
        <v>426</v>
      </c>
      <c r="N1445" s="55">
        <f t="shared" si="43"/>
        <v>22.433333333333337</v>
      </c>
      <c r="O1445" s="55">
        <f t="shared" si="44"/>
        <v>1369.3500000000001</v>
      </c>
      <c r="P1445" s="121">
        <f>I1431-N1445</f>
        <v>16.586666666666666</v>
      </c>
      <c r="Q1445" s="57">
        <f>J1431-O1445</f>
        <v>1340.7499999999998</v>
      </c>
      <c r="R1445" s="57">
        <f>P1445*22560.745</f>
        <v>374207.55706666666</v>
      </c>
      <c r="S1445" s="58">
        <f>Q1445*1624.373</f>
        <v>2177878.0997499996</v>
      </c>
      <c r="T1445" s="55">
        <f>R1445+S1445</f>
        <v>2552085.656816666</v>
      </c>
    </row>
    <row r="1446" spans="1:20" s="10" customFormat="1" ht="28.5" customHeight="1" x14ac:dyDescent="0.25">
      <c r="A1446" s="148"/>
      <c r="B1446" s="148"/>
      <c r="C1446" s="148"/>
      <c r="D1446" s="138"/>
      <c r="E1446" s="138"/>
      <c r="F1446" s="50">
        <v>43647</v>
      </c>
      <c r="G1446" s="50">
        <v>43830</v>
      </c>
      <c r="H1446" s="150"/>
      <c r="I1446" s="15" t="s">
        <v>23</v>
      </c>
      <c r="J1446" s="15" t="s">
        <v>23</v>
      </c>
      <c r="K1446" s="13">
        <v>27.46</v>
      </c>
      <c r="L1446" s="13">
        <v>1676.08</v>
      </c>
      <c r="M1446" s="198"/>
      <c r="N1446" s="55">
        <f t="shared" si="43"/>
        <v>22.883333333333336</v>
      </c>
      <c r="O1446" s="55">
        <f t="shared" si="44"/>
        <v>1396.7333333333333</v>
      </c>
      <c r="Q1446" s="64"/>
      <c r="R1446" s="64"/>
      <c r="S1446" s="65"/>
      <c r="T1446" s="11"/>
    </row>
    <row r="1447" spans="1:20" ht="15" customHeight="1" outlineLevel="1" x14ac:dyDescent="0.25">
      <c r="A1447" s="148"/>
      <c r="B1447" s="148"/>
      <c r="C1447" s="148"/>
      <c r="D1447" s="138"/>
      <c r="E1447" s="138"/>
      <c r="F1447" s="50">
        <v>43466</v>
      </c>
      <c r="G1447" s="50">
        <v>43646</v>
      </c>
      <c r="H1447" s="150"/>
      <c r="I1447" s="15" t="s">
        <v>23</v>
      </c>
      <c r="J1447" s="15" t="s">
        <v>23</v>
      </c>
      <c r="K1447" s="13">
        <v>26.92</v>
      </c>
      <c r="L1447" s="13">
        <v>1792.6</v>
      </c>
      <c r="M1447" s="196" t="s">
        <v>427</v>
      </c>
      <c r="N1447" s="55">
        <f t="shared" si="43"/>
        <v>22.433333333333337</v>
      </c>
      <c r="O1447" s="55">
        <f t="shared" si="44"/>
        <v>1493.8333333333333</v>
      </c>
      <c r="P1447" s="121">
        <f>I1431-N1447</f>
        <v>16.586666666666666</v>
      </c>
      <c r="Q1447" s="57">
        <f>J1431-O1447</f>
        <v>1216.2666666666667</v>
      </c>
    </row>
    <row r="1448" spans="1:20" ht="15" customHeight="1" outlineLevel="1" x14ac:dyDescent="0.25">
      <c r="A1448" s="147"/>
      <c r="B1448" s="147"/>
      <c r="C1448" s="148"/>
      <c r="D1448" s="141"/>
      <c r="E1448" s="141"/>
      <c r="F1448" s="50">
        <v>43647</v>
      </c>
      <c r="G1448" s="50">
        <v>43830</v>
      </c>
      <c r="H1448" s="151"/>
      <c r="I1448" s="15" t="s">
        <v>23</v>
      </c>
      <c r="J1448" s="15" t="s">
        <v>23</v>
      </c>
      <c r="K1448" s="13">
        <v>27.46</v>
      </c>
      <c r="L1448" s="13">
        <v>1828.45</v>
      </c>
      <c r="M1448" s="198"/>
      <c r="N1448" s="55">
        <f t="shared" si="43"/>
        <v>22.883333333333336</v>
      </c>
      <c r="O1448" s="55">
        <f t="shared" si="44"/>
        <v>1523.7083333333335</v>
      </c>
    </row>
    <row r="1449" spans="1:20" ht="15" customHeight="1" outlineLevel="1" x14ac:dyDescent="0.25">
      <c r="A1449" s="146" t="s">
        <v>55</v>
      </c>
      <c r="B1449" s="146" t="s">
        <v>251</v>
      </c>
      <c r="C1449" s="148"/>
      <c r="D1449" s="137">
        <f>$D$1269</f>
        <v>43454</v>
      </c>
      <c r="E1449" s="137" t="str">
        <f>$E$1269</f>
        <v>565-п</v>
      </c>
      <c r="F1449" s="12">
        <v>43466</v>
      </c>
      <c r="G1449" s="12">
        <v>43646</v>
      </c>
      <c r="H1449" s="149"/>
      <c r="I1449" s="66">
        <f>$I$1269</f>
        <v>39.020000000000003</v>
      </c>
      <c r="J1449" s="13">
        <f>$J$1269</f>
        <v>2710.1</v>
      </c>
      <c r="K1449" s="15" t="s">
        <v>23</v>
      </c>
      <c r="L1449" s="15" t="s">
        <v>23</v>
      </c>
      <c r="M1449" s="153"/>
    </row>
    <row r="1450" spans="1:20" ht="15" customHeight="1" outlineLevel="1" x14ac:dyDescent="0.25">
      <c r="A1450" s="148"/>
      <c r="B1450" s="148"/>
      <c r="C1450" s="148"/>
      <c r="D1450" s="141"/>
      <c r="E1450" s="141"/>
      <c r="F1450" s="12">
        <v>43647</v>
      </c>
      <c r="G1450" s="12">
        <v>43830</v>
      </c>
      <c r="H1450" s="151"/>
      <c r="I1450" s="66">
        <f>$I$1270</f>
        <v>41.55</v>
      </c>
      <c r="J1450" s="13">
        <f>$J$1270</f>
        <v>2734.19</v>
      </c>
      <c r="K1450" s="15" t="s">
        <v>23</v>
      </c>
      <c r="L1450" s="15" t="s">
        <v>23</v>
      </c>
      <c r="M1450" s="152"/>
    </row>
    <row r="1451" spans="1:20" ht="15" customHeight="1" outlineLevel="1" x14ac:dyDescent="0.25">
      <c r="A1451" s="148"/>
      <c r="B1451" s="148"/>
      <c r="C1451" s="148"/>
      <c r="D1451" s="137">
        <f>$D$1469</f>
        <v>43454</v>
      </c>
      <c r="E1451" s="137" t="str">
        <f>$E$1469</f>
        <v>673-п</v>
      </c>
      <c r="F1451" s="50">
        <v>43466</v>
      </c>
      <c r="G1451" s="50">
        <v>43646</v>
      </c>
      <c r="H1451" s="149"/>
      <c r="I1451" s="15" t="s">
        <v>23</v>
      </c>
      <c r="J1451" s="15" t="s">
        <v>23</v>
      </c>
      <c r="K1451" s="13">
        <v>30.8</v>
      </c>
      <c r="L1451" s="13">
        <v>1735.45</v>
      </c>
      <c r="M1451" s="196" t="s">
        <v>420</v>
      </c>
    </row>
    <row r="1452" spans="1:20" ht="15" customHeight="1" outlineLevel="1" x14ac:dyDescent="0.25">
      <c r="A1452" s="148"/>
      <c r="B1452" s="148"/>
      <c r="C1452" s="148"/>
      <c r="D1452" s="138"/>
      <c r="E1452" s="138"/>
      <c r="F1452" s="50">
        <v>43647</v>
      </c>
      <c r="G1452" s="50">
        <v>43830</v>
      </c>
      <c r="H1452" s="150"/>
      <c r="I1452" s="15" t="s">
        <v>23</v>
      </c>
      <c r="J1452" s="15" t="s">
        <v>23</v>
      </c>
      <c r="K1452" s="13">
        <v>31.42</v>
      </c>
      <c r="L1452" s="13">
        <v>1770.15</v>
      </c>
      <c r="M1452" s="198"/>
    </row>
    <row r="1453" spans="1:20" ht="15" customHeight="1" outlineLevel="1" x14ac:dyDescent="0.25">
      <c r="A1453" s="148"/>
      <c r="B1453" s="148"/>
      <c r="C1453" s="148"/>
      <c r="D1453" s="138"/>
      <c r="E1453" s="138"/>
      <c r="F1453" s="50">
        <v>43466</v>
      </c>
      <c r="G1453" s="50">
        <v>43646</v>
      </c>
      <c r="H1453" s="150"/>
      <c r="I1453" s="15" t="s">
        <v>23</v>
      </c>
      <c r="J1453" s="15" t="s">
        <v>23</v>
      </c>
      <c r="K1453" s="13">
        <v>30.8</v>
      </c>
      <c r="L1453" s="13">
        <v>1900.73</v>
      </c>
      <c r="M1453" s="196" t="s">
        <v>421</v>
      </c>
    </row>
    <row r="1454" spans="1:20" ht="15" customHeight="1" outlineLevel="1" x14ac:dyDescent="0.25">
      <c r="A1454" s="148"/>
      <c r="B1454" s="148"/>
      <c r="C1454" s="148"/>
      <c r="D1454" s="138"/>
      <c r="E1454" s="138"/>
      <c r="F1454" s="50">
        <v>43647</v>
      </c>
      <c r="G1454" s="50">
        <v>43830</v>
      </c>
      <c r="H1454" s="150"/>
      <c r="I1454" s="15" t="s">
        <v>23</v>
      </c>
      <c r="J1454" s="15" t="s">
        <v>23</v>
      </c>
      <c r="K1454" s="13">
        <v>31.42</v>
      </c>
      <c r="L1454" s="13">
        <v>1938.74</v>
      </c>
      <c r="M1454" s="198"/>
    </row>
    <row r="1455" spans="1:20" ht="15" customHeight="1" outlineLevel="1" x14ac:dyDescent="0.25">
      <c r="A1455" s="148"/>
      <c r="B1455" s="148"/>
      <c r="C1455" s="148"/>
      <c r="D1455" s="138"/>
      <c r="E1455" s="138"/>
      <c r="F1455" s="50">
        <v>43466</v>
      </c>
      <c r="G1455" s="50">
        <v>43646</v>
      </c>
      <c r="H1455" s="150"/>
      <c r="I1455" s="15" t="s">
        <v>23</v>
      </c>
      <c r="J1455" s="15" t="s">
        <v>23</v>
      </c>
      <c r="K1455" s="13">
        <v>30.8</v>
      </c>
      <c r="L1455" s="13">
        <v>1618.19</v>
      </c>
      <c r="M1455" s="196" t="s">
        <v>422</v>
      </c>
    </row>
    <row r="1456" spans="1:20" ht="15" customHeight="1" outlineLevel="1" x14ac:dyDescent="0.25">
      <c r="A1456" s="148"/>
      <c r="B1456" s="148"/>
      <c r="C1456" s="148"/>
      <c r="D1456" s="138"/>
      <c r="E1456" s="138"/>
      <c r="F1456" s="50">
        <v>43647</v>
      </c>
      <c r="G1456" s="50">
        <v>43830</v>
      </c>
      <c r="H1456" s="150"/>
      <c r="I1456" s="15" t="s">
        <v>23</v>
      </c>
      <c r="J1456" s="15" t="s">
        <v>23</v>
      </c>
      <c r="K1456" s="13">
        <v>31.42</v>
      </c>
      <c r="L1456" s="13">
        <v>1650.55</v>
      </c>
      <c r="M1456" s="198"/>
    </row>
    <row r="1457" spans="1:17" ht="15" customHeight="1" outlineLevel="1" x14ac:dyDescent="0.25">
      <c r="A1457" s="148"/>
      <c r="B1457" s="148"/>
      <c r="C1457" s="148"/>
      <c r="D1457" s="138"/>
      <c r="E1457" s="138"/>
      <c r="F1457" s="50">
        <v>43466</v>
      </c>
      <c r="G1457" s="50">
        <v>43646</v>
      </c>
      <c r="H1457" s="150"/>
      <c r="I1457" s="15" t="s">
        <v>23</v>
      </c>
      <c r="J1457" s="15" t="s">
        <v>23</v>
      </c>
      <c r="K1457" s="13">
        <v>30.8</v>
      </c>
      <c r="L1457" s="13">
        <v>1735.45</v>
      </c>
      <c r="M1457" s="196" t="s">
        <v>423</v>
      </c>
    </row>
    <row r="1458" spans="1:17" ht="15" customHeight="1" outlineLevel="1" x14ac:dyDescent="0.25">
      <c r="A1458" s="148"/>
      <c r="B1458" s="148"/>
      <c r="C1458" s="148"/>
      <c r="D1458" s="138"/>
      <c r="E1458" s="138"/>
      <c r="F1458" s="50">
        <v>43647</v>
      </c>
      <c r="G1458" s="50">
        <v>43830</v>
      </c>
      <c r="H1458" s="150"/>
      <c r="I1458" s="15" t="s">
        <v>23</v>
      </c>
      <c r="J1458" s="15" t="s">
        <v>23</v>
      </c>
      <c r="K1458" s="13">
        <v>31.42</v>
      </c>
      <c r="L1458" s="13">
        <v>1770.15</v>
      </c>
      <c r="M1458" s="198"/>
    </row>
    <row r="1459" spans="1:17" ht="15" customHeight="1" outlineLevel="1" x14ac:dyDescent="0.25">
      <c r="A1459" s="148"/>
      <c r="B1459" s="148"/>
      <c r="C1459" s="148"/>
      <c r="D1459" s="138"/>
      <c r="E1459" s="138"/>
      <c r="F1459" s="50">
        <v>43466</v>
      </c>
      <c r="G1459" s="50">
        <v>43646</v>
      </c>
      <c r="H1459" s="150"/>
      <c r="I1459" s="15" t="s">
        <v>23</v>
      </c>
      <c r="J1459" s="15" t="s">
        <v>23</v>
      </c>
      <c r="K1459" s="13">
        <v>30.8</v>
      </c>
      <c r="L1459" s="13">
        <v>1814.33</v>
      </c>
      <c r="M1459" s="196" t="s">
        <v>424</v>
      </c>
    </row>
    <row r="1460" spans="1:17" ht="15" customHeight="1" outlineLevel="1" x14ac:dyDescent="0.25">
      <c r="A1460" s="148"/>
      <c r="B1460" s="148"/>
      <c r="C1460" s="148"/>
      <c r="D1460" s="138"/>
      <c r="E1460" s="138"/>
      <c r="F1460" s="50">
        <v>43647</v>
      </c>
      <c r="G1460" s="50">
        <v>43830</v>
      </c>
      <c r="H1460" s="150"/>
      <c r="I1460" s="15" t="s">
        <v>23</v>
      </c>
      <c r="J1460" s="15" t="s">
        <v>23</v>
      </c>
      <c r="K1460" s="13">
        <v>31.42</v>
      </c>
      <c r="L1460" s="13">
        <v>1850.62</v>
      </c>
      <c r="M1460" s="198"/>
    </row>
    <row r="1461" spans="1:17" ht="15" customHeight="1" outlineLevel="1" x14ac:dyDescent="0.25">
      <c r="A1461" s="148"/>
      <c r="B1461" s="148"/>
      <c r="C1461" s="148"/>
      <c r="D1461" s="138"/>
      <c r="E1461" s="138"/>
      <c r="F1461" s="50">
        <v>43466</v>
      </c>
      <c r="G1461" s="50">
        <v>43646</v>
      </c>
      <c r="H1461" s="150"/>
      <c r="I1461" s="15" t="s">
        <v>23</v>
      </c>
      <c r="J1461" s="15" t="s">
        <v>23</v>
      </c>
      <c r="K1461" s="13">
        <v>30.8</v>
      </c>
      <c r="L1461" s="13">
        <v>1963.05</v>
      </c>
      <c r="M1461" s="196" t="s">
        <v>425</v>
      </c>
    </row>
    <row r="1462" spans="1:17" ht="15" customHeight="1" outlineLevel="1" x14ac:dyDescent="0.25">
      <c r="A1462" s="148"/>
      <c r="B1462" s="148"/>
      <c r="C1462" s="148"/>
      <c r="D1462" s="138"/>
      <c r="E1462" s="138"/>
      <c r="F1462" s="50">
        <v>43647</v>
      </c>
      <c r="G1462" s="50">
        <v>43830</v>
      </c>
      <c r="H1462" s="150"/>
      <c r="I1462" s="15" t="s">
        <v>23</v>
      </c>
      <c r="J1462" s="15" t="s">
        <v>23</v>
      </c>
      <c r="K1462" s="13">
        <v>31.42</v>
      </c>
      <c r="L1462" s="13">
        <v>2002.31</v>
      </c>
      <c r="M1462" s="198"/>
    </row>
    <row r="1463" spans="1:17" ht="15" customHeight="1" outlineLevel="1" x14ac:dyDescent="0.25">
      <c r="A1463" s="148"/>
      <c r="B1463" s="148"/>
      <c r="C1463" s="148"/>
      <c r="D1463" s="138"/>
      <c r="E1463" s="138"/>
      <c r="F1463" s="50">
        <v>43466</v>
      </c>
      <c r="G1463" s="50">
        <v>43646</v>
      </c>
      <c r="H1463" s="150"/>
      <c r="I1463" s="15" t="s">
        <v>23</v>
      </c>
      <c r="J1463" s="15" t="s">
        <v>23</v>
      </c>
      <c r="K1463" s="13">
        <v>30.8</v>
      </c>
      <c r="L1463" s="13">
        <v>1663.14</v>
      </c>
      <c r="M1463" s="196" t="s">
        <v>426</v>
      </c>
      <c r="N1463" s="55">
        <f>K1463/1.2</f>
        <v>25.666666666666668</v>
      </c>
      <c r="O1463" s="55">
        <f>L1463/1.2</f>
        <v>1385.95</v>
      </c>
    </row>
    <row r="1464" spans="1:17" ht="15" customHeight="1" outlineLevel="1" x14ac:dyDescent="0.25">
      <c r="A1464" s="148"/>
      <c r="B1464" s="148"/>
      <c r="C1464" s="148"/>
      <c r="D1464" s="138"/>
      <c r="E1464" s="138"/>
      <c r="F1464" s="50">
        <v>43647</v>
      </c>
      <c r="G1464" s="50">
        <v>43830</v>
      </c>
      <c r="H1464" s="150"/>
      <c r="I1464" s="15" t="s">
        <v>23</v>
      </c>
      <c r="J1464" s="15" t="s">
        <v>23</v>
      </c>
      <c r="K1464" s="13">
        <v>31.42</v>
      </c>
      <c r="L1464" s="13">
        <v>1696.4</v>
      </c>
      <c r="M1464" s="198"/>
    </row>
    <row r="1465" spans="1:17" ht="15" customHeight="1" outlineLevel="1" x14ac:dyDescent="0.25">
      <c r="A1465" s="148"/>
      <c r="B1465" s="148"/>
      <c r="C1465" s="148"/>
      <c r="D1465" s="138"/>
      <c r="E1465" s="138"/>
      <c r="F1465" s="50">
        <v>43466</v>
      </c>
      <c r="G1465" s="50">
        <v>43646</v>
      </c>
      <c r="H1465" s="150"/>
      <c r="I1465" s="15" t="s">
        <v>23</v>
      </c>
      <c r="J1465" s="15" t="s">
        <v>23</v>
      </c>
      <c r="K1465" s="13">
        <v>30.8</v>
      </c>
      <c r="L1465" s="13">
        <v>1814.33</v>
      </c>
      <c r="M1465" s="196" t="s">
        <v>427</v>
      </c>
    </row>
    <row r="1466" spans="1:17" ht="15" customHeight="1" outlineLevel="1" x14ac:dyDescent="0.25">
      <c r="A1466" s="147"/>
      <c r="B1466" s="147"/>
      <c r="C1466" s="147"/>
      <c r="D1466" s="141"/>
      <c r="E1466" s="141"/>
      <c r="F1466" s="50">
        <v>43647</v>
      </c>
      <c r="G1466" s="50">
        <v>43830</v>
      </c>
      <c r="H1466" s="151"/>
      <c r="I1466" s="15" t="s">
        <v>23</v>
      </c>
      <c r="J1466" s="15" t="s">
        <v>23</v>
      </c>
      <c r="K1466" s="13">
        <v>31.42</v>
      </c>
      <c r="L1466" s="13">
        <v>1850.62</v>
      </c>
      <c r="M1466" s="198"/>
      <c r="N1466" s="55">
        <f>K1465/1.2</f>
        <v>25.666666666666668</v>
      </c>
      <c r="O1466" s="55">
        <f>L1465/1.2</f>
        <v>1511.9416666666666</v>
      </c>
      <c r="P1466" s="121">
        <f>I1449-N1466</f>
        <v>13.353333333333335</v>
      </c>
      <c r="Q1466" s="57">
        <f>J1449-O1466</f>
        <v>1198.1583333333333</v>
      </c>
    </row>
    <row r="1467" spans="1:17" ht="15" customHeight="1" outlineLevel="1" x14ac:dyDescent="0.25">
      <c r="A1467" s="146" t="s">
        <v>55</v>
      </c>
      <c r="B1467" s="146" t="s">
        <v>186</v>
      </c>
      <c r="C1467" s="146" t="s">
        <v>279</v>
      </c>
      <c r="D1467" s="137">
        <v>43454</v>
      </c>
      <c r="E1467" s="137" t="s">
        <v>572</v>
      </c>
      <c r="F1467" s="12">
        <v>43466</v>
      </c>
      <c r="G1467" s="12">
        <v>43646</v>
      </c>
      <c r="H1467" s="149"/>
      <c r="I1467" s="66">
        <v>5.67</v>
      </c>
      <c r="J1467" s="13">
        <v>984.5</v>
      </c>
      <c r="K1467" s="15" t="s">
        <v>23</v>
      </c>
      <c r="L1467" s="15" t="s">
        <v>23</v>
      </c>
      <c r="M1467" s="153"/>
    </row>
    <row r="1468" spans="1:17" ht="15" customHeight="1" outlineLevel="1" x14ac:dyDescent="0.25">
      <c r="A1468" s="148"/>
      <c r="B1468" s="148"/>
      <c r="C1468" s="148"/>
      <c r="D1468" s="141"/>
      <c r="E1468" s="141"/>
      <c r="F1468" s="12">
        <v>43647</v>
      </c>
      <c r="G1468" s="12">
        <v>43830</v>
      </c>
      <c r="H1468" s="151"/>
      <c r="I1468" s="66">
        <v>5.95</v>
      </c>
      <c r="J1468" s="13">
        <v>1012.38</v>
      </c>
      <c r="K1468" s="15" t="s">
        <v>23</v>
      </c>
      <c r="L1468" s="15" t="s">
        <v>23</v>
      </c>
      <c r="M1468" s="152"/>
    </row>
    <row r="1469" spans="1:17" ht="15" customHeight="1" outlineLevel="1" x14ac:dyDescent="0.25">
      <c r="A1469" s="148"/>
      <c r="B1469" s="148"/>
      <c r="C1469" s="148"/>
      <c r="D1469" s="137">
        <v>43454</v>
      </c>
      <c r="E1469" s="137" t="s">
        <v>479</v>
      </c>
      <c r="F1469" s="50">
        <v>43466</v>
      </c>
      <c r="G1469" s="50">
        <v>43646</v>
      </c>
      <c r="H1469" s="149"/>
      <c r="I1469" s="15" t="s">
        <v>23</v>
      </c>
      <c r="J1469" s="15" t="s">
        <v>23</v>
      </c>
      <c r="K1469" s="13">
        <v>7.37</v>
      </c>
      <c r="L1469" s="13">
        <v>1145.9100000000001</v>
      </c>
      <c r="M1469" s="196" t="s">
        <v>420</v>
      </c>
    </row>
    <row r="1470" spans="1:17" ht="15" customHeight="1" outlineLevel="1" x14ac:dyDescent="0.25">
      <c r="A1470" s="148"/>
      <c r="B1470" s="148"/>
      <c r="C1470" s="148"/>
      <c r="D1470" s="138"/>
      <c r="E1470" s="138"/>
      <c r="F1470" s="50">
        <v>43647</v>
      </c>
      <c r="G1470" s="50">
        <v>43830</v>
      </c>
      <c r="H1470" s="150"/>
      <c r="I1470" s="15" t="s">
        <v>23</v>
      </c>
      <c r="J1470" s="15" t="s">
        <v>23</v>
      </c>
      <c r="K1470" s="13">
        <v>7.52</v>
      </c>
      <c r="L1470" s="13">
        <v>1168.83</v>
      </c>
      <c r="M1470" s="198"/>
    </row>
    <row r="1471" spans="1:17" ht="15" customHeight="1" outlineLevel="1" x14ac:dyDescent="0.25">
      <c r="A1471" s="148"/>
      <c r="B1471" s="148"/>
      <c r="C1471" s="148"/>
      <c r="D1471" s="138"/>
      <c r="E1471" s="138"/>
      <c r="F1471" s="50">
        <v>43466</v>
      </c>
      <c r="G1471" s="50">
        <v>43646</v>
      </c>
      <c r="H1471" s="150"/>
      <c r="I1471" s="15" t="s">
        <v>23</v>
      </c>
      <c r="J1471" s="15" t="s">
        <v>23</v>
      </c>
      <c r="K1471" s="13">
        <f>$K$1469</f>
        <v>7.37</v>
      </c>
      <c r="L1471" s="13">
        <v>1254.6500000000001</v>
      </c>
      <c r="M1471" s="196" t="s">
        <v>421</v>
      </c>
    </row>
    <row r="1472" spans="1:17" ht="15" customHeight="1" outlineLevel="1" x14ac:dyDescent="0.25">
      <c r="A1472" s="148"/>
      <c r="B1472" s="148"/>
      <c r="C1472" s="148"/>
      <c r="D1472" s="138"/>
      <c r="E1472" s="138"/>
      <c r="F1472" s="50">
        <v>43647</v>
      </c>
      <c r="G1472" s="50">
        <v>43830</v>
      </c>
      <c r="H1472" s="150"/>
      <c r="I1472" s="15" t="s">
        <v>23</v>
      </c>
      <c r="J1472" s="15" t="s">
        <v>23</v>
      </c>
      <c r="K1472" s="13">
        <f>$K$1470</f>
        <v>7.52</v>
      </c>
      <c r="L1472" s="13">
        <v>1279.48</v>
      </c>
      <c r="M1472" s="198"/>
    </row>
    <row r="1473" spans="1:13" ht="15" customHeight="1" outlineLevel="1" x14ac:dyDescent="0.25">
      <c r="A1473" s="148"/>
      <c r="B1473" s="148"/>
      <c r="C1473" s="148"/>
      <c r="D1473" s="138"/>
      <c r="E1473" s="138"/>
      <c r="F1473" s="50">
        <v>43466</v>
      </c>
      <c r="G1473" s="50">
        <v>43646</v>
      </c>
      <c r="H1473" s="150"/>
      <c r="I1473" s="15" t="s">
        <v>23</v>
      </c>
      <c r="J1473" s="15" t="s">
        <v>23</v>
      </c>
      <c r="K1473" s="13">
        <f t="shared" ref="K1473" si="45">$K$1469</f>
        <v>7.37</v>
      </c>
      <c r="L1473" s="13">
        <v>1068.48</v>
      </c>
      <c r="M1473" s="196" t="s">
        <v>422</v>
      </c>
    </row>
    <row r="1474" spans="1:13" ht="15" customHeight="1" outlineLevel="1" x14ac:dyDescent="0.25">
      <c r="A1474" s="148"/>
      <c r="B1474" s="148"/>
      <c r="C1474" s="148"/>
      <c r="D1474" s="138"/>
      <c r="E1474" s="138"/>
      <c r="F1474" s="50">
        <v>43647</v>
      </c>
      <c r="G1474" s="50">
        <v>43830</v>
      </c>
      <c r="H1474" s="150"/>
      <c r="I1474" s="15" t="s">
        <v>23</v>
      </c>
      <c r="J1474" s="15" t="s">
        <v>23</v>
      </c>
      <c r="K1474" s="13">
        <f t="shared" ref="K1474" si="46">$K$1470</f>
        <v>7.52</v>
      </c>
      <c r="L1474" s="13">
        <v>1089.8499999999999</v>
      </c>
      <c r="M1474" s="198"/>
    </row>
    <row r="1475" spans="1:13" ht="15" customHeight="1" outlineLevel="1" x14ac:dyDescent="0.25">
      <c r="A1475" s="148"/>
      <c r="B1475" s="148"/>
      <c r="C1475" s="148"/>
      <c r="D1475" s="138"/>
      <c r="E1475" s="138"/>
      <c r="F1475" s="50">
        <v>43466</v>
      </c>
      <c r="G1475" s="50">
        <v>43646</v>
      </c>
      <c r="H1475" s="150"/>
      <c r="I1475" s="15" t="s">
        <v>23</v>
      </c>
      <c r="J1475" s="15" t="s">
        <v>23</v>
      </c>
      <c r="K1475" s="13">
        <f t="shared" ref="K1475" si="47">$K$1469</f>
        <v>7.37</v>
      </c>
      <c r="L1475" s="13">
        <v>1145.9100000000001</v>
      </c>
      <c r="M1475" s="196" t="s">
        <v>423</v>
      </c>
    </row>
    <row r="1476" spans="1:13" ht="15" customHeight="1" outlineLevel="1" x14ac:dyDescent="0.25">
      <c r="A1476" s="148"/>
      <c r="B1476" s="148"/>
      <c r="C1476" s="148"/>
      <c r="D1476" s="138"/>
      <c r="E1476" s="138"/>
      <c r="F1476" s="50">
        <v>43647</v>
      </c>
      <c r="G1476" s="50">
        <v>43830</v>
      </c>
      <c r="H1476" s="150"/>
      <c r="I1476" s="15" t="s">
        <v>23</v>
      </c>
      <c r="J1476" s="15" t="s">
        <v>23</v>
      </c>
      <c r="K1476" s="13">
        <f t="shared" ref="K1476" si="48">$K$1470</f>
        <v>7.52</v>
      </c>
      <c r="L1476" s="13">
        <v>1168.83</v>
      </c>
      <c r="M1476" s="198"/>
    </row>
    <row r="1477" spans="1:13" ht="15" customHeight="1" outlineLevel="1" x14ac:dyDescent="0.25">
      <c r="A1477" s="148"/>
      <c r="B1477" s="148"/>
      <c r="C1477" s="148"/>
      <c r="D1477" s="138"/>
      <c r="E1477" s="138"/>
      <c r="F1477" s="50">
        <v>43466</v>
      </c>
      <c r="G1477" s="50">
        <v>43646</v>
      </c>
      <c r="H1477" s="150"/>
      <c r="I1477" s="15" t="s">
        <v>23</v>
      </c>
      <c r="J1477" s="15" t="s">
        <v>23</v>
      </c>
      <c r="K1477" s="13">
        <f t="shared" ref="K1477" si="49">$K$1469</f>
        <v>7.37</v>
      </c>
      <c r="L1477" s="13">
        <v>1198</v>
      </c>
      <c r="M1477" s="196" t="s">
        <v>424</v>
      </c>
    </row>
    <row r="1478" spans="1:13" ht="15" customHeight="1" outlineLevel="1" x14ac:dyDescent="0.25">
      <c r="A1478" s="148"/>
      <c r="B1478" s="148"/>
      <c r="C1478" s="148"/>
      <c r="D1478" s="138"/>
      <c r="E1478" s="138"/>
      <c r="F1478" s="50">
        <v>43647</v>
      </c>
      <c r="G1478" s="50">
        <v>43830</v>
      </c>
      <c r="H1478" s="150"/>
      <c r="I1478" s="15" t="s">
        <v>23</v>
      </c>
      <c r="J1478" s="15" t="s">
        <v>23</v>
      </c>
      <c r="K1478" s="13">
        <f t="shared" ref="K1478" si="50">$K$1470</f>
        <v>7.52</v>
      </c>
      <c r="L1478" s="13">
        <v>1221.96</v>
      </c>
      <c r="M1478" s="198"/>
    </row>
    <row r="1479" spans="1:13" ht="15" customHeight="1" outlineLevel="1" x14ac:dyDescent="0.25">
      <c r="A1479" s="148"/>
      <c r="B1479" s="148"/>
      <c r="C1479" s="148"/>
      <c r="D1479" s="138"/>
      <c r="E1479" s="138"/>
      <c r="F1479" s="50">
        <v>43466</v>
      </c>
      <c r="G1479" s="50">
        <v>43646</v>
      </c>
      <c r="H1479" s="150"/>
      <c r="I1479" s="15" t="s">
        <v>23</v>
      </c>
      <c r="J1479" s="15" t="s">
        <v>23</v>
      </c>
      <c r="K1479" s="13">
        <f t="shared" ref="K1479" si="51">$K$1469</f>
        <v>7.37</v>
      </c>
      <c r="L1479" s="13">
        <v>1254.6500000000001</v>
      </c>
      <c r="M1479" s="196" t="s">
        <v>425</v>
      </c>
    </row>
    <row r="1480" spans="1:13" ht="15" customHeight="1" outlineLevel="1" x14ac:dyDescent="0.25">
      <c r="A1480" s="148"/>
      <c r="B1480" s="148"/>
      <c r="C1480" s="148"/>
      <c r="D1480" s="138"/>
      <c r="E1480" s="138"/>
      <c r="F1480" s="50">
        <v>43647</v>
      </c>
      <c r="G1480" s="50">
        <v>43830</v>
      </c>
      <c r="H1480" s="150"/>
      <c r="I1480" s="15" t="s">
        <v>23</v>
      </c>
      <c r="J1480" s="15" t="s">
        <v>23</v>
      </c>
      <c r="K1480" s="13">
        <f t="shared" ref="K1480" si="52">$K$1470</f>
        <v>7.52</v>
      </c>
      <c r="L1480" s="13">
        <v>1279.48</v>
      </c>
      <c r="M1480" s="198"/>
    </row>
    <row r="1481" spans="1:13" ht="15" customHeight="1" outlineLevel="1" x14ac:dyDescent="0.25">
      <c r="A1481" s="148"/>
      <c r="B1481" s="148"/>
      <c r="C1481" s="148"/>
      <c r="D1481" s="138"/>
      <c r="E1481" s="138"/>
      <c r="F1481" s="50">
        <v>43466</v>
      </c>
      <c r="G1481" s="50">
        <v>43646</v>
      </c>
      <c r="H1481" s="150"/>
      <c r="I1481" s="15" t="s">
        <v>23</v>
      </c>
      <c r="J1481" s="15" t="s">
        <v>23</v>
      </c>
      <c r="K1481" s="13">
        <f t="shared" ref="K1481" si="53">$K$1469</f>
        <v>7.37</v>
      </c>
      <c r="L1481" s="13">
        <v>1098.1600000000001</v>
      </c>
      <c r="M1481" s="196" t="s">
        <v>426</v>
      </c>
    </row>
    <row r="1482" spans="1:13" ht="15" customHeight="1" outlineLevel="1" x14ac:dyDescent="0.25">
      <c r="A1482" s="148"/>
      <c r="B1482" s="148"/>
      <c r="C1482" s="148"/>
      <c r="D1482" s="138"/>
      <c r="E1482" s="138"/>
      <c r="F1482" s="50">
        <v>43647</v>
      </c>
      <c r="G1482" s="50">
        <v>43830</v>
      </c>
      <c r="H1482" s="150"/>
      <c r="I1482" s="15" t="s">
        <v>23</v>
      </c>
      <c r="J1482" s="15" t="s">
        <v>23</v>
      </c>
      <c r="K1482" s="13">
        <f t="shared" ref="K1482" si="54">$K$1470</f>
        <v>7.52</v>
      </c>
      <c r="L1482" s="13">
        <v>1120.1300000000001</v>
      </c>
      <c r="M1482" s="198"/>
    </row>
    <row r="1483" spans="1:13" ht="15" customHeight="1" outlineLevel="1" x14ac:dyDescent="0.25">
      <c r="A1483" s="148"/>
      <c r="B1483" s="148"/>
      <c r="C1483" s="148"/>
      <c r="D1483" s="138"/>
      <c r="E1483" s="138"/>
      <c r="F1483" s="50">
        <v>43466</v>
      </c>
      <c r="G1483" s="50">
        <v>43646</v>
      </c>
      <c r="H1483" s="150"/>
      <c r="I1483" s="15" t="s">
        <v>23</v>
      </c>
      <c r="J1483" s="15" t="s">
        <v>23</v>
      </c>
      <c r="K1483" s="13">
        <f t="shared" ref="K1483" si="55">$K$1469</f>
        <v>7.37</v>
      </c>
      <c r="L1483" s="13">
        <v>1198</v>
      </c>
      <c r="M1483" s="196" t="s">
        <v>427</v>
      </c>
    </row>
    <row r="1484" spans="1:13" ht="15" customHeight="1" outlineLevel="1" x14ac:dyDescent="0.25">
      <c r="A1484" s="147"/>
      <c r="B1484" s="147"/>
      <c r="C1484" s="147"/>
      <c r="D1484" s="141"/>
      <c r="E1484" s="141"/>
      <c r="F1484" s="50">
        <v>43647</v>
      </c>
      <c r="G1484" s="50">
        <v>43830</v>
      </c>
      <c r="H1484" s="151"/>
      <c r="I1484" s="15" t="s">
        <v>23</v>
      </c>
      <c r="J1484" s="15" t="s">
        <v>23</v>
      </c>
      <c r="K1484" s="13">
        <f t="shared" ref="K1484" si="56">$K$1470</f>
        <v>7.52</v>
      </c>
      <c r="L1484" s="13">
        <v>1221.96</v>
      </c>
      <c r="M1484" s="198"/>
    </row>
    <row r="1485" spans="1:13" ht="15" customHeight="1" outlineLevel="1" x14ac:dyDescent="0.25">
      <c r="A1485" s="59">
        <v>6</v>
      </c>
      <c r="B1485" s="7" t="s">
        <v>311</v>
      </c>
      <c r="C1485" s="60"/>
      <c r="D1485" s="61"/>
      <c r="E1485" s="61"/>
      <c r="F1485" s="61"/>
      <c r="G1485" s="61"/>
      <c r="H1485" s="61"/>
      <c r="I1485" s="61"/>
      <c r="J1485" s="61"/>
      <c r="K1485" s="62"/>
      <c r="L1485" s="62"/>
      <c r="M1485" s="63"/>
    </row>
    <row r="1486" spans="1:13" ht="15" customHeight="1" outlineLevel="1" x14ac:dyDescent="0.25">
      <c r="A1486" s="146" t="s">
        <v>62</v>
      </c>
      <c r="B1486" s="146" t="s">
        <v>64</v>
      </c>
      <c r="C1486" s="146" t="s">
        <v>448</v>
      </c>
      <c r="D1486" s="137">
        <v>43083</v>
      </c>
      <c r="E1486" s="137" t="s">
        <v>608</v>
      </c>
      <c r="F1486" s="12">
        <v>43466</v>
      </c>
      <c r="G1486" s="12">
        <v>43646</v>
      </c>
      <c r="H1486" s="149" t="s">
        <v>807</v>
      </c>
      <c r="I1486" s="66">
        <v>28.36</v>
      </c>
      <c r="J1486" s="13">
        <v>2872.24</v>
      </c>
      <c r="K1486" s="15" t="s">
        <v>23</v>
      </c>
      <c r="L1486" s="15" t="s">
        <v>23</v>
      </c>
      <c r="M1486" s="153"/>
    </row>
    <row r="1487" spans="1:13" ht="15" customHeight="1" outlineLevel="1" x14ac:dyDescent="0.25">
      <c r="A1487" s="148"/>
      <c r="B1487" s="148"/>
      <c r="C1487" s="148"/>
      <c r="D1487" s="141"/>
      <c r="E1487" s="141"/>
      <c r="F1487" s="12">
        <v>43647</v>
      </c>
      <c r="G1487" s="12">
        <v>43830</v>
      </c>
      <c r="H1487" s="151"/>
      <c r="I1487" s="66">
        <v>31.31</v>
      </c>
      <c r="J1487" s="13">
        <v>3270.55</v>
      </c>
      <c r="K1487" s="15" t="s">
        <v>23</v>
      </c>
      <c r="L1487" s="15" t="s">
        <v>23</v>
      </c>
      <c r="M1487" s="152"/>
    </row>
    <row r="1488" spans="1:13" ht="15" customHeight="1" outlineLevel="1" x14ac:dyDescent="0.25">
      <c r="A1488" s="148"/>
      <c r="B1488" s="148"/>
      <c r="C1488" s="148"/>
      <c r="D1488" s="137">
        <v>43454</v>
      </c>
      <c r="E1488" s="137" t="s">
        <v>808</v>
      </c>
      <c r="F1488" s="50">
        <v>43466</v>
      </c>
      <c r="G1488" s="50">
        <v>43646</v>
      </c>
      <c r="H1488" s="149"/>
      <c r="I1488" s="15" t="s">
        <v>23</v>
      </c>
      <c r="J1488" s="15" t="s">
        <v>23</v>
      </c>
      <c r="K1488" s="13">
        <v>25.32</v>
      </c>
      <c r="L1488" s="13">
        <v>2229.5799557848122</v>
      </c>
      <c r="M1488" s="196" t="s">
        <v>420</v>
      </c>
    </row>
    <row r="1489" spans="1:13" ht="15" customHeight="1" outlineLevel="1" x14ac:dyDescent="0.25">
      <c r="A1489" s="148"/>
      <c r="B1489" s="148"/>
      <c r="C1489" s="148"/>
      <c r="D1489" s="138"/>
      <c r="E1489" s="138"/>
      <c r="F1489" s="50">
        <v>43647</v>
      </c>
      <c r="G1489" s="50">
        <v>43830</v>
      </c>
      <c r="H1489" s="150"/>
      <c r="I1489" s="15" t="s">
        <v>23</v>
      </c>
      <c r="J1489" s="15" t="s">
        <v>23</v>
      </c>
      <c r="K1489" s="13">
        <v>25.32</v>
      </c>
      <c r="L1489" s="13">
        <v>2229.5799557848122</v>
      </c>
      <c r="M1489" s="198"/>
    </row>
    <row r="1490" spans="1:13" ht="15" customHeight="1" outlineLevel="1" x14ac:dyDescent="0.25">
      <c r="A1490" s="148"/>
      <c r="B1490" s="148"/>
      <c r="C1490" s="148"/>
      <c r="D1490" s="138"/>
      <c r="E1490" s="138"/>
      <c r="F1490" s="50">
        <v>43466</v>
      </c>
      <c r="G1490" s="50">
        <v>43646</v>
      </c>
      <c r="H1490" s="150"/>
      <c r="I1490" s="15" t="s">
        <v>23</v>
      </c>
      <c r="J1490" s="15" t="s">
        <v>23</v>
      </c>
      <c r="K1490" s="13">
        <v>25.32</v>
      </c>
      <c r="L1490" s="13">
        <v>2441.9209039547945</v>
      </c>
      <c r="M1490" s="196" t="s">
        <v>421</v>
      </c>
    </row>
    <row r="1491" spans="1:13" ht="15" customHeight="1" outlineLevel="1" x14ac:dyDescent="0.25">
      <c r="A1491" s="148"/>
      <c r="B1491" s="148"/>
      <c r="C1491" s="148"/>
      <c r="D1491" s="138"/>
      <c r="E1491" s="138"/>
      <c r="F1491" s="50">
        <v>43647</v>
      </c>
      <c r="G1491" s="50">
        <v>43830</v>
      </c>
      <c r="H1491" s="150"/>
      <c r="I1491" s="15" t="s">
        <v>23</v>
      </c>
      <c r="J1491" s="15" t="s">
        <v>23</v>
      </c>
      <c r="K1491" s="13">
        <v>25.32</v>
      </c>
      <c r="L1491" s="13">
        <v>2441.9209039547945</v>
      </c>
      <c r="M1491" s="198"/>
    </row>
    <row r="1492" spans="1:13" ht="15" customHeight="1" outlineLevel="1" x14ac:dyDescent="0.25">
      <c r="A1492" s="148"/>
      <c r="B1492" s="148"/>
      <c r="C1492" s="148"/>
      <c r="D1492" s="138"/>
      <c r="E1492" s="138"/>
      <c r="F1492" s="50">
        <v>43466</v>
      </c>
      <c r="G1492" s="50">
        <v>43646</v>
      </c>
      <c r="H1492" s="150"/>
      <c r="I1492" s="15" t="s">
        <v>23</v>
      </c>
      <c r="J1492" s="15" t="s">
        <v>23</v>
      </c>
      <c r="K1492" s="13">
        <v>25.32</v>
      </c>
      <c r="L1492" s="13">
        <v>2078.932661475028</v>
      </c>
      <c r="M1492" s="196" t="s">
        <v>422</v>
      </c>
    </row>
    <row r="1493" spans="1:13" ht="15" customHeight="1" outlineLevel="1" x14ac:dyDescent="0.25">
      <c r="A1493" s="148"/>
      <c r="B1493" s="148"/>
      <c r="C1493" s="148"/>
      <c r="D1493" s="138"/>
      <c r="E1493" s="138"/>
      <c r="F1493" s="50">
        <v>43647</v>
      </c>
      <c r="G1493" s="50">
        <v>43830</v>
      </c>
      <c r="H1493" s="150"/>
      <c r="I1493" s="15" t="s">
        <v>23</v>
      </c>
      <c r="J1493" s="15" t="s">
        <v>23</v>
      </c>
      <c r="K1493" s="13">
        <v>25.32</v>
      </c>
      <c r="L1493" s="13">
        <v>2078.932661475028</v>
      </c>
      <c r="M1493" s="198"/>
    </row>
    <row r="1494" spans="1:13" ht="15" customHeight="1" outlineLevel="1" x14ac:dyDescent="0.25">
      <c r="A1494" s="148"/>
      <c r="B1494" s="148"/>
      <c r="C1494" s="148"/>
      <c r="D1494" s="138"/>
      <c r="E1494" s="138"/>
      <c r="F1494" s="50">
        <v>43466</v>
      </c>
      <c r="G1494" s="50">
        <v>43646</v>
      </c>
      <c r="H1494" s="150"/>
      <c r="I1494" s="15" t="s">
        <v>23</v>
      </c>
      <c r="J1494" s="15" t="s">
        <v>23</v>
      </c>
      <c r="K1494" s="13">
        <v>25.32</v>
      </c>
      <c r="L1494" s="13">
        <v>2229.5799557848122</v>
      </c>
      <c r="M1494" s="196" t="s">
        <v>423</v>
      </c>
    </row>
    <row r="1495" spans="1:13" ht="15" customHeight="1" outlineLevel="1" x14ac:dyDescent="0.25">
      <c r="A1495" s="148"/>
      <c r="B1495" s="148"/>
      <c r="C1495" s="148"/>
      <c r="D1495" s="138"/>
      <c r="E1495" s="138"/>
      <c r="F1495" s="50">
        <v>43647</v>
      </c>
      <c r="G1495" s="50">
        <v>43830</v>
      </c>
      <c r="H1495" s="150"/>
      <c r="I1495" s="15" t="s">
        <v>23</v>
      </c>
      <c r="J1495" s="15" t="s">
        <v>23</v>
      </c>
      <c r="K1495" s="13">
        <v>25.32</v>
      </c>
      <c r="L1495" s="13">
        <v>2229.5799557848122</v>
      </c>
      <c r="M1495" s="198"/>
    </row>
    <row r="1496" spans="1:13" ht="15" customHeight="1" outlineLevel="1" x14ac:dyDescent="0.25">
      <c r="A1496" s="148"/>
      <c r="B1496" s="148"/>
      <c r="C1496" s="148"/>
      <c r="D1496" s="138"/>
      <c r="E1496" s="138"/>
      <c r="F1496" s="50">
        <v>43466</v>
      </c>
      <c r="G1496" s="50">
        <v>43646</v>
      </c>
      <c r="H1496" s="150"/>
      <c r="I1496" s="15" t="s">
        <v>23</v>
      </c>
      <c r="J1496" s="15" t="s">
        <v>23</v>
      </c>
      <c r="K1496" s="13">
        <v>25.32</v>
      </c>
      <c r="L1496" s="13">
        <v>2330.9244992295762</v>
      </c>
      <c r="M1496" s="196" t="s">
        <v>424</v>
      </c>
    </row>
    <row r="1497" spans="1:13" ht="15" customHeight="1" outlineLevel="1" x14ac:dyDescent="0.25">
      <c r="A1497" s="148"/>
      <c r="B1497" s="148"/>
      <c r="C1497" s="148"/>
      <c r="D1497" s="138"/>
      <c r="E1497" s="138"/>
      <c r="F1497" s="50">
        <v>43647</v>
      </c>
      <c r="G1497" s="50">
        <v>43830</v>
      </c>
      <c r="H1497" s="150"/>
      <c r="I1497" s="15" t="s">
        <v>23</v>
      </c>
      <c r="J1497" s="15" t="s">
        <v>23</v>
      </c>
      <c r="K1497" s="13">
        <v>25.32</v>
      </c>
      <c r="L1497" s="13">
        <v>2330.9244992295762</v>
      </c>
      <c r="M1497" s="198"/>
    </row>
    <row r="1498" spans="1:13" ht="15" customHeight="1" outlineLevel="1" x14ac:dyDescent="0.25">
      <c r="A1498" s="148"/>
      <c r="B1498" s="148"/>
      <c r="C1498" s="148"/>
      <c r="D1498" s="138"/>
      <c r="E1498" s="138"/>
      <c r="F1498" s="50">
        <v>43466</v>
      </c>
      <c r="G1498" s="50">
        <v>43646</v>
      </c>
      <c r="H1498" s="150"/>
      <c r="I1498" s="15" t="s">
        <v>23</v>
      </c>
      <c r="J1498" s="15" t="s">
        <v>23</v>
      </c>
      <c r="K1498" s="13">
        <v>25.32</v>
      </c>
      <c r="L1498" s="13">
        <v>2521.9838844123287</v>
      </c>
      <c r="M1498" s="196" t="s">
        <v>425</v>
      </c>
    </row>
    <row r="1499" spans="1:13" ht="15" customHeight="1" outlineLevel="1" x14ac:dyDescent="0.25">
      <c r="A1499" s="148"/>
      <c r="B1499" s="148"/>
      <c r="C1499" s="148"/>
      <c r="D1499" s="138"/>
      <c r="E1499" s="138"/>
      <c r="F1499" s="50">
        <v>43647</v>
      </c>
      <c r="G1499" s="50">
        <v>43830</v>
      </c>
      <c r="H1499" s="150"/>
      <c r="I1499" s="15" t="s">
        <v>23</v>
      </c>
      <c r="J1499" s="15" t="s">
        <v>23</v>
      </c>
      <c r="K1499" s="13">
        <v>25.32</v>
      </c>
      <c r="L1499" s="13">
        <v>2521.9838844123287</v>
      </c>
      <c r="M1499" s="198"/>
    </row>
    <row r="1500" spans="1:13" ht="15" customHeight="1" outlineLevel="1" x14ac:dyDescent="0.25">
      <c r="A1500" s="148"/>
      <c r="B1500" s="148"/>
      <c r="C1500" s="148"/>
      <c r="D1500" s="138"/>
      <c r="E1500" s="138"/>
      <c r="F1500" s="50">
        <v>43466</v>
      </c>
      <c r="G1500" s="50">
        <v>43646</v>
      </c>
      <c r="H1500" s="150"/>
      <c r="I1500" s="15" t="s">
        <v>23</v>
      </c>
      <c r="J1500" s="15" t="s">
        <v>23</v>
      </c>
      <c r="K1500" s="13">
        <v>25.32</v>
      </c>
      <c r="L1500" s="13">
        <v>2136.6807909604454</v>
      </c>
      <c r="M1500" s="196" t="s">
        <v>426</v>
      </c>
    </row>
    <row r="1501" spans="1:13" ht="15" customHeight="1" outlineLevel="1" x14ac:dyDescent="0.25">
      <c r="A1501" s="148"/>
      <c r="B1501" s="148"/>
      <c r="C1501" s="148"/>
      <c r="D1501" s="138"/>
      <c r="E1501" s="138"/>
      <c r="F1501" s="50">
        <v>43647</v>
      </c>
      <c r="G1501" s="50">
        <v>43830</v>
      </c>
      <c r="H1501" s="150"/>
      <c r="I1501" s="15" t="s">
        <v>23</v>
      </c>
      <c r="J1501" s="15" t="s">
        <v>23</v>
      </c>
      <c r="K1501" s="13">
        <v>25.32</v>
      </c>
      <c r="L1501" s="13">
        <v>2136.6807909604454</v>
      </c>
      <c r="M1501" s="198"/>
    </row>
    <row r="1502" spans="1:13" ht="15" customHeight="1" outlineLevel="1" x14ac:dyDescent="0.25">
      <c r="A1502" s="148"/>
      <c r="B1502" s="148"/>
      <c r="C1502" s="148"/>
      <c r="D1502" s="138"/>
      <c r="E1502" s="138"/>
      <c r="F1502" s="50">
        <v>43466</v>
      </c>
      <c r="G1502" s="50">
        <v>43646</v>
      </c>
      <c r="H1502" s="150"/>
      <c r="I1502" s="15" t="s">
        <v>23</v>
      </c>
      <c r="J1502" s="15" t="s">
        <v>23</v>
      </c>
      <c r="K1502" s="13">
        <v>25.32</v>
      </c>
      <c r="L1502" s="13">
        <v>2330.9244992295762</v>
      </c>
      <c r="M1502" s="196" t="s">
        <v>427</v>
      </c>
    </row>
    <row r="1503" spans="1:13" ht="15" customHeight="1" outlineLevel="1" x14ac:dyDescent="0.25">
      <c r="A1503" s="147"/>
      <c r="B1503" s="147"/>
      <c r="C1503" s="147"/>
      <c r="D1503" s="141"/>
      <c r="E1503" s="141"/>
      <c r="F1503" s="50">
        <v>43647</v>
      </c>
      <c r="G1503" s="50">
        <v>43830</v>
      </c>
      <c r="H1503" s="151"/>
      <c r="I1503" s="15" t="s">
        <v>23</v>
      </c>
      <c r="J1503" s="15" t="s">
        <v>23</v>
      </c>
      <c r="K1503" s="13">
        <v>25.32</v>
      </c>
      <c r="L1503" s="13">
        <v>2330.9244992295762</v>
      </c>
      <c r="M1503" s="198"/>
    </row>
    <row r="1504" spans="1:13" ht="15" customHeight="1" outlineLevel="1" x14ac:dyDescent="0.25">
      <c r="A1504" s="146" t="s">
        <v>62</v>
      </c>
      <c r="B1504" s="146" t="s">
        <v>504</v>
      </c>
      <c r="C1504" s="146" t="s">
        <v>266</v>
      </c>
      <c r="D1504" s="137">
        <v>43454</v>
      </c>
      <c r="E1504" s="137" t="s">
        <v>492</v>
      </c>
      <c r="F1504" s="12">
        <v>43466</v>
      </c>
      <c r="G1504" s="12">
        <v>43646</v>
      </c>
      <c r="H1504" s="149"/>
      <c r="I1504" s="66">
        <v>6</v>
      </c>
      <c r="J1504" s="13">
        <v>1655.89</v>
      </c>
      <c r="K1504" s="15" t="s">
        <v>23</v>
      </c>
      <c r="L1504" s="15" t="s">
        <v>23</v>
      </c>
      <c r="M1504" s="153"/>
    </row>
    <row r="1505" spans="1:13" ht="15" customHeight="1" outlineLevel="1" x14ac:dyDescent="0.25">
      <c r="A1505" s="148"/>
      <c r="B1505" s="148"/>
      <c r="C1505" s="148"/>
      <c r="D1505" s="141"/>
      <c r="E1505" s="141"/>
      <c r="F1505" s="12">
        <v>43647</v>
      </c>
      <c r="G1505" s="12">
        <v>43830</v>
      </c>
      <c r="H1505" s="151"/>
      <c r="I1505" s="66">
        <v>6.02</v>
      </c>
      <c r="J1505" s="13">
        <v>1821.48</v>
      </c>
      <c r="K1505" s="15" t="s">
        <v>23</v>
      </c>
      <c r="L1505" s="15" t="s">
        <v>23</v>
      </c>
      <c r="M1505" s="152"/>
    </row>
    <row r="1506" spans="1:13" ht="15" customHeight="1" outlineLevel="1" x14ac:dyDescent="0.25">
      <c r="A1506" s="148"/>
      <c r="B1506" s="148"/>
      <c r="C1506" s="148"/>
      <c r="D1506" s="137">
        <v>43454</v>
      </c>
      <c r="E1506" s="137" t="s">
        <v>485</v>
      </c>
      <c r="F1506" s="50">
        <v>43466</v>
      </c>
      <c r="G1506" s="50">
        <v>43646</v>
      </c>
      <c r="H1506" s="149"/>
      <c r="I1506" s="15" t="s">
        <v>23</v>
      </c>
      <c r="J1506" s="15" t="s">
        <v>23</v>
      </c>
      <c r="K1506" s="13">
        <v>7.15</v>
      </c>
      <c r="L1506" s="13">
        <v>1590.86</v>
      </c>
      <c r="M1506" s="196" t="s">
        <v>420</v>
      </c>
    </row>
    <row r="1507" spans="1:13" ht="15" customHeight="1" outlineLevel="1" x14ac:dyDescent="0.25">
      <c r="A1507" s="148"/>
      <c r="B1507" s="148"/>
      <c r="C1507" s="148"/>
      <c r="D1507" s="138"/>
      <c r="E1507" s="138"/>
      <c r="F1507" s="50">
        <v>43647</v>
      </c>
      <c r="G1507" s="50">
        <v>43830</v>
      </c>
      <c r="H1507" s="150"/>
      <c r="I1507" s="15" t="s">
        <v>23</v>
      </c>
      <c r="J1507" s="15" t="s">
        <v>23</v>
      </c>
      <c r="K1507" s="13">
        <v>7.22</v>
      </c>
      <c r="L1507" s="13">
        <v>1623.67</v>
      </c>
      <c r="M1507" s="198"/>
    </row>
    <row r="1508" spans="1:13" ht="15" customHeight="1" outlineLevel="1" x14ac:dyDescent="0.25">
      <c r="A1508" s="148"/>
      <c r="B1508" s="148"/>
      <c r="C1508" s="148"/>
      <c r="D1508" s="138"/>
      <c r="E1508" s="138"/>
      <c r="F1508" s="50">
        <v>43466</v>
      </c>
      <c r="G1508" s="50">
        <v>43646</v>
      </c>
      <c r="H1508" s="150"/>
      <c r="I1508" s="15" t="s">
        <v>23</v>
      </c>
      <c r="J1508" s="15" t="s">
        <v>23</v>
      </c>
      <c r="K1508" s="13">
        <f>$K$1506</f>
        <v>7.15</v>
      </c>
      <c r="L1508" s="13">
        <v>1742.37</v>
      </c>
      <c r="M1508" s="196" t="s">
        <v>421</v>
      </c>
    </row>
    <row r="1509" spans="1:13" ht="15" customHeight="1" outlineLevel="1" x14ac:dyDescent="0.25">
      <c r="A1509" s="148"/>
      <c r="B1509" s="148"/>
      <c r="C1509" s="148"/>
      <c r="D1509" s="138"/>
      <c r="E1509" s="138"/>
      <c r="F1509" s="50">
        <v>43647</v>
      </c>
      <c r="G1509" s="50">
        <v>43830</v>
      </c>
      <c r="H1509" s="150"/>
      <c r="I1509" s="15" t="s">
        <v>23</v>
      </c>
      <c r="J1509" s="15" t="s">
        <v>23</v>
      </c>
      <c r="K1509" s="13">
        <f>$K$1507</f>
        <v>7.22</v>
      </c>
      <c r="L1509" s="13">
        <v>1778.3</v>
      </c>
      <c r="M1509" s="198"/>
    </row>
    <row r="1510" spans="1:13" ht="15" customHeight="1" outlineLevel="1" x14ac:dyDescent="0.25">
      <c r="A1510" s="148"/>
      <c r="B1510" s="148"/>
      <c r="C1510" s="148"/>
      <c r="D1510" s="138"/>
      <c r="E1510" s="138"/>
      <c r="F1510" s="50">
        <v>43466</v>
      </c>
      <c r="G1510" s="50">
        <v>43646</v>
      </c>
      <c r="H1510" s="150"/>
      <c r="I1510" s="15" t="s">
        <v>23</v>
      </c>
      <c r="J1510" s="15" t="s">
        <v>23</v>
      </c>
      <c r="K1510" s="13">
        <f>$K$1506</f>
        <v>7.15</v>
      </c>
      <c r="L1510" s="13">
        <v>1483.37</v>
      </c>
      <c r="M1510" s="196" t="s">
        <v>422</v>
      </c>
    </row>
    <row r="1511" spans="1:13" ht="15" customHeight="1" outlineLevel="1" x14ac:dyDescent="0.25">
      <c r="A1511" s="148"/>
      <c r="B1511" s="148"/>
      <c r="C1511" s="148"/>
      <c r="D1511" s="138"/>
      <c r="E1511" s="138"/>
      <c r="F1511" s="50">
        <v>43647</v>
      </c>
      <c r="G1511" s="50">
        <v>43830</v>
      </c>
      <c r="H1511" s="150"/>
      <c r="I1511" s="15" t="s">
        <v>23</v>
      </c>
      <c r="J1511" s="15" t="s">
        <v>23</v>
      </c>
      <c r="K1511" s="13">
        <f>$K$1507</f>
        <v>7.22</v>
      </c>
      <c r="L1511" s="13">
        <v>1513.96</v>
      </c>
      <c r="M1511" s="198"/>
    </row>
    <row r="1512" spans="1:13" ht="15" customHeight="1" outlineLevel="1" x14ac:dyDescent="0.25">
      <c r="A1512" s="148"/>
      <c r="B1512" s="148"/>
      <c r="C1512" s="148"/>
      <c r="D1512" s="138"/>
      <c r="E1512" s="138"/>
      <c r="F1512" s="50">
        <v>43466</v>
      </c>
      <c r="G1512" s="50">
        <v>43646</v>
      </c>
      <c r="H1512" s="150"/>
      <c r="I1512" s="15" t="s">
        <v>23</v>
      </c>
      <c r="J1512" s="15" t="s">
        <v>23</v>
      </c>
      <c r="K1512" s="13">
        <f>$K$1506</f>
        <v>7.15</v>
      </c>
      <c r="L1512" s="13">
        <v>1590.86</v>
      </c>
      <c r="M1512" s="196" t="s">
        <v>423</v>
      </c>
    </row>
    <row r="1513" spans="1:13" ht="15" customHeight="1" outlineLevel="1" x14ac:dyDescent="0.25">
      <c r="A1513" s="148"/>
      <c r="B1513" s="148"/>
      <c r="C1513" s="148"/>
      <c r="D1513" s="138"/>
      <c r="E1513" s="138"/>
      <c r="F1513" s="50">
        <v>43647</v>
      </c>
      <c r="G1513" s="50">
        <v>43830</v>
      </c>
      <c r="H1513" s="150"/>
      <c r="I1513" s="15" t="s">
        <v>23</v>
      </c>
      <c r="J1513" s="15" t="s">
        <v>23</v>
      </c>
      <c r="K1513" s="13">
        <f>$K$1507</f>
        <v>7.22</v>
      </c>
      <c r="L1513" s="13">
        <v>1623.67</v>
      </c>
      <c r="M1513" s="198"/>
    </row>
    <row r="1514" spans="1:13" ht="15" customHeight="1" outlineLevel="1" x14ac:dyDescent="0.25">
      <c r="A1514" s="148"/>
      <c r="B1514" s="148"/>
      <c r="C1514" s="148"/>
      <c r="D1514" s="138"/>
      <c r="E1514" s="138"/>
      <c r="F1514" s="50">
        <v>43466</v>
      </c>
      <c r="G1514" s="50">
        <v>43646</v>
      </c>
      <c r="H1514" s="150"/>
      <c r="I1514" s="15" t="s">
        <v>23</v>
      </c>
      <c r="J1514" s="15" t="s">
        <v>23</v>
      </c>
      <c r="K1514" s="13">
        <f>$K$1506</f>
        <v>7.15</v>
      </c>
      <c r="L1514" s="13">
        <v>1663.17</v>
      </c>
      <c r="M1514" s="196" t="s">
        <v>424</v>
      </c>
    </row>
    <row r="1515" spans="1:13" ht="15" customHeight="1" outlineLevel="1" x14ac:dyDescent="0.25">
      <c r="A1515" s="148"/>
      <c r="B1515" s="148"/>
      <c r="C1515" s="148"/>
      <c r="D1515" s="138"/>
      <c r="E1515" s="138"/>
      <c r="F1515" s="50">
        <v>43647</v>
      </c>
      <c r="G1515" s="50">
        <v>43830</v>
      </c>
      <c r="H1515" s="150"/>
      <c r="I1515" s="15" t="s">
        <v>23</v>
      </c>
      <c r="J1515" s="15" t="s">
        <v>23</v>
      </c>
      <c r="K1515" s="13">
        <f>$K$1507</f>
        <v>7.22</v>
      </c>
      <c r="L1515" s="13">
        <v>1697.47</v>
      </c>
      <c r="M1515" s="198"/>
    </row>
    <row r="1516" spans="1:13" ht="15" customHeight="1" outlineLevel="1" x14ac:dyDescent="0.25">
      <c r="A1516" s="148"/>
      <c r="B1516" s="148"/>
      <c r="C1516" s="148"/>
      <c r="D1516" s="138"/>
      <c r="E1516" s="138"/>
      <c r="F1516" s="50">
        <v>43466</v>
      </c>
      <c r="G1516" s="50">
        <v>43646</v>
      </c>
      <c r="H1516" s="150"/>
      <c r="I1516" s="15" t="s">
        <v>23</v>
      </c>
      <c r="J1516" s="15" t="s">
        <v>23</v>
      </c>
      <c r="K1516" s="13">
        <f>$K$1506</f>
        <v>7.15</v>
      </c>
      <c r="L1516" s="13">
        <v>1799.5</v>
      </c>
      <c r="M1516" s="196" t="s">
        <v>425</v>
      </c>
    </row>
    <row r="1517" spans="1:13" ht="15" customHeight="1" outlineLevel="1" x14ac:dyDescent="0.25">
      <c r="A1517" s="148"/>
      <c r="B1517" s="148"/>
      <c r="C1517" s="148"/>
      <c r="D1517" s="138"/>
      <c r="E1517" s="138"/>
      <c r="F1517" s="50">
        <v>43647</v>
      </c>
      <c r="G1517" s="50">
        <v>43830</v>
      </c>
      <c r="H1517" s="150"/>
      <c r="I1517" s="15" t="s">
        <v>23</v>
      </c>
      <c r="J1517" s="15" t="s">
        <v>23</v>
      </c>
      <c r="K1517" s="13">
        <f>$K$1507</f>
        <v>7.22</v>
      </c>
      <c r="L1517" s="13">
        <v>1836.61</v>
      </c>
      <c r="M1517" s="198"/>
    </row>
    <row r="1518" spans="1:13" ht="15" customHeight="1" outlineLevel="1" x14ac:dyDescent="0.25">
      <c r="A1518" s="148"/>
      <c r="B1518" s="148"/>
      <c r="C1518" s="148"/>
      <c r="D1518" s="138"/>
      <c r="E1518" s="138"/>
      <c r="F1518" s="50">
        <v>43466</v>
      </c>
      <c r="G1518" s="50">
        <v>43646</v>
      </c>
      <c r="H1518" s="150"/>
      <c r="I1518" s="15" t="s">
        <v>23</v>
      </c>
      <c r="J1518" s="15" t="s">
        <v>23</v>
      </c>
      <c r="K1518" s="13">
        <f>$K$1506</f>
        <v>7.15</v>
      </c>
      <c r="L1518" s="13">
        <v>1524.58</v>
      </c>
      <c r="M1518" s="196" t="s">
        <v>426</v>
      </c>
    </row>
    <row r="1519" spans="1:13" ht="15" customHeight="1" outlineLevel="1" x14ac:dyDescent="0.25">
      <c r="A1519" s="148"/>
      <c r="B1519" s="148"/>
      <c r="C1519" s="148"/>
      <c r="D1519" s="138"/>
      <c r="E1519" s="138"/>
      <c r="F1519" s="50">
        <v>43647</v>
      </c>
      <c r="G1519" s="50">
        <v>43830</v>
      </c>
      <c r="H1519" s="150"/>
      <c r="I1519" s="15" t="s">
        <v>23</v>
      </c>
      <c r="J1519" s="15" t="s">
        <v>23</v>
      </c>
      <c r="K1519" s="13">
        <f>$K$1507</f>
        <v>7.22</v>
      </c>
      <c r="L1519" s="13">
        <v>1556.01</v>
      </c>
      <c r="M1519" s="198"/>
    </row>
    <row r="1520" spans="1:13" ht="15" customHeight="1" outlineLevel="1" x14ac:dyDescent="0.25">
      <c r="A1520" s="148"/>
      <c r="B1520" s="148"/>
      <c r="C1520" s="148"/>
      <c r="D1520" s="138"/>
      <c r="E1520" s="138"/>
      <c r="F1520" s="50">
        <v>43466</v>
      </c>
      <c r="G1520" s="50">
        <v>43646</v>
      </c>
      <c r="H1520" s="150"/>
      <c r="I1520" s="15" t="s">
        <v>23</v>
      </c>
      <c r="J1520" s="15" t="s">
        <v>23</v>
      </c>
      <c r="K1520" s="13">
        <f>$K$1506</f>
        <v>7.15</v>
      </c>
      <c r="L1520" s="13">
        <v>1663.17</v>
      </c>
      <c r="M1520" s="196" t="s">
        <v>427</v>
      </c>
    </row>
    <row r="1521" spans="1:13" ht="15" customHeight="1" outlineLevel="1" x14ac:dyDescent="0.25">
      <c r="A1521" s="147"/>
      <c r="B1521" s="147"/>
      <c r="C1521" s="148"/>
      <c r="D1521" s="141"/>
      <c r="E1521" s="141"/>
      <c r="F1521" s="50">
        <v>43647</v>
      </c>
      <c r="G1521" s="50">
        <v>43830</v>
      </c>
      <c r="H1521" s="151"/>
      <c r="I1521" s="15" t="s">
        <v>23</v>
      </c>
      <c r="J1521" s="15" t="s">
        <v>23</v>
      </c>
      <c r="K1521" s="13">
        <f>$K$1507</f>
        <v>7.22</v>
      </c>
      <c r="L1521" s="13">
        <v>1697.47</v>
      </c>
      <c r="M1521" s="198"/>
    </row>
    <row r="1522" spans="1:13" ht="15" customHeight="1" outlineLevel="1" x14ac:dyDescent="0.25">
      <c r="A1522" s="146" t="s">
        <v>62</v>
      </c>
      <c r="B1522" s="146" t="s">
        <v>520</v>
      </c>
      <c r="C1522" s="148"/>
      <c r="D1522" s="137">
        <f>D1504</f>
        <v>43454</v>
      </c>
      <c r="E1522" s="137" t="s">
        <v>492</v>
      </c>
      <c r="F1522" s="12">
        <v>43466</v>
      </c>
      <c r="G1522" s="12">
        <v>43646</v>
      </c>
      <c r="H1522" s="149"/>
      <c r="I1522" s="66">
        <v>15.86</v>
      </c>
      <c r="J1522" s="13">
        <v>1655.89</v>
      </c>
      <c r="K1522" s="15" t="s">
        <v>23</v>
      </c>
      <c r="L1522" s="15" t="s">
        <v>23</v>
      </c>
      <c r="M1522" s="153"/>
    </row>
    <row r="1523" spans="1:13" ht="15" customHeight="1" outlineLevel="1" x14ac:dyDescent="0.25">
      <c r="A1523" s="148"/>
      <c r="B1523" s="148"/>
      <c r="C1523" s="148"/>
      <c r="D1523" s="141"/>
      <c r="E1523" s="141"/>
      <c r="F1523" s="12">
        <v>43647</v>
      </c>
      <c r="G1523" s="12">
        <v>43830</v>
      </c>
      <c r="H1523" s="151"/>
      <c r="I1523" s="66">
        <v>16.59</v>
      </c>
      <c r="J1523" s="13">
        <v>1821.48</v>
      </c>
      <c r="K1523" s="15" t="s">
        <v>23</v>
      </c>
      <c r="L1523" s="15" t="s">
        <v>23</v>
      </c>
      <c r="M1523" s="152"/>
    </row>
    <row r="1524" spans="1:13" ht="15" customHeight="1" outlineLevel="1" x14ac:dyDescent="0.25">
      <c r="A1524" s="148"/>
      <c r="B1524" s="148"/>
      <c r="C1524" s="148"/>
      <c r="D1524" s="137">
        <f>$D$1506</f>
        <v>43454</v>
      </c>
      <c r="E1524" s="137" t="str">
        <f>$E$1506</f>
        <v>677-п</v>
      </c>
      <c r="F1524" s="50">
        <v>43466</v>
      </c>
      <c r="G1524" s="50">
        <v>43646</v>
      </c>
      <c r="H1524" s="149"/>
      <c r="I1524" s="15" t="s">
        <v>23</v>
      </c>
      <c r="J1524" s="15" t="s">
        <v>23</v>
      </c>
      <c r="K1524" s="13">
        <v>17.05</v>
      </c>
      <c r="L1524" s="13">
        <v>1372.14</v>
      </c>
      <c r="M1524" s="196" t="s">
        <v>420</v>
      </c>
    </row>
    <row r="1525" spans="1:13" ht="15" customHeight="1" outlineLevel="1" x14ac:dyDescent="0.25">
      <c r="A1525" s="148"/>
      <c r="B1525" s="148"/>
      <c r="C1525" s="148"/>
      <c r="D1525" s="138"/>
      <c r="E1525" s="138"/>
      <c r="F1525" s="50">
        <v>43647</v>
      </c>
      <c r="G1525" s="50">
        <v>43830</v>
      </c>
      <c r="H1525" s="150"/>
      <c r="I1525" s="15" t="s">
        <v>23</v>
      </c>
      <c r="J1525" s="15" t="s">
        <v>23</v>
      </c>
      <c r="K1525" s="13">
        <v>17.399999999999999</v>
      </c>
      <c r="L1525" s="13">
        <v>1399.59</v>
      </c>
      <c r="M1525" s="198"/>
    </row>
    <row r="1526" spans="1:13" ht="15" customHeight="1" outlineLevel="1" x14ac:dyDescent="0.25">
      <c r="A1526" s="148"/>
      <c r="B1526" s="148"/>
      <c r="C1526" s="148"/>
      <c r="D1526" s="138"/>
      <c r="E1526" s="138"/>
      <c r="F1526" s="50">
        <v>43466</v>
      </c>
      <c r="G1526" s="50">
        <v>43646</v>
      </c>
      <c r="H1526" s="150"/>
      <c r="I1526" s="15" t="s">
        <v>23</v>
      </c>
      <c r="J1526" s="15" t="s">
        <v>23</v>
      </c>
      <c r="K1526" s="13">
        <f>$K$1524</f>
        <v>17.05</v>
      </c>
      <c r="L1526" s="13">
        <v>1502.82</v>
      </c>
      <c r="M1526" s="196" t="s">
        <v>421</v>
      </c>
    </row>
    <row r="1527" spans="1:13" ht="15" customHeight="1" outlineLevel="1" x14ac:dyDescent="0.25">
      <c r="A1527" s="148"/>
      <c r="B1527" s="148"/>
      <c r="C1527" s="148"/>
      <c r="D1527" s="138"/>
      <c r="E1527" s="138"/>
      <c r="F1527" s="50">
        <v>43647</v>
      </c>
      <c r="G1527" s="50">
        <v>43830</v>
      </c>
      <c r="H1527" s="150"/>
      <c r="I1527" s="15" t="s">
        <v>23</v>
      </c>
      <c r="J1527" s="15" t="s">
        <v>23</v>
      </c>
      <c r="K1527" s="13">
        <f>$K$1525</f>
        <v>17.399999999999999</v>
      </c>
      <c r="L1527" s="13">
        <v>1532.88</v>
      </c>
      <c r="M1527" s="198"/>
    </row>
    <row r="1528" spans="1:13" ht="15" customHeight="1" outlineLevel="1" x14ac:dyDescent="0.25">
      <c r="A1528" s="148"/>
      <c r="B1528" s="148"/>
      <c r="C1528" s="148"/>
      <c r="D1528" s="138"/>
      <c r="E1528" s="138"/>
      <c r="F1528" s="50">
        <v>43466</v>
      </c>
      <c r="G1528" s="50">
        <v>43646</v>
      </c>
      <c r="H1528" s="150"/>
      <c r="I1528" s="15" t="s">
        <v>23</v>
      </c>
      <c r="J1528" s="15" t="s">
        <v>23</v>
      </c>
      <c r="K1528" s="13">
        <f t="shared" ref="K1528" si="57">$K$1524</f>
        <v>17.05</v>
      </c>
      <c r="L1528" s="13">
        <v>1279.43</v>
      </c>
      <c r="M1528" s="196" t="s">
        <v>422</v>
      </c>
    </row>
    <row r="1529" spans="1:13" ht="15" customHeight="1" outlineLevel="1" x14ac:dyDescent="0.25">
      <c r="A1529" s="148"/>
      <c r="B1529" s="148"/>
      <c r="C1529" s="148"/>
      <c r="D1529" s="138"/>
      <c r="E1529" s="138"/>
      <c r="F1529" s="50">
        <v>43647</v>
      </c>
      <c r="G1529" s="50">
        <v>43830</v>
      </c>
      <c r="H1529" s="150"/>
      <c r="I1529" s="15" t="s">
        <v>23</v>
      </c>
      <c r="J1529" s="15" t="s">
        <v>23</v>
      </c>
      <c r="K1529" s="13">
        <f t="shared" ref="K1529" si="58">$K$1525</f>
        <v>17.399999999999999</v>
      </c>
      <c r="L1529" s="13">
        <v>1305.02</v>
      </c>
      <c r="M1529" s="198"/>
    </row>
    <row r="1530" spans="1:13" ht="15" customHeight="1" outlineLevel="1" x14ac:dyDescent="0.25">
      <c r="A1530" s="148"/>
      <c r="B1530" s="148"/>
      <c r="C1530" s="148"/>
      <c r="D1530" s="138"/>
      <c r="E1530" s="138"/>
      <c r="F1530" s="50">
        <v>43466</v>
      </c>
      <c r="G1530" s="50">
        <v>43646</v>
      </c>
      <c r="H1530" s="150"/>
      <c r="I1530" s="15" t="s">
        <v>23</v>
      </c>
      <c r="J1530" s="15" t="s">
        <v>23</v>
      </c>
      <c r="K1530" s="13">
        <f t="shared" ref="K1530" si="59">$K$1524</f>
        <v>17.05</v>
      </c>
      <c r="L1530" s="13">
        <v>1372.14</v>
      </c>
      <c r="M1530" s="196" t="s">
        <v>423</v>
      </c>
    </row>
    <row r="1531" spans="1:13" ht="15" customHeight="1" outlineLevel="1" x14ac:dyDescent="0.25">
      <c r="A1531" s="148"/>
      <c r="B1531" s="148"/>
      <c r="C1531" s="148"/>
      <c r="D1531" s="138"/>
      <c r="E1531" s="138"/>
      <c r="F1531" s="50">
        <v>43647</v>
      </c>
      <c r="G1531" s="50">
        <v>43830</v>
      </c>
      <c r="H1531" s="150"/>
      <c r="I1531" s="15" t="s">
        <v>23</v>
      </c>
      <c r="J1531" s="15" t="s">
        <v>23</v>
      </c>
      <c r="K1531" s="13">
        <f t="shared" ref="K1531" si="60">$K$1525</f>
        <v>17.399999999999999</v>
      </c>
      <c r="L1531" s="13">
        <v>1399.59</v>
      </c>
      <c r="M1531" s="198"/>
    </row>
    <row r="1532" spans="1:13" ht="15" customHeight="1" outlineLevel="1" x14ac:dyDescent="0.25">
      <c r="A1532" s="148"/>
      <c r="B1532" s="148"/>
      <c r="C1532" s="148"/>
      <c r="D1532" s="138"/>
      <c r="E1532" s="138"/>
      <c r="F1532" s="50">
        <v>43466</v>
      </c>
      <c r="G1532" s="50">
        <v>43646</v>
      </c>
      <c r="H1532" s="150"/>
      <c r="I1532" s="15" t="s">
        <v>23</v>
      </c>
      <c r="J1532" s="15" t="s">
        <v>23</v>
      </c>
      <c r="K1532" s="13">
        <f t="shared" ref="K1532" si="61">$K$1524</f>
        <v>17.05</v>
      </c>
      <c r="L1532" s="13">
        <v>1434.51</v>
      </c>
      <c r="M1532" s="196" t="s">
        <v>424</v>
      </c>
    </row>
    <row r="1533" spans="1:13" ht="15" customHeight="1" outlineLevel="1" x14ac:dyDescent="0.25">
      <c r="A1533" s="148"/>
      <c r="B1533" s="148"/>
      <c r="C1533" s="148"/>
      <c r="D1533" s="138"/>
      <c r="E1533" s="138"/>
      <c r="F1533" s="50">
        <v>43647</v>
      </c>
      <c r="G1533" s="50">
        <v>43830</v>
      </c>
      <c r="H1533" s="150"/>
      <c r="I1533" s="15" t="s">
        <v>23</v>
      </c>
      <c r="J1533" s="15" t="s">
        <v>23</v>
      </c>
      <c r="K1533" s="13">
        <f t="shared" ref="K1533" si="62">$K$1525</f>
        <v>17.399999999999999</v>
      </c>
      <c r="L1533" s="13">
        <v>1463.2</v>
      </c>
      <c r="M1533" s="198"/>
    </row>
    <row r="1534" spans="1:13" ht="15" customHeight="1" outlineLevel="1" x14ac:dyDescent="0.25">
      <c r="A1534" s="148"/>
      <c r="B1534" s="148"/>
      <c r="C1534" s="148"/>
      <c r="D1534" s="138"/>
      <c r="E1534" s="138"/>
      <c r="F1534" s="50">
        <v>43466</v>
      </c>
      <c r="G1534" s="50">
        <v>43646</v>
      </c>
      <c r="H1534" s="150"/>
      <c r="I1534" s="15" t="s">
        <v>23</v>
      </c>
      <c r="J1534" s="15" t="s">
        <v>23</v>
      </c>
      <c r="K1534" s="13">
        <f t="shared" ref="K1534" si="63">$K$1524</f>
        <v>17.05</v>
      </c>
      <c r="L1534" s="13">
        <v>1552.1</v>
      </c>
      <c r="M1534" s="196" t="s">
        <v>425</v>
      </c>
    </row>
    <row r="1535" spans="1:13" ht="15" customHeight="1" outlineLevel="1" x14ac:dyDescent="0.25">
      <c r="A1535" s="148"/>
      <c r="B1535" s="148"/>
      <c r="C1535" s="148"/>
      <c r="D1535" s="138"/>
      <c r="E1535" s="138"/>
      <c r="F1535" s="50">
        <v>43647</v>
      </c>
      <c r="G1535" s="50">
        <v>43830</v>
      </c>
      <c r="H1535" s="150"/>
      <c r="I1535" s="15" t="s">
        <v>23</v>
      </c>
      <c r="J1535" s="15" t="s">
        <v>23</v>
      </c>
      <c r="K1535" s="13">
        <f t="shared" ref="K1535" si="64">$K$1525</f>
        <v>17.399999999999999</v>
      </c>
      <c r="L1535" s="13">
        <v>1583.14</v>
      </c>
      <c r="M1535" s="198"/>
    </row>
    <row r="1536" spans="1:13" ht="15" customHeight="1" outlineLevel="1" x14ac:dyDescent="0.25">
      <c r="A1536" s="148"/>
      <c r="B1536" s="148"/>
      <c r="C1536" s="148"/>
      <c r="D1536" s="138"/>
      <c r="E1536" s="138"/>
      <c r="F1536" s="50">
        <v>43466</v>
      </c>
      <c r="G1536" s="50">
        <v>43646</v>
      </c>
      <c r="H1536" s="150"/>
      <c r="I1536" s="15" t="s">
        <v>23</v>
      </c>
      <c r="J1536" s="15" t="s">
        <v>23</v>
      </c>
      <c r="K1536" s="13">
        <f t="shared" ref="K1536" si="65">$K$1524</f>
        <v>17.05</v>
      </c>
      <c r="L1536" s="13">
        <v>1314.97</v>
      </c>
      <c r="M1536" s="196" t="s">
        <v>426</v>
      </c>
    </row>
    <row r="1537" spans="1:13" ht="15" customHeight="1" outlineLevel="1" x14ac:dyDescent="0.25">
      <c r="A1537" s="148"/>
      <c r="B1537" s="148"/>
      <c r="C1537" s="148"/>
      <c r="D1537" s="138"/>
      <c r="E1537" s="138"/>
      <c r="F1537" s="50">
        <v>43647</v>
      </c>
      <c r="G1537" s="50">
        <v>43830</v>
      </c>
      <c r="H1537" s="150"/>
      <c r="I1537" s="15" t="s">
        <v>23</v>
      </c>
      <c r="J1537" s="15" t="s">
        <v>23</v>
      </c>
      <c r="K1537" s="13">
        <f t="shared" ref="K1537" si="66">$K$1525</f>
        <v>17.399999999999999</v>
      </c>
      <c r="L1537" s="13">
        <v>1341.27</v>
      </c>
      <c r="M1537" s="198"/>
    </row>
    <row r="1538" spans="1:13" ht="15" customHeight="1" outlineLevel="1" x14ac:dyDescent="0.25">
      <c r="A1538" s="148"/>
      <c r="B1538" s="148"/>
      <c r="C1538" s="148"/>
      <c r="D1538" s="138"/>
      <c r="E1538" s="138"/>
      <c r="F1538" s="50">
        <v>43466</v>
      </c>
      <c r="G1538" s="50">
        <v>43646</v>
      </c>
      <c r="H1538" s="150"/>
      <c r="I1538" s="15" t="s">
        <v>23</v>
      </c>
      <c r="J1538" s="15" t="s">
        <v>23</v>
      </c>
      <c r="K1538" s="13">
        <f t="shared" ref="K1538" si="67">$K$1524</f>
        <v>17.05</v>
      </c>
      <c r="L1538" s="13">
        <v>1434.51</v>
      </c>
      <c r="M1538" s="196" t="s">
        <v>427</v>
      </c>
    </row>
    <row r="1539" spans="1:13" ht="15" customHeight="1" outlineLevel="1" x14ac:dyDescent="0.25">
      <c r="A1539" s="147"/>
      <c r="B1539" s="147"/>
      <c r="C1539" s="147"/>
      <c r="D1539" s="141"/>
      <c r="E1539" s="141"/>
      <c r="F1539" s="50">
        <v>43647</v>
      </c>
      <c r="G1539" s="50">
        <v>43830</v>
      </c>
      <c r="H1539" s="151"/>
      <c r="I1539" s="15" t="s">
        <v>23</v>
      </c>
      <c r="J1539" s="15" t="s">
        <v>23</v>
      </c>
      <c r="K1539" s="13">
        <f t="shared" ref="K1539" si="68">$K$1525</f>
        <v>17.399999999999999</v>
      </c>
      <c r="L1539" s="13">
        <v>1463.2</v>
      </c>
      <c r="M1539" s="198"/>
    </row>
    <row r="1540" spans="1:13" ht="15" customHeight="1" outlineLevel="1" x14ac:dyDescent="0.25">
      <c r="A1540" s="146" t="s">
        <v>62</v>
      </c>
      <c r="B1540" s="146" t="s">
        <v>262</v>
      </c>
      <c r="C1540" s="146" t="s">
        <v>330</v>
      </c>
      <c r="D1540" s="137">
        <v>43087</v>
      </c>
      <c r="E1540" s="137" t="s">
        <v>441</v>
      </c>
      <c r="F1540" s="12">
        <v>43466</v>
      </c>
      <c r="G1540" s="12">
        <v>43646</v>
      </c>
      <c r="H1540" s="149" t="s">
        <v>576</v>
      </c>
      <c r="I1540" s="66">
        <v>25.61</v>
      </c>
      <c r="J1540" s="13">
        <v>3430.52</v>
      </c>
      <c r="K1540" s="15" t="s">
        <v>23</v>
      </c>
      <c r="L1540" s="15" t="s">
        <v>23</v>
      </c>
      <c r="M1540" s="153"/>
    </row>
    <row r="1541" spans="1:13" ht="15" customHeight="1" outlineLevel="1" x14ac:dyDescent="0.25">
      <c r="A1541" s="148"/>
      <c r="B1541" s="148"/>
      <c r="C1541" s="148"/>
      <c r="D1541" s="141"/>
      <c r="E1541" s="141"/>
      <c r="F1541" s="12">
        <v>43647</v>
      </c>
      <c r="G1541" s="12">
        <v>43830</v>
      </c>
      <c r="H1541" s="151"/>
      <c r="I1541" s="66">
        <v>25.61</v>
      </c>
      <c r="J1541" s="13">
        <v>3430.52</v>
      </c>
      <c r="K1541" s="15" t="s">
        <v>23</v>
      </c>
      <c r="L1541" s="15" t="s">
        <v>23</v>
      </c>
      <c r="M1541" s="152"/>
    </row>
    <row r="1542" spans="1:13" ht="15" customHeight="1" outlineLevel="1" x14ac:dyDescent="0.25">
      <c r="A1542" s="148"/>
      <c r="B1542" s="148"/>
      <c r="C1542" s="148"/>
      <c r="D1542" s="137">
        <f>$D$1506</f>
        <v>43454</v>
      </c>
      <c r="E1542" s="137" t="str">
        <f>$E$1506</f>
        <v>677-п</v>
      </c>
      <c r="F1542" s="50">
        <v>43466</v>
      </c>
      <c r="G1542" s="50">
        <v>43646</v>
      </c>
      <c r="H1542" s="149"/>
      <c r="I1542" s="15" t="s">
        <v>23</v>
      </c>
      <c r="J1542" s="15" t="s">
        <v>23</v>
      </c>
      <c r="K1542" s="13">
        <v>18.59</v>
      </c>
      <c r="L1542" s="13">
        <v>1990.13</v>
      </c>
      <c r="M1542" s="196" t="s">
        <v>420</v>
      </c>
    </row>
    <row r="1543" spans="1:13" ht="15" customHeight="1" outlineLevel="1" x14ac:dyDescent="0.25">
      <c r="A1543" s="148"/>
      <c r="B1543" s="148"/>
      <c r="C1543" s="148"/>
      <c r="D1543" s="138"/>
      <c r="E1543" s="138"/>
      <c r="F1543" s="50">
        <v>43647</v>
      </c>
      <c r="G1543" s="50">
        <v>43830</v>
      </c>
      <c r="H1543" s="150"/>
      <c r="I1543" s="15" t="s">
        <v>23</v>
      </c>
      <c r="J1543" s="15" t="s">
        <v>23</v>
      </c>
      <c r="K1543" s="13">
        <v>18.96</v>
      </c>
      <c r="L1543" s="13">
        <v>2029.93</v>
      </c>
      <c r="M1543" s="198"/>
    </row>
    <row r="1544" spans="1:13" ht="15" customHeight="1" outlineLevel="1" x14ac:dyDescent="0.25">
      <c r="A1544" s="148"/>
      <c r="B1544" s="148"/>
      <c r="C1544" s="148"/>
      <c r="D1544" s="138"/>
      <c r="E1544" s="138"/>
      <c r="F1544" s="50">
        <v>43466</v>
      </c>
      <c r="G1544" s="50">
        <v>43646</v>
      </c>
      <c r="H1544" s="150"/>
      <c r="I1544" s="15" t="s">
        <v>23</v>
      </c>
      <c r="J1544" s="15" t="s">
        <v>23</v>
      </c>
      <c r="K1544" s="13">
        <f>$K$1542</f>
        <v>18.59</v>
      </c>
      <c r="L1544" s="13">
        <v>2179.66</v>
      </c>
      <c r="M1544" s="196" t="s">
        <v>421</v>
      </c>
    </row>
    <row r="1545" spans="1:13" ht="15" customHeight="1" outlineLevel="1" x14ac:dyDescent="0.25">
      <c r="A1545" s="148"/>
      <c r="B1545" s="148"/>
      <c r="C1545" s="148"/>
      <c r="D1545" s="138"/>
      <c r="E1545" s="138"/>
      <c r="F1545" s="50">
        <v>43647</v>
      </c>
      <c r="G1545" s="50">
        <v>43830</v>
      </c>
      <c r="H1545" s="150"/>
      <c r="I1545" s="15" t="s">
        <v>23</v>
      </c>
      <c r="J1545" s="15" t="s">
        <v>23</v>
      </c>
      <c r="K1545" s="13">
        <f>$K$1543</f>
        <v>18.96</v>
      </c>
      <c r="L1545" s="13">
        <v>2223.25</v>
      </c>
      <c r="M1545" s="198"/>
    </row>
    <row r="1546" spans="1:13" ht="15" customHeight="1" outlineLevel="1" x14ac:dyDescent="0.25">
      <c r="A1546" s="148"/>
      <c r="B1546" s="148"/>
      <c r="C1546" s="148"/>
      <c r="D1546" s="138"/>
      <c r="E1546" s="138"/>
      <c r="F1546" s="50">
        <v>43466</v>
      </c>
      <c r="G1546" s="50">
        <v>43646</v>
      </c>
      <c r="H1546" s="150"/>
      <c r="I1546" s="15" t="s">
        <v>23</v>
      </c>
      <c r="J1546" s="15" t="s">
        <v>23</v>
      </c>
      <c r="K1546" s="13">
        <f t="shared" ref="K1546" si="69">$K$1542</f>
        <v>18.59</v>
      </c>
      <c r="L1546" s="13">
        <v>1855.66</v>
      </c>
      <c r="M1546" s="196" t="s">
        <v>422</v>
      </c>
    </row>
    <row r="1547" spans="1:13" ht="15" customHeight="1" outlineLevel="1" x14ac:dyDescent="0.25">
      <c r="A1547" s="148"/>
      <c r="B1547" s="148"/>
      <c r="C1547" s="148"/>
      <c r="D1547" s="138"/>
      <c r="E1547" s="138"/>
      <c r="F1547" s="50">
        <v>43647</v>
      </c>
      <c r="G1547" s="50">
        <v>43830</v>
      </c>
      <c r="H1547" s="150"/>
      <c r="I1547" s="15" t="s">
        <v>23</v>
      </c>
      <c r="J1547" s="15" t="s">
        <v>23</v>
      </c>
      <c r="K1547" s="13">
        <f t="shared" ref="K1547" si="70">$K$1543</f>
        <v>18.96</v>
      </c>
      <c r="L1547" s="13">
        <v>1892.77</v>
      </c>
      <c r="M1547" s="198"/>
    </row>
    <row r="1548" spans="1:13" ht="15" customHeight="1" outlineLevel="1" x14ac:dyDescent="0.25">
      <c r="A1548" s="148"/>
      <c r="B1548" s="148"/>
      <c r="C1548" s="148"/>
      <c r="D1548" s="138"/>
      <c r="E1548" s="138"/>
      <c r="F1548" s="50">
        <v>43466</v>
      </c>
      <c r="G1548" s="50">
        <v>43646</v>
      </c>
      <c r="H1548" s="150"/>
      <c r="I1548" s="15" t="s">
        <v>23</v>
      </c>
      <c r="J1548" s="15" t="s">
        <v>23</v>
      </c>
      <c r="K1548" s="13">
        <f t="shared" ref="K1548" si="71">$K$1542</f>
        <v>18.59</v>
      </c>
      <c r="L1548" s="13">
        <v>1990.13</v>
      </c>
      <c r="M1548" s="196" t="s">
        <v>423</v>
      </c>
    </row>
    <row r="1549" spans="1:13" ht="15" customHeight="1" outlineLevel="1" x14ac:dyDescent="0.25">
      <c r="A1549" s="148"/>
      <c r="B1549" s="148"/>
      <c r="C1549" s="148"/>
      <c r="D1549" s="138"/>
      <c r="E1549" s="138"/>
      <c r="F1549" s="50">
        <v>43647</v>
      </c>
      <c r="G1549" s="50">
        <v>43830</v>
      </c>
      <c r="H1549" s="150"/>
      <c r="I1549" s="15" t="s">
        <v>23</v>
      </c>
      <c r="J1549" s="15" t="s">
        <v>23</v>
      </c>
      <c r="K1549" s="13">
        <f t="shared" ref="K1549" si="72">$K$1543</f>
        <v>18.96</v>
      </c>
      <c r="L1549" s="13">
        <v>2029.93</v>
      </c>
      <c r="M1549" s="198"/>
    </row>
    <row r="1550" spans="1:13" ht="15" customHeight="1" outlineLevel="1" x14ac:dyDescent="0.25">
      <c r="A1550" s="148"/>
      <c r="B1550" s="148"/>
      <c r="C1550" s="148"/>
      <c r="D1550" s="138"/>
      <c r="E1550" s="138"/>
      <c r="F1550" s="50">
        <v>43466</v>
      </c>
      <c r="G1550" s="50">
        <v>43646</v>
      </c>
      <c r="H1550" s="150"/>
      <c r="I1550" s="15" t="s">
        <v>23</v>
      </c>
      <c r="J1550" s="15" t="s">
        <v>23</v>
      </c>
      <c r="K1550" s="13">
        <f t="shared" ref="K1550" si="73">$K$1542</f>
        <v>18.59</v>
      </c>
      <c r="L1550" s="13">
        <v>2080.59</v>
      </c>
      <c r="M1550" s="196" t="s">
        <v>424</v>
      </c>
    </row>
    <row r="1551" spans="1:13" ht="15" customHeight="1" outlineLevel="1" x14ac:dyDescent="0.25">
      <c r="A1551" s="148"/>
      <c r="B1551" s="148"/>
      <c r="C1551" s="148"/>
      <c r="D1551" s="138"/>
      <c r="E1551" s="138"/>
      <c r="F1551" s="50">
        <v>43647</v>
      </c>
      <c r="G1551" s="50">
        <v>43830</v>
      </c>
      <c r="H1551" s="150"/>
      <c r="I1551" s="15" t="s">
        <v>23</v>
      </c>
      <c r="J1551" s="15" t="s">
        <v>23</v>
      </c>
      <c r="K1551" s="13">
        <f t="shared" ref="K1551" si="74">$K$1543</f>
        <v>18.96</v>
      </c>
      <c r="L1551" s="13">
        <v>2122.1999999999998</v>
      </c>
      <c r="M1551" s="198"/>
    </row>
    <row r="1552" spans="1:13" ht="15" customHeight="1" outlineLevel="1" x14ac:dyDescent="0.25">
      <c r="A1552" s="148"/>
      <c r="B1552" s="148"/>
      <c r="C1552" s="148"/>
      <c r="D1552" s="138"/>
      <c r="E1552" s="138"/>
      <c r="F1552" s="50">
        <v>43466</v>
      </c>
      <c r="G1552" s="50">
        <v>43646</v>
      </c>
      <c r="H1552" s="150"/>
      <c r="I1552" s="15" t="s">
        <v>23</v>
      </c>
      <c r="J1552" s="15" t="s">
        <v>23</v>
      </c>
      <c r="K1552" s="13">
        <f t="shared" ref="K1552" si="75">$K$1542</f>
        <v>18.59</v>
      </c>
      <c r="L1552" s="13">
        <v>2251.13</v>
      </c>
      <c r="M1552" s="196" t="s">
        <v>425</v>
      </c>
    </row>
    <row r="1553" spans="1:13" ht="15" customHeight="1" outlineLevel="1" x14ac:dyDescent="0.25">
      <c r="A1553" s="148"/>
      <c r="B1553" s="148"/>
      <c r="C1553" s="148"/>
      <c r="D1553" s="138"/>
      <c r="E1553" s="138"/>
      <c r="F1553" s="50">
        <v>43647</v>
      </c>
      <c r="G1553" s="50">
        <v>43830</v>
      </c>
      <c r="H1553" s="150"/>
      <c r="I1553" s="15" t="s">
        <v>23</v>
      </c>
      <c r="J1553" s="15" t="s">
        <v>23</v>
      </c>
      <c r="K1553" s="13">
        <f t="shared" ref="K1553" si="76">$K$1543</f>
        <v>18.96</v>
      </c>
      <c r="L1553" s="13">
        <v>2296.15</v>
      </c>
      <c r="M1553" s="198"/>
    </row>
    <row r="1554" spans="1:13" ht="15" customHeight="1" outlineLevel="1" x14ac:dyDescent="0.25">
      <c r="A1554" s="148"/>
      <c r="B1554" s="148"/>
      <c r="C1554" s="148"/>
      <c r="D1554" s="138"/>
      <c r="E1554" s="138"/>
      <c r="F1554" s="50">
        <v>43466</v>
      </c>
      <c r="G1554" s="50">
        <v>43646</v>
      </c>
      <c r="H1554" s="150"/>
      <c r="I1554" s="15" t="s">
        <v>23</v>
      </c>
      <c r="J1554" s="15" t="s">
        <v>23</v>
      </c>
      <c r="K1554" s="13">
        <f t="shared" ref="K1554" si="77">$K$1542</f>
        <v>18.59</v>
      </c>
      <c r="L1554" s="13">
        <v>1907.2</v>
      </c>
      <c r="M1554" s="196" t="s">
        <v>426</v>
      </c>
    </row>
    <row r="1555" spans="1:13" ht="15" customHeight="1" outlineLevel="1" x14ac:dyDescent="0.25">
      <c r="A1555" s="148"/>
      <c r="B1555" s="148"/>
      <c r="C1555" s="148"/>
      <c r="D1555" s="138"/>
      <c r="E1555" s="138"/>
      <c r="F1555" s="50">
        <v>43647</v>
      </c>
      <c r="G1555" s="50">
        <v>43830</v>
      </c>
      <c r="H1555" s="150"/>
      <c r="I1555" s="15" t="s">
        <v>23</v>
      </c>
      <c r="J1555" s="15" t="s">
        <v>23</v>
      </c>
      <c r="K1555" s="13">
        <f t="shared" ref="K1555" si="78">$K$1543</f>
        <v>18.96</v>
      </c>
      <c r="L1555" s="13">
        <v>1945.35</v>
      </c>
      <c r="M1555" s="198"/>
    </row>
    <row r="1556" spans="1:13" ht="15" customHeight="1" outlineLevel="1" x14ac:dyDescent="0.25">
      <c r="A1556" s="148"/>
      <c r="B1556" s="148"/>
      <c r="C1556" s="148"/>
      <c r="D1556" s="138"/>
      <c r="E1556" s="138"/>
      <c r="F1556" s="50">
        <v>43466</v>
      </c>
      <c r="G1556" s="50">
        <v>43646</v>
      </c>
      <c r="H1556" s="150"/>
      <c r="I1556" s="15" t="s">
        <v>23</v>
      </c>
      <c r="J1556" s="15" t="s">
        <v>23</v>
      </c>
      <c r="K1556" s="13">
        <f t="shared" ref="K1556" si="79">$K$1542</f>
        <v>18.59</v>
      </c>
      <c r="L1556" s="13">
        <v>2080.59</v>
      </c>
      <c r="M1556" s="196" t="s">
        <v>427</v>
      </c>
    </row>
    <row r="1557" spans="1:13" ht="15" customHeight="1" outlineLevel="1" x14ac:dyDescent="0.25">
      <c r="A1557" s="147"/>
      <c r="B1557" s="147"/>
      <c r="C1557" s="148"/>
      <c r="D1557" s="141"/>
      <c r="E1557" s="141"/>
      <c r="F1557" s="50">
        <v>43647</v>
      </c>
      <c r="G1557" s="50">
        <v>43830</v>
      </c>
      <c r="H1557" s="151"/>
      <c r="I1557" s="15" t="s">
        <v>23</v>
      </c>
      <c r="J1557" s="15" t="s">
        <v>23</v>
      </c>
      <c r="K1557" s="13">
        <f t="shared" ref="K1557" si="80">$K$1543</f>
        <v>18.96</v>
      </c>
      <c r="L1557" s="13">
        <v>2122.1999999999998</v>
      </c>
      <c r="M1557" s="198"/>
    </row>
    <row r="1558" spans="1:13" ht="15" customHeight="1" outlineLevel="1" x14ac:dyDescent="0.25">
      <c r="A1558" s="146" t="s">
        <v>62</v>
      </c>
      <c r="B1558" s="146" t="s">
        <v>353</v>
      </c>
      <c r="C1558" s="148"/>
      <c r="D1558" s="137">
        <f>$D$1540</f>
        <v>43087</v>
      </c>
      <c r="E1558" s="137" t="str">
        <f>$E$1540</f>
        <v>449-п</v>
      </c>
      <c r="F1558" s="12">
        <v>43466</v>
      </c>
      <c r="G1558" s="12">
        <v>43646</v>
      </c>
      <c r="H1558" s="149" t="str">
        <f>$H$1540</f>
        <v>от 20.12.2018 Приказ № 540-п</v>
      </c>
      <c r="I1558" s="66">
        <f>$I$1540</f>
        <v>25.61</v>
      </c>
      <c r="J1558" s="13">
        <f>$J$1540</f>
        <v>3430.52</v>
      </c>
      <c r="K1558" s="15" t="s">
        <v>23</v>
      </c>
      <c r="L1558" s="15" t="s">
        <v>23</v>
      </c>
      <c r="M1558" s="153"/>
    </row>
    <row r="1559" spans="1:13" ht="15" customHeight="1" outlineLevel="1" x14ac:dyDescent="0.25">
      <c r="A1559" s="148"/>
      <c r="B1559" s="148"/>
      <c r="C1559" s="148"/>
      <c r="D1559" s="141"/>
      <c r="E1559" s="141"/>
      <c r="F1559" s="12">
        <v>43647</v>
      </c>
      <c r="G1559" s="12">
        <v>43830</v>
      </c>
      <c r="H1559" s="151"/>
      <c r="I1559" s="66">
        <f>$I$1541</f>
        <v>25.61</v>
      </c>
      <c r="J1559" s="13">
        <f>$J$1541</f>
        <v>3430.52</v>
      </c>
      <c r="K1559" s="15" t="s">
        <v>23</v>
      </c>
      <c r="L1559" s="15" t="s">
        <v>23</v>
      </c>
      <c r="M1559" s="152"/>
    </row>
    <row r="1560" spans="1:13" ht="15" customHeight="1" outlineLevel="1" x14ac:dyDescent="0.25">
      <c r="A1560" s="148"/>
      <c r="B1560" s="148"/>
      <c r="C1560" s="148"/>
      <c r="D1560" s="137">
        <f>$D$1506</f>
        <v>43454</v>
      </c>
      <c r="E1560" s="137" t="str">
        <f>$E$1506</f>
        <v>677-п</v>
      </c>
      <c r="F1560" s="50">
        <v>43466</v>
      </c>
      <c r="G1560" s="50">
        <v>43646</v>
      </c>
      <c r="H1560" s="149"/>
      <c r="I1560" s="15" t="s">
        <v>23</v>
      </c>
      <c r="J1560" s="15" t="s">
        <v>23</v>
      </c>
      <c r="K1560" s="13">
        <f>$K$1542</f>
        <v>18.59</v>
      </c>
      <c r="L1560" s="13">
        <f>$L$1542</f>
        <v>1990.13</v>
      </c>
      <c r="M1560" s="196" t="s">
        <v>420</v>
      </c>
    </row>
    <row r="1561" spans="1:13" ht="15" customHeight="1" outlineLevel="1" x14ac:dyDescent="0.25">
      <c r="A1561" s="148"/>
      <c r="B1561" s="148"/>
      <c r="C1561" s="148"/>
      <c r="D1561" s="138"/>
      <c r="E1561" s="138"/>
      <c r="F1561" s="50">
        <v>43647</v>
      </c>
      <c r="G1561" s="50">
        <v>43830</v>
      </c>
      <c r="H1561" s="150"/>
      <c r="I1561" s="15" t="s">
        <v>23</v>
      </c>
      <c r="J1561" s="15" t="s">
        <v>23</v>
      </c>
      <c r="K1561" s="13">
        <f>$K$1543</f>
        <v>18.96</v>
      </c>
      <c r="L1561" s="13">
        <f>$L$1543</f>
        <v>2029.93</v>
      </c>
      <c r="M1561" s="198"/>
    </row>
    <row r="1562" spans="1:13" ht="15" customHeight="1" outlineLevel="1" x14ac:dyDescent="0.25">
      <c r="A1562" s="148"/>
      <c r="B1562" s="148"/>
      <c r="C1562" s="148"/>
      <c r="D1562" s="138"/>
      <c r="E1562" s="138"/>
      <c r="F1562" s="50">
        <v>43466</v>
      </c>
      <c r="G1562" s="50">
        <v>43646</v>
      </c>
      <c r="H1562" s="150"/>
      <c r="I1562" s="15" t="s">
        <v>23</v>
      </c>
      <c r="J1562" s="15" t="s">
        <v>23</v>
      </c>
      <c r="K1562" s="13">
        <f>$K$1544</f>
        <v>18.59</v>
      </c>
      <c r="L1562" s="13">
        <f>$L$1544</f>
        <v>2179.66</v>
      </c>
      <c r="M1562" s="196" t="s">
        <v>421</v>
      </c>
    </row>
    <row r="1563" spans="1:13" ht="15" customHeight="1" outlineLevel="1" x14ac:dyDescent="0.25">
      <c r="A1563" s="148"/>
      <c r="B1563" s="148"/>
      <c r="C1563" s="148"/>
      <c r="D1563" s="138"/>
      <c r="E1563" s="138"/>
      <c r="F1563" s="50">
        <v>43647</v>
      </c>
      <c r="G1563" s="50">
        <v>43830</v>
      </c>
      <c r="H1563" s="150"/>
      <c r="I1563" s="15" t="s">
        <v>23</v>
      </c>
      <c r="J1563" s="15" t="s">
        <v>23</v>
      </c>
      <c r="K1563" s="13">
        <f>$K$1545</f>
        <v>18.96</v>
      </c>
      <c r="L1563" s="13">
        <f>$L$1545</f>
        <v>2223.25</v>
      </c>
      <c r="M1563" s="198"/>
    </row>
    <row r="1564" spans="1:13" ht="15" customHeight="1" outlineLevel="1" x14ac:dyDescent="0.25">
      <c r="A1564" s="148"/>
      <c r="B1564" s="148"/>
      <c r="C1564" s="148"/>
      <c r="D1564" s="138"/>
      <c r="E1564" s="138"/>
      <c r="F1564" s="50">
        <v>43466</v>
      </c>
      <c r="G1564" s="50">
        <v>43646</v>
      </c>
      <c r="H1564" s="150"/>
      <c r="I1564" s="15" t="s">
        <v>23</v>
      </c>
      <c r="J1564" s="15" t="s">
        <v>23</v>
      </c>
      <c r="K1564" s="13">
        <f>$K$1546</f>
        <v>18.59</v>
      </c>
      <c r="L1564" s="13">
        <f>$L$1546</f>
        <v>1855.66</v>
      </c>
      <c r="M1564" s="196" t="s">
        <v>422</v>
      </c>
    </row>
    <row r="1565" spans="1:13" ht="15" customHeight="1" outlineLevel="1" x14ac:dyDescent="0.25">
      <c r="A1565" s="148"/>
      <c r="B1565" s="148"/>
      <c r="C1565" s="148"/>
      <c r="D1565" s="138"/>
      <c r="E1565" s="138"/>
      <c r="F1565" s="50">
        <v>43647</v>
      </c>
      <c r="G1565" s="50">
        <v>43830</v>
      </c>
      <c r="H1565" s="150"/>
      <c r="I1565" s="15" t="s">
        <v>23</v>
      </c>
      <c r="J1565" s="15" t="s">
        <v>23</v>
      </c>
      <c r="K1565" s="13">
        <f>$K$1547</f>
        <v>18.96</v>
      </c>
      <c r="L1565" s="13">
        <f>$L$1547</f>
        <v>1892.77</v>
      </c>
      <c r="M1565" s="198"/>
    </row>
    <row r="1566" spans="1:13" ht="15" customHeight="1" outlineLevel="1" x14ac:dyDescent="0.25">
      <c r="A1566" s="148"/>
      <c r="B1566" s="148"/>
      <c r="C1566" s="148"/>
      <c r="D1566" s="138"/>
      <c r="E1566" s="138"/>
      <c r="F1566" s="50">
        <v>43466</v>
      </c>
      <c r="G1566" s="50">
        <v>43646</v>
      </c>
      <c r="H1566" s="150"/>
      <c r="I1566" s="15" t="s">
        <v>23</v>
      </c>
      <c r="J1566" s="15" t="s">
        <v>23</v>
      </c>
      <c r="K1566" s="13">
        <f>$K$1548</f>
        <v>18.59</v>
      </c>
      <c r="L1566" s="13">
        <f>$L$1548</f>
        <v>1990.13</v>
      </c>
      <c r="M1566" s="196" t="s">
        <v>423</v>
      </c>
    </row>
    <row r="1567" spans="1:13" ht="15" customHeight="1" outlineLevel="1" x14ac:dyDescent="0.25">
      <c r="A1567" s="148"/>
      <c r="B1567" s="148"/>
      <c r="C1567" s="148"/>
      <c r="D1567" s="138"/>
      <c r="E1567" s="138"/>
      <c r="F1567" s="50">
        <v>43647</v>
      </c>
      <c r="G1567" s="50">
        <v>43830</v>
      </c>
      <c r="H1567" s="150"/>
      <c r="I1567" s="15" t="s">
        <v>23</v>
      </c>
      <c r="J1567" s="15" t="s">
        <v>23</v>
      </c>
      <c r="K1567" s="13">
        <f>$K$1549</f>
        <v>18.96</v>
      </c>
      <c r="L1567" s="13">
        <f>$L$1549</f>
        <v>2029.93</v>
      </c>
      <c r="M1567" s="198"/>
    </row>
    <row r="1568" spans="1:13" ht="15" customHeight="1" outlineLevel="1" x14ac:dyDescent="0.25">
      <c r="A1568" s="148"/>
      <c r="B1568" s="148"/>
      <c r="C1568" s="148"/>
      <c r="D1568" s="138"/>
      <c r="E1568" s="138"/>
      <c r="F1568" s="50">
        <v>43466</v>
      </c>
      <c r="G1568" s="50">
        <v>43646</v>
      </c>
      <c r="H1568" s="150"/>
      <c r="I1568" s="15" t="s">
        <v>23</v>
      </c>
      <c r="J1568" s="15" t="s">
        <v>23</v>
      </c>
      <c r="K1568" s="13">
        <f>$K$1550</f>
        <v>18.59</v>
      </c>
      <c r="L1568" s="13">
        <f>$L$1550</f>
        <v>2080.59</v>
      </c>
      <c r="M1568" s="196" t="s">
        <v>424</v>
      </c>
    </row>
    <row r="1569" spans="1:13" ht="15" customHeight="1" outlineLevel="1" x14ac:dyDescent="0.25">
      <c r="A1569" s="148"/>
      <c r="B1569" s="148"/>
      <c r="C1569" s="148"/>
      <c r="D1569" s="138"/>
      <c r="E1569" s="138"/>
      <c r="F1569" s="50">
        <v>43647</v>
      </c>
      <c r="G1569" s="50">
        <v>43830</v>
      </c>
      <c r="H1569" s="150"/>
      <c r="I1569" s="15" t="s">
        <v>23</v>
      </c>
      <c r="J1569" s="15" t="s">
        <v>23</v>
      </c>
      <c r="K1569" s="13">
        <f>$K$1551</f>
        <v>18.96</v>
      </c>
      <c r="L1569" s="13">
        <f>$L$1551</f>
        <v>2122.1999999999998</v>
      </c>
      <c r="M1569" s="198"/>
    </row>
    <row r="1570" spans="1:13" ht="15" customHeight="1" outlineLevel="1" x14ac:dyDescent="0.25">
      <c r="A1570" s="148"/>
      <c r="B1570" s="148"/>
      <c r="C1570" s="148"/>
      <c r="D1570" s="138"/>
      <c r="E1570" s="138"/>
      <c r="F1570" s="50">
        <v>43466</v>
      </c>
      <c r="G1570" s="50">
        <v>43646</v>
      </c>
      <c r="H1570" s="150"/>
      <c r="I1570" s="15" t="s">
        <v>23</v>
      </c>
      <c r="J1570" s="15" t="s">
        <v>23</v>
      </c>
      <c r="K1570" s="13">
        <f>$K$1552</f>
        <v>18.59</v>
      </c>
      <c r="L1570" s="13">
        <f>$L$1552</f>
        <v>2251.13</v>
      </c>
      <c r="M1570" s="196" t="s">
        <v>425</v>
      </c>
    </row>
    <row r="1571" spans="1:13" ht="15" customHeight="1" outlineLevel="1" x14ac:dyDescent="0.25">
      <c r="A1571" s="148"/>
      <c r="B1571" s="148"/>
      <c r="C1571" s="148"/>
      <c r="D1571" s="138"/>
      <c r="E1571" s="138"/>
      <c r="F1571" s="50">
        <v>43647</v>
      </c>
      <c r="G1571" s="50">
        <v>43830</v>
      </c>
      <c r="H1571" s="150"/>
      <c r="I1571" s="15" t="s">
        <v>23</v>
      </c>
      <c r="J1571" s="15" t="s">
        <v>23</v>
      </c>
      <c r="K1571" s="13">
        <f>$K$1553</f>
        <v>18.96</v>
      </c>
      <c r="L1571" s="13">
        <f>$L$1553</f>
        <v>2296.15</v>
      </c>
      <c r="M1571" s="198"/>
    </row>
    <row r="1572" spans="1:13" ht="15" customHeight="1" outlineLevel="1" x14ac:dyDescent="0.25">
      <c r="A1572" s="148"/>
      <c r="B1572" s="148"/>
      <c r="C1572" s="148"/>
      <c r="D1572" s="138"/>
      <c r="E1572" s="138"/>
      <c r="F1572" s="50">
        <v>43466</v>
      </c>
      <c r="G1572" s="50">
        <v>43646</v>
      </c>
      <c r="H1572" s="150"/>
      <c r="I1572" s="15" t="s">
        <v>23</v>
      </c>
      <c r="J1572" s="15" t="s">
        <v>23</v>
      </c>
      <c r="K1572" s="13">
        <f>$K$1554</f>
        <v>18.59</v>
      </c>
      <c r="L1572" s="13">
        <f>$L$1554</f>
        <v>1907.2</v>
      </c>
      <c r="M1572" s="196" t="s">
        <v>426</v>
      </c>
    </row>
    <row r="1573" spans="1:13" ht="15" customHeight="1" outlineLevel="1" x14ac:dyDescent="0.25">
      <c r="A1573" s="148"/>
      <c r="B1573" s="148"/>
      <c r="C1573" s="148"/>
      <c r="D1573" s="138"/>
      <c r="E1573" s="138"/>
      <c r="F1573" s="50">
        <v>43647</v>
      </c>
      <c r="G1573" s="50">
        <v>43830</v>
      </c>
      <c r="H1573" s="150"/>
      <c r="I1573" s="15" t="s">
        <v>23</v>
      </c>
      <c r="J1573" s="15" t="s">
        <v>23</v>
      </c>
      <c r="K1573" s="13">
        <f>$K$1555</f>
        <v>18.96</v>
      </c>
      <c r="L1573" s="13">
        <f>$L$1555</f>
        <v>1945.35</v>
      </c>
      <c r="M1573" s="198"/>
    </row>
    <row r="1574" spans="1:13" ht="15" customHeight="1" outlineLevel="1" x14ac:dyDescent="0.25">
      <c r="A1574" s="148"/>
      <c r="B1574" s="148"/>
      <c r="C1574" s="148"/>
      <c r="D1574" s="138"/>
      <c r="E1574" s="138"/>
      <c r="F1574" s="50">
        <v>43466</v>
      </c>
      <c r="G1574" s="50">
        <v>43646</v>
      </c>
      <c r="H1574" s="150"/>
      <c r="I1574" s="15" t="s">
        <v>23</v>
      </c>
      <c r="J1574" s="15" t="s">
        <v>23</v>
      </c>
      <c r="K1574" s="13">
        <f>$K$1556</f>
        <v>18.59</v>
      </c>
      <c r="L1574" s="13">
        <f>$L$1556</f>
        <v>2080.59</v>
      </c>
      <c r="M1574" s="196" t="s">
        <v>427</v>
      </c>
    </row>
    <row r="1575" spans="1:13" ht="15" customHeight="1" outlineLevel="1" x14ac:dyDescent="0.25">
      <c r="A1575" s="147"/>
      <c r="B1575" s="147"/>
      <c r="C1575" s="148"/>
      <c r="D1575" s="141"/>
      <c r="E1575" s="141"/>
      <c r="F1575" s="50">
        <v>43647</v>
      </c>
      <c r="G1575" s="50">
        <v>43830</v>
      </c>
      <c r="H1575" s="151"/>
      <c r="I1575" s="15" t="s">
        <v>23</v>
      </c>
      <c r="J1575" s="15" t="s">
        <v>23</v>
      </c>
      <c r="K1575" s="13">
        <f>$K$1557</f>
        <v>18.96</v>
      </c>
      <c r="L1575" s="13">
        <f>$L$1557</f>
        <v>2122.1999999999998</v>
      </c>
      <c r="M1575" s="198"/>
    </row>
    <row r="1576" spans="1:13" ht="15" customHeight="1" outlineLevel="1" x14ac:dyDescent="0.25">
      <c r="A1576" s="146" t="s">
        <v>62</v>
      </c>
      <c r="B1576" s="146" t="s">
        <v>386</v>
      </c>
      <c r="C1576" s="148"/>
      <c r="D1576" s="137">
        <f>$D$1540</f>
        <v>43087</v>
      </c>
      <c r="E1576" s="137" t="str">
        <f>$E$1540</f>
        <v>449-п</v>
      </c>
      <c r="F1576" s="12">
        <v>43466</v>
      </c>
      <c r="G1576" s="12">
        <v>43646</v>
      </c>
      <c r="H1576" s="149" t="str">
        <f>$H$1540</f>
        <v>от 20.12.2018 Приказ № 540-п</v>
      </c>
      <c r="I1576" s="66">
        <f>$I$1540</f>
        <v>25.61</v>
      </c>
      <c r="J1576" s="13">
        <f>$J$1540</f>
        <v>3430.52</v>
      </c>
      <c r="K1576" s="15" t="s">
        <v>23</v>
      </c>
      <c r="L1576" s="15" t="s">
        <v>23</v>
      </c>
      <c r="M1576" s="153"/>
    </row>
    <row r="1577" spans="1:13" ht="15" customHeight="1" outlineLevel="1" x14ac:dyDescent="0.25">
      <c r="A1577" s="148"/>
      <c r="B1577" s="148"/>
      <c r="C1577" s="148"/>
      <c r="D1577" s="141"/>
      <c r="E1577" s="141"/>
      <c r="F1577" s="12">
        <v>43647</v>
      </c>
      <c r="G1577" s="12">
        <v>43830</v>
      </c>
      <c r="H1577" s="151"/>
      <c r="I1577" s="66">
        <f>$I$1541</f>
        <v>25.61</v>
      </c>
      <c r="J1577" s="13">
        <f>$J$1541</f>
        <v>3430.52</v>
      </c>
      <c r="K1577" s="15" t="s">
        <v>23</v>
      </c>
      <c r="L1577" s="15" t="s">
        <v>23</v>
      </c>
      <c r="M1577" s="152"/>
    </row>
    <row r="1578" spans="1:13" ht="15" customHeight="1" outlineLevel="1" x14ac:dyDescent="0.25">
      <c r="A1578" s="148"/>
      <c r="B1578" s="148"/>
      <c r="C1578" s="148"/>
      <c r="D1578" s="137">
        <f>$D$1506</f>
        <v>43454</v>
      </c>
      <c r="E1578" s="137" t="str">
        <f>$E$1506</f>
        <v>677-п</v>
      </c>
      <c r="F1578" s="50">
        <v>43466</v>
      </c>
      <c r="G1578" s="50">
        <v>43646</v>
      </c>
      <c r="H1578" s="149"/>
      <c r="I1578" s="15" t="s">
        <v>23</v>
      </c>
      <c r="J1578" s="15" t="s">
        <v>23</v>
      </c>
      <c r="K1578" s="13">
        <f>$K$1542</f>
        <v>18.59</v>
      </c>
      <c r="L1578" s="13">
        <f>$L$1542</f>
        <v>1990.13</v>
      </c>
      <c r="M1578" s="196" t="s">
        <v>420</v>
      </c>
    </row>
    <row r="1579" spans="1:13" ht="15" customHeight="1" outlineLevel="1" x14ac:dyDescent="0.25">
      <c r="A1579" s="148"/>
      <c r="B1579" s="148"/>
      <c r="C1579" s="148"/>
      <c r="D1579" s="138"/>
      <c r="E1579" s="138"/>
      <c r="F1579" s="50">
        <v>43647</v>
      </c>
      <c r="G1579" s="50">
        <v>43830</v>
      </c>
      <c r="H1579" s="150"/>
      <c r="I1579" s="15" t="s">
        <v>23</v>
      </c>
      <c r="J1579" s="15" t="s">
        <v>23</v>
      </c>
      <c r="K1579" s="13">
        <f>$K$1543</f>
        <v>18.96</v>
      </c>
      <c r="L1579" s="13">
        <f>$L$1543</f>
        <v>2029.93</v>
      </c>
      <c r="M1579" s="198"/>
    </row>
    <row r="1580" spans="1:13" ht="15" customHeight="1" outlineLevel="1" x14ac:dyDescent="0.25">
      <c r="A1580" s="148"/>
      <c r="B1580" s="148"/>
      <c r="C1580" s="148"/>
      <c r="D1580" s="138"/>
      <c r="E1580" s="138"/>
      <c r="F1580" s="50">
        <v>43466</v>
      </c>
      <c r="G1580" s="50">
        <v>43646</v>
      </c>
      <c r="H1580" s="150"/>
      <c r="I1580" s="15" t="s">
        <v>23</v>
      </c>
      <c r="J1580" s="15" t="s">
        <v>23</v>
      </c>
      <c r="K1580" s="13">
        <f>$K$1544</f>
        <v>18.59</v>
      </c>
      <c r="L1580" s="13">
        <f>$L$1544</f>
        <v>2179.66</v>
      </c>
      <c r="M1580" s="196" t="s">
        <v>421</v>
      </c>
    </row>
    <row r="1581" spans="1:13" ht="15" customHeight="1" outlineLevel="1" x14ac:dyDescent="0.25">
      <c r="A1581" s="148"/>
      <c r="B1581" s="148"/>
      <c r="C1581" s="148"/>
      <c r="D1581" s="138"/>
      <c r="E1581" s="138"/>
      <c r="F1581" s="50">
        <v>43647</v>
      </c>
      <c r="G1581" s="50">
        <v>43830</v>
      </c>
      <c r="H1581" s="150"/>
      <c r="I1581" s="15" t="s">
        <v>23</v>
      </c>
      <c r="J1581" s="15" t="s">
        <v>23</v>
      </c>
      <c r="K1581" s="13">
        <f>$K$1545</f>
        <v>18.96</v>
      </c>
      <c r="L1581" s="13">
        <f>$L$1545</f>
        <v>2223.25</v>
      </c>
      <c r="M1581" s="198"/>
    </row>
    <row r="1582" spans="1:13" ht="15" customHeight="1" outlineLevel="1" x14ac:dyDescent="0.25">
      <c r="A1582" s="148"/>
      <c r="B1582" s="148"/>
      <c r="C1582" s="148"/>
      <c r="D1582" s="138"/>
      <c r="E1582" s="138"/>
      <c r="F1582" s="50">
        <v>43466</v>
      </c>
      <c r="G1582" s="50">
        <v>43646</v>
      </c>
      <c r="H1582" s="150"/>
      <c r="I1582" s="15" t="s">
        <v>23</v>
      </c>
      <c r="J1582" s="15" t="s">
        <v>23</v>
      </c>
      <c r="K1582" s="13">
        <f>$K$1546</f>
        <v>18.59</v>
      </c>
      <c r="L1582" s="13">
        <f>$L$1546</f>
        <v>1855.66</v>
      </c>
      <c r="M1582" s="196" t="s">
        <v>422</v>
      </c>
    </row>
    <row r="1583" spans="1:13" ht="15" customHeight="1" outlineLevel="1" x14ac:dyDescent="0.25">
      <c r="A1583" s="148"/>
      <c r="B1583" s="148"/>
      <c r="C1583" s="148"/>
      <c r="D1583" s="138"/>
      <c r="E1583" s="138"/>
      <c r="F1583" s="50">
        <v>43647</v>
      </c>
      <c r="G1583" s="50">
        <v>43830</v>
      </c>
      <c r="H1583" s="150"/>
      <c r="I1583" s="15" t="s">
        <v>23</v>
      </c>
      <c r="J1583" s="15" t="s">
        <v>23</v>
      </c>
      <c r="K1583" s="13">
        <f>$K$1547</f>
        <v>18.96</v>
      </c>
      <c r="L1583" s="13">
        <f>$L$1547</f>
        <v>1892.77</v>
      </c>
      <c r="M1583" s="198"/>
    </row>
    <row r="1584" spans="1:13" ht="15" customHeight="1" outlineLevel="1" x14ac:dyDescent="0.25">
      <c r="A1584" s="148"/>
      <c r="B1584" s="148"/>
      <c r="C1584" s="148"/>
      <c r="D1584" s="138"/>
      <c r="E1584" s="138"/>
      <c r="F1584" s="50">
        <v>43466</v>
      </c>
      <c r="G1584" s="50">
        <v>43646</v>
      </c>
      <c r="H1584" s="150"/>
      <c r="I1584" s="15" t="s">
        <v>23</v>
      </c>
      <c r="J1584" s="15" t="s">
        <v>23</v>
      </c>
      <c r="K1584" s="13">
        <f>$K$1548</f>
        <v>18.59</v>
      </c>
      <c r="L1584" s="13">
        <f>$L$1548</f>
        <v>1990.13</v>
      </c>
      <c r="M1584" s="196" t="s">
        <v>423</v>
      </c>
    </row>
    <row r="1585" spans="1:13" ht="15" customHeight="1" outlineLevel="1" x14ac:dyDescent="0.25">
      <c r="A1585" s="148"/>
      <c r="B1585" s="148"/>
      <c r="C1585" s="148"/>
      <c r="D1585" s="138"/>
      <c r="E1585" s="138"/>
      <c r="F1585" s="50">
        <v>43647</v>
      </c>
      <c r="G1585" s="50">
        <v>43830</v>
      </c>
      <c r="H1585" s="150"/>
      <c r="I1585" s="15" t="s">
        <v>23</v>
      </c>
      <c r="J1585" s="15" t="s">
        <v>23</v>
      </c>
      <c r="K1585" s="13">
        <f>$K$1549</f>
        <v>18.96</v>
      </c>
      <c r="L1585" s="13">
        <f>$L$1549</f>
        <v>2029.93</v>
      </c>
      <c r="M1585" s="198"/>
    </row>
    <row r="1586" spans="1:13" ht="15" customHeight="1" outlineLevel="1" x14ac:dyDescent="0.25">
      <c r="A1586" s="148"/>
      <c r="B1586" s="148"/>
      <c r="C1586" s="148"/>
      <c r="D1586" s="138"/>
      <c r="E1586" s="138"/>
      <c r="F1586" s="50">
        <v>43466</v>
      </c>
      <c r="G1586" s="50">
        <v>43646</v>
      </c>
      <c r="H1586" s="150"/>
      <c r="I1586" s="15" t="s">
        <v>23</v>
      </c>
      <c r="J1586" s="15" t="s">
        <v>23</v>
      </c>
      <c r="K1586" s="13">
        <f>$K$1550</f>
        <v>18.59</v>
      </c>
      <c r="L1586" s="13">
        <f>$L$1550</f>
        <v>2080.59</v>
      </c>
      <c r="M1586" s="196" t="s">
        <v>424</v>
      </c>
    </row>
    <row r="1587" spans="1:13" ht="15" customHeight="1" outlineLevel="1" x14ac:dyDescent="0.25">
      <c r="A1587" s="148"/>
      <c r="B1587" s="148"/>
      <c r="C1587" s="148"/>
      <c r="D1587" s="138"/>
      <c r="E1587" s="138"/>
      <c r="F1587" s="50">
        <v>43647</v>
      </c>
      <c r="G1587" s="50">
        <v>43830</v>
      </c>
      <c r="H1587" s="150"/>
      <c r="I1587" s="15" t="s">
        <v>23</v>
      </c>
      <c r="J1587" s="15" t="s">
        <v>23</v>
      </c>
      <c r="K1587" s="13">
        <f>$K$1551</f>
        <v>18.96</v>
      </c>
      <c r="L1587" s="13">
        <f>$L$1551</f>
        <v>2122.1999999999998</v>
      </c>
      <c r="M1587" s="198"/>
    </row>
    <row r="1588" spans="1:13" ht="15" customHeight="1" outlineLevel="1" x14ac:dyDescent="0.25">
      <c r="A1588" s="148"/>
      <c r="B1588" s="148"/>
      <c r="C1588" s="148"/>
      <c r="D1588" s="138"/>
      <c r="E1588" s="138"/>
      <c r="F1588" s="50">
        <v>43466</v>
      </c>
      <c r="G1588" s="50">
        <v>43646</v>
      </c>
      <c r="H1588" s="150"/>
      <c r="I1588" s="15" t="s">
        <v>23</v>
      </c>
      <c r="J1588" s="15" t="s">
        <v>23</v>
      </c>
      <c r="K1588" s="13">
        <f>$K$1552</f>
        <v>18.59</v>
      </c>
      <c r="L1588" s="13">
        <f>$L$1552</f>
        <v>2251.13</v>
      </c>
      <c r="M1588" s="196" t="s">
        <v>425</v>
      </c>
    </row>
    <row r="1589" spans="1:13" ht="15" customHeight="1" outlineLevel="1" x14ac:dyDescent="0.25">
      <c r="A1589" s="148"/>
      <c r="B1589" s="148"/>
      <c r="C1589" s="148"/>
      <c r="D1589" s="138"/>
      <c r="E1589" s="138"/>
      <c r="F1589" s="50">
        <v>43647</v>
      </c>
      <c r="G1589" s="50">
        <v>43830</v>
      </c>
      <c r="H1589" s="150"/>
      <c r="I1589" s="15" t="s">
        <v>23</v>
      </c>
      <c r="J1589" s="15" t="s">
        <v>23</v>
      </c>
      <c r="K1589" s="13">
        <f>$K$1553</f>
        <v>18.96</v>
      </c>
      <c r="L1589" s="13">
        <f>$L$1553</f>
        <v>2296.15</v>
      </c>
      <c r="M1589" s="198"/>
    </row>
    <row r="1590" spans="1:13" ht="15" customHeight="1" outlineLevel="1" x14ac:dyDescent="0.25">
      <c r="A1590" s="148"/>
      <c r="B1590" s="148"/>
      <c r="C1590" s="148"/>
      <c r="D1590" s="138"/>
      <c r="E1590" s="138"/>
      <c r="F1590" s="50">
        <v>43466</v>
      </c>
      <c r="G1590" s="50">
        <v>43646</v>
      </c>
      <c r="H1590" s="150"/>
      <c r="I1590" s="15" t="s">
        <v>23</v>
      </c>
      <c r="J1590" s="15" t="s">
        <v>23</v>
      </c>
      <c r="K1590" s="13">
        <f>$K$1554</f>
        <v>18.59</v>
      </c>
      <c r="L1590" s="13">
        <f>$L$1554</f>
        <v>1907.2</v>
      </c>
      <c r="M1590" s="196" t="s">
        <v>426</v>
      </c>
    </row>
    <row r="1591" spans="1:13" ht="15" customHeight="1" outlineLevel="1" x14ac:dyDescent="0.25">
      <c r="A1591" s="148"/>
      <c r="B1591" s="148"/>
      <c r="C1591" s="148"/>
      <c r="D1591" s="138"/>
      <c r="E1591" s="138"/>
      <c r="F1591" s="50">
        <v>43647</v>
      </c>
      <c r="G1591" s="50">
        <v>43830</v>
      </c>
      <c r="H1591" s="150"/>
      <c r="I1591" s="15" t="s">
        <v>23</v>
      </c>
      <c r="J1591" s="15" t="s">
        <v>23</v>
      </c>
      <c r="K1591" s="13">
        <f>$K$1555</f>
        <v>18.96</v>
      </c>
      <c r="L1591" s="13">
        <f>$L$1555</f>
        <v>1945.35</v>
      </c>
      <c r="M1591" s="198"/>
    </row>
    <row r="1592" spans="1:13" ht="15" customHeight="1" outlineLevel="1" x14ac:dyDescent="0.25">
      <c r="A1592" s="148"/>
      <c r="B1592" s="148"/>
      <c r="C1592" s="148"/>
      <c r="D1592" s="138"/>
      <c r="E1592" s="138"/>
      <c r="F1592" s="50">
        <v>43466</v>
      </c>
      <c r="G1592" s="50">
        <v>43646</v>
      </c>
      <c r="H1592" s="150"/>
      <c r="I1592" s="15" t="s">
        <v>23</v>
      </c>
      <c r="J1592" s="15" t="s">
        <v>23</v>
      </c>
      <c r="K1592" s="13">
        <f>$K$1556</f>
        <v>18.59</v>
      </c>
      <c r="L1592" s="13">
        <f>$L$1556</f>
        <v>2080.59</v>
      </c>
      <c r="M1592" s="196" t="s">
        <v>427</v>
      </c>
    </row>
    <row r="1593" spans="1:13" ht="15" customHeight="1" outlineLevel="1" x14ac:dyDescent="0.25">
      <c r="A1593" s="147"/>
      <c r="B1593" s="147"/>
      <c r="C1593" s="148"/>
      <c r="D1593" s="141"/>
      <c r="E1593" s="141"/>
      <c r="F1593" s="50">
        <v>43647</v>
      </c>
      <c r="G1593" s="50">
        <v>43830</v>
      </c>
      <c r="H1593" s="151"/>
      <c r="I1593" s="15" t="s">
        <v>23</v>
      </c>
      <c r="J1593" s="15" t="s">
        <v>23</v>
      </c>
      <c r="K1593" s="13">
        <f>$K$1557</f>
        <v>18.96</v>
      </c>
      <c r="L1593" s="13">
        <f>$L$1557</f>
        <v>2122.1999999999998</v>
      </c>
      <c r="M1593" s="198"/>
    </row>
    <row r="1594" spans="1:13" ht="15" customHeight="1" outlineLevel="1" x14ac:dyDescent="0.25">
      <c r="A1594" s="146" t="s">
        <v>62</v>
      </c>
      <c r="B1594" s="146" t="s">
        <v>390</v>
      </c>
      <c r="C1594" s="148"/>
      <c r="D1594" s="137">
        <f>$D$1540</f>
        <v>43087</v>
      </c>
      <c r="E1594" s="137" t="str">
        <f>$E$1540</f>
        <v>449-п</v>
      </c>
      <c r="F1594" s="12">
        <v>43466</v>
      </c>
      <c r="G1594" s="12">
        <v>43646</v>
      </c>
      <c r="H1594" s="149" t="str">
        <f>$H$1540</f>
        <v>от 20.12.2018 Приказ № 540-п</v>
      </c>
      <c r="I1594" s="66">
        <f>$I$1540</f>
        <v>25.61</v>
      </c>
      <c r="J1594" s="13">
        <f>$J$1540</f>
        <v>3430.52</v>
      </c>
      <c r="K1594" s="15" t="s">
        <v>23</v>
      </c>
      <c r="L1594" s="15" t="s">
        <v>23</v>
      </c>
      <c r="M1594" s="153"/>
    </row>
    <row r="1595" spans="1:13" ht="15" customHeight="1" outlineLevel="1" x14ac:dyDescent="0.25">
      <c r="A1595" s="148"/>
      <c r="B1595" s="148"/>
      <c r="C1595" s="148"/>
      <c r="D1595" s="141"/>
      <c r="E1595" s="141"/>
      <c r="F1595" s="12">
        <v>43647</v>
      </c>
      <c r="G1595" s="12">
        <v>43830</v>
      </c>
      <c r="H1595" s="151"/>
      <c r="I1595" s="66">
        <f>$I$1541</f>
        <v>25.61</v>
      </c>
      <c r="J1595" s="13">
        <f>$J$1541</f>
        <v>3430.52</v>
      </c>
      <c r="K1595" s="15" t="s">
        <v>23</v>
      </c>
      <c r="L1595" s="15" t="s">
        <v>23</v>
      </c>
      <c r="M1595" s="152"/>
    </row>
    <row r="1596" spans="1:13" ht="15" customHeight="1" outlineLevel="1" x14ac:dyDescent="0.25">
      <c r="A1596" s="148"/>
      <c r="B1596" s="148"/>
      <c r="C1596" s="148"/>
      <c r="D1596" s="137">
        <f>$D$1506</f>
        <v>43454</v>
      </c>
      <c r="E1596" s="137" t="str">
        <f>$E$1506</f>
        <v>677-п</v>
      </c>
      <c r="F1596" s="50">
        <v>43466</v>
      </c>
      <c r="G1596" s="50">
        <v>43646</v>
      </c>
      <c r="H1596" s="149"/>
      <c r="I1596" s="15" t="s">
        <v>23</v>
      </c>
      <c r="J1596" s="15" t="s">
        <v>23</v>
      </c>
      <c r="K1596" s="13">
        <f>$K$1542</f>
        <v>18.59</v>
      </c>
      <c r="L1596" s="13">
        <f>$L$1542</f>
        <v>1990.13</v>
      </c>
      <c r="M1596" s="196" t="s">
        <v>420</v>
      </c>
    </row>
    <row r="1597" spans="1:13" ht="15" customHeight="1" outlineLevel="1" x14ac:dyDescent="0.25">
      <c r="A1597" s="148"/>
      <c r="B1597" s="148"/>
      <c r="C1597" s="148"/>
      <c r="D1597" s="138"/>
      <c r="E1597" s="138"/>
      <c r="F1597" s="50">
        <v>43647</v>
      </c>
      <c r="G1597" s="50">
        <v>43830</v>
      </c>
      <c r="H1597" s="150"/>
      <c r="I1597" s="15" t="s">
        <v>23</v>
      </c>
      <c r="J1597" s="15" t="s">
        <v>23</v>
      </c>
      <c r="K1597" s="13">
        <f>$K$1543</f>
        <v>18.96</v>
      </c>
      <c r="L1597" s="13">
        <f>$L$1543</f>
        <v>2029.93</v>
      </c>
      <c r="M1597" s="198"/>
    </row>
    <row r="1598" spans="1:13" ht="15" customHeight="1" outlineLevel="1" x14ac:dyDescent="0.25">
      <c r="A1598" s="148"/>
      <c r="B1598" s="148"/>
      <c r="C1598" s="148"/>
      <c r="D1598" s="138"/>
      <c r="E1598" s="138"/>
      <c r="F1598" s="50">
        <v>43466</v>
      </c>
      <c r="G1598" s="50">
        <v>43646</v>
      </c>
      <c r="H1598" s="150"/>
      <c r="I1598" s="15" t="s">
        <v>23</v>
      </c>
      <c r="J1598" s="15" t="s">
        <v>23</v>
      </c>
      <c r="K1598" s="13">
        <f>$K$1544</f>
        <v>18.59</v>
      </c>
      <c r="L1598" s="13">
        <f>$L$1544</f>
        <v>2179.66</v>
      </c>
      <c r="M1598" s="196" t="s">
        <v>421</v>
      </c>
    </row>
    <row r="1599" spans="1:13" ht="15" customHeight="1" outlineLevel="1" x14ac:dyDescent="0.25">
      <c r="A1599" s="148"/>
      <c r="B1599" s="148"/>
      <c r="C1599" s="148"/>
      <c r="D1599" s="138"/>
      <c r="E1599" s="138"/>
      <c r="F1599" s="50">
        <v>43647</v>
      </c>
      <c r="G1599" s="50">
        <v>43830</v>
      </c>
      <c r="H1599" s="150"/>
      <c r="I1599" s="15" t="s">
        <v>23</v>
      </c>
      <c r="J1599" s="15" t="s">
        <v>23</v>
      </c>
      <c r="K1599" s="13">
        <f>$K$1545</f>
        <v>18.96</v>
      </c>
      <c r="L1599" s="13">
        <f>$L$1545</f>
        <v>2223.25</v>
      </c>
      <c r="M1599" s="198"/>
    </row>
    <row r="1600" spans="1:13" ht="15" customHeight="1" outlineLevel="1" x14ac:dyDescent="0.25">
      <c r="A1600" s="148"/>
      <c r="B1600" s="148"/>
      <c r="C1600" s="148"/>
      <c r="D1600" s="138"/>
      <c r="E1600" s="138"/>
      <c r="F1600" s="50">
        <v>43466</v>
      </c>
      <c r="G1600" s="50">
        <v>43646</v>
      </c>
      <c r="H1600" s="150"/>
      <c r="I1600" s="15" t="s">
        <v>23</v>
      </c>
      <c r="J1600" s="15" t="s">
        <v>23</v>
      </c>
      <c r="K1600" s="13">
        <f>$K$1546</f>
        <v>18.59</v>
      </c>
      <c r="L1600" s="13">
        <f>$L$1546</f>
        <v>1855.66</v>
      </c>
      <c r="M1600" s="196" t="s">
        <v>422</v>
      </c>
    </row>
    <row r="1601" spans="1:13" ht="15" customHeight="1" outlineLevel="1" x14ac:dyDescent="0.25">
      <c r="A1601" s="148"/>
      <c r="B1601" s="148"/>
      <c r="C1601" s="148"/>
      <c r="D1601" s="138"/>
      <c r="E1601" s="138"/>
      <c r="F1601" s="50">
        <v>43647</v>
      </c>
      <c r="G1601" s="50">
        <v>43830</v>
      </c>
      <c r="H1601" s="150"/>
      <c r="I1601" s="15" t="s">
        <v>23</v>
      </c>
      <c r="J1601" s="15" t="s">
        <v>23</v>
      </c>
      <c r="K1601" s="13">
        <f>$K$1547</f>
        <v>18.96</v>
      </c>
      <c r="L1601" s="13">
        <f>$L$1547</f>
        <v>1892.77</v>
      </c>
      <c r="M1601" s="198"/>
    </row>
    <row r="1602" spans="1:13" ht="15" customHeight="1" outlineLevel="1" x14ac:dyDescent="0.25">
      <c r="A1602" s="148"/>
      <c r="B1602" s="148"/>
      <c r="C1602" s="148"/>
      <c r="D1602" s="138"/>
      <c r="E1602" s="138"/>
      <c r="F1602" s="50">
        <v>43466</v>
      </c>
      <c r="G1602" s="50">
        <v>43646</v>
      </c>
      <c r="H1602" s="150"/>
      <c r="I1602" s="15" t="s">
        <v>23</v>
      </c>
      <c r="J1602" s="15" t="s">
        <v>23</v>
      </c>
      <c r="K1602" s="13">
        <f>$K$1548</f>
        <v>18.59</v>
      </c>
      <c r="L1602" s="13">
        <f>$L$1548</f>
        <v>1990.13</v>
      </c>
      <c r="M1602" s="196" t="s">
        <v>423</v>
      </c>
    </row>
    <row r="1603" spans="1:13" ht="15" customHeight="1" outlineLevel="1" x14ac:dyDescent="0.25">
      <c r="A1603" s="148"/>
      <c r="B1603" s="148"/>
      <c r="C1603" s="148"/>
      <c r="D1603" s="138"/>
      <c r="E1603" s="138"/>
      <c r="F1603" s="50">
        <v>43647</v>
      </c>
      <c r="G1603" s="50">
        <v>43830</v>
      </c>
      <c r="H1603" s="150"/>
      <c r="I1603" s="15" t="s">
        <v>23</v>
      </c>
      <c r="J1603" s="15" t="s">
        <v>23</v>
      </c>
      <c r="K1603" s="13">
        <f>$K$1549</f>
        <v>18.96</v>
      </c>
      <c r="L1603" s="13">
        <f>$L$1549</f>
        <v>2029.93</v>
      </c>
      <c r="M1603" s="198"/>
    </row>
    <row r="1604" spans="1:13" ht="15" customHeight="1" outlineLevel="1" x14ac:dyDescent="0.25">
      <c r="A1604" s="148"/>
      <c r="B1604" s="148"/>
      <c r="C1604" s="148"/>
      <c r="D1604" s="138"/>
      <c r="E1604" s="138"/>
      <c r="F1604" s="50">
        <v>43466</v>
      </c>
      <c r="G1604" s="50">
        <v>43646</v>
      </c>
      <c r="H1604" s="150"/>
      <c r="I1604" s="15" t="s">
        <v>23</v>
      </c>
      <c r="J1604" s="15" t="s">
        <v>23</v>
      </c>
      <c r="K1604" s="13">
        <f>$K$1550</f>
        <v>18.59</v>
      </c>
      <c r="L1604" s="13">
        <f>$L$1550</f>
        <v>2080.59</v>
      </c>
      <c r="M1604" s="196" t="s">
        <v>424</v>
      </c>
    </row>
    <row r="1605" spans="1:13" ht="15" customHeight="1" outlineLevel="1" x14ac:dyDescent="0.25">
      <c r="A1605" s="148"/>
      <c r="B1605" s="148"/>
      <c r="C1605" s="148"/>
      <c r="D1605" s="138"/>
      <c r="E1605" s="138"/>
      <c r="F1605" s="50">
        <v>43647</v>
      </c>
      <c r="G1605" s="50">
        <v>43830</v>
      </c>
      <c r="H1605" s="150"/>
      <c r="I1605" s="15" t="s">
        <v>23</v>
      </c>
      <c r="J1605" s="15" t="s">
        <v>23</v>
      </c>
      <c r="K1605" s="13">
        <f>$K$1551</f>
        <v>18.96</v>
      </c>
      <c r="L1605" s="13">
        <f>$L$1551</f>
        <v>2122.1999999999998</v>
      </c>
      <c r="M1605" s="198"/>
    </row>
    <row r="1606" spans="1:13" ht="15" customHeight="1" outlineLevel="1" x14ac:dyDescent="0.25">
      <c r="A1606" s="148"/>
      <c r="B1606" s="148"/>
      <c r="C1606" s="148"/>
      <c r="D1606" s="138"/>
      <c r="E1606" s="138"/>
      <c r="F1606" s="50">
        <v>43466</v>
      </c>
      <c r="G1606" s="50">
        <v>43646</v>
      </c>
      <c r="H1606" s="150"/>
      <c r="I1606" s="15" t="s">
        <v>23</v>
      </c>
      <c r="J1606" s="15" t="s">
        <v>23</v>
      </c>
      <c r="K1606" s="13">
        <f>$K$1552</f>
        <v>18.59</v>
      </c>
      <c r="L1606" s="13">
        <f>$L$1552</f>
        <v>2251.13</v>
      </c>
      <c r="M1606" s="196" t="s">
        <v>425</v>
      </c>
    </row>
    <row r="1607" spans="1:13" ht="15" customHeight="1" outlineLevel="1" x14ac:dyDescent="0.25">
      <c r="A1607" s="148"/>
      <c r="B1607" s="148"/>
      <c r="C1607" s="148"/>
      <c r="D1607" s="138"/>
      <c r="E1607" s="138"/>
      <c r="F1607" s="50">
        <v>43647</v>
      </c>
      <c r="G1607" s="50">
        <v>43830</v>
      </c>
      <c r="H1607" s="150"/>
      <c r="I1607" s="15" t="s">
        <v>23</v>
      </c>
      <c r="J1607" s="15" t="s">
        <v>23</v>
      </c>
      <c r="K1607" s="13">
        <f>$K$1553</f>
        <v>18.96</v>
      </c>
      <c r="L1607" s="13">
        <f>$L$1553</f>
        <v>2296.15</v>
      </c>
      <c r="M1607" s="198"/>
    </row>
    <row r="1608" spans="1:13" ht="15" customHeight="1" outlineLevel="1" x14ac:dyDescent="0.25">
      <c r="A1608" s="148"/>
      <c r="B1608" s="148"/>
      <c r="C1608" s="148"/>
      <c r="D1608" s="138"/>
      <c r="E1608" s="138"/>
      <c r="F1608" s="50">
        <v>43466</v>
      </c>
      <c r="G1608" s="50">
        <v>43646</v>
      </c>
      <c r="H1608" s="150"/>
      <c r="I1608" s="15" t="s">
        <v>23</v>
      </c>
      <c r="J1608" s="15" t="s">
        <v>23</v>
      </c>
      <c r="K1608" s="13">
        <f>$K$1554</f>
        <v>18.59</v>
      </c>
      <c r="L1608" s="13">
        <f>$L$1554</f>
        <v>1907.2</v>
      </c>
      <c r="M1608" s="196" t="s">
        <v>426</v>
      </c>
    </row>
    <row r="1609" spans="1:13" ht="15" customHeight="1" outlineLevel="1" x14ac:dyDescent="0.25">
      <c r="A1609" s="148"/>
      <c r="B1609" s="148"/>
      <c r="C1609" s="148"/>
      <c r="D1609" s="138"/>
      <c r="E1609" s="138"/>
      <c r="F1609" s="50">
        <v>43647</v>
      </c>
      <c r="G1609" s="50">
        <v>43830</v>
      </c>
      <c r="H1609" s="150"/>
      <c r="I1609" s="15" t="s">
        <v>23</v>
      </c>
      <c r="J1609" s="15" t="s">
        <v>23</v>
      </c>
      <c r="K1609" s="13">
        <f>$K$1555</f>
        <v>18.96</v>
      </c>
      <c r="L1609" s="13">
        <f>$L$1555</f>
        <v>1945.35</v>
      </c>
      <c r="M1609" s="198"/>
    </row>
    <row r="1610" spans="1:13" ht="15" customHeight="1" outlineLevel="1" x14ac:dyDescent="0.25">
      <c r="A1610" s="148"/>
      <c r="B1610" s="148"/>
      <c r="C1610" s="148"/>
      <c r="D1610" s="138"/>
      <c r="E1610" s="138"/>
      <c r="F1610" s="50">
        <v>43466</v>
      </c>
      <c r="G1610" s="50">
        <v>43646</v>
      </c>
      <c r="H1610" s="150"/>
      <c r="I1610" s="15" t="s">
        <v>23</v>
      </c>
      <c r="J1610" s="15" t="s">
        <v>23</v>
      </c>
      <c r="K1610" s="13">
        <f>$K$1556</f>
        <v>18.59</v>
      </c>
      <c r="L1610" s="13">
        <f>$L$1556</f>
        <v>2080.59</v>
      </c>
      <c r="M1610" s="196" t="s">
        <v>427</v>
      </c>
    </row>
    <row r="1611" spans="1:13" ht="15" customHeight="1" outlineLevel="1" x14ac:dyDescent="0.25">
      <c r="A1611" s="147"/>
      <c r="B1611" s="147"/>
      <c r="C1611" s="148"/>
      <c r="D1611" s="141"/>
      <c r="E1611" s="141"/>
      <c r="F1611" s="50">
        <v>43647</v>
      </c>
      <c r="G1611" s="50">
        <v>43830</v>
      </c>
      <c r="H1611" s="151"/>
      <c r="I1611" s="15" t="s">
        <v>23</v>
      </c>
      <c r="J1611" s="15" t="s">
        <v>23</v>
      </c>
      <c r="K1611" s="13">
        <f>$K$1557</f>
        <v>18.96</v>
      </c>
      <c r="L1611" s="13">
        <f>$L$1557</f>
        <v>2122.1999999999998</v>
      </c>
      <c r="M1611" s="198"/>
    </row>
    <row r="1612" spans="1:13" ht="15" customHeight="1" outlineLevel="1" x14ac:dyDescent="0.25">
      <c r="A1612" s="146" t="s">
        <v>62</v>
      </c>
      <c r="B1612" s="146" t="s">
        <v>391</v>
      </c>
      <c r="C1612" s="148"/>
      <c r="D1612" s="137">
        <f>$D$1540</f>
        <v>43087</v>
      </c>
      <c r="E1612" s="137" t="str">
        <f>$E$1540</f>
        <v>449-п</v>
      </c>
      <c r="F1612" s="12">
        <v>43466</v>
      </c>
      <c r="G1612" s="12">
        <v>43646</v>
      </c>
      <c r="H1612" s="149" t="str">
        <f>$H$1540</f>
        <v>от 20.12.2018 Приказ № 540-п</v>
      </c>
      <c r="I1612" s="66">
        <f>$I$1540</f>
        <v>25.61</v>
      </c>
      <c r="J1612" s="13">
        <f>$J$1540</f>
        <v>3430.52</v>
      </c>
      <c r="K1612" s="15" t="s">
        <v>23</v>
      </c>
      <c r="L1612" s="15" t="s">
        <v>23</v>
      </c>
      <c r="M1612" s="153"/>
    </row>
    <row r="1613" spans="1:13" ht="15" customHeight="1" outlineLevel="1" x14ac:dyDescent="0.25">
      <c r="A1613" s="148"/>
      <c r="B1613" s="148"/>
      <c r="C1613" s="148"/>
      <c r="D1613" s="141"/>
      <c r="E1613" s="141"/>
      <c r="F1613" s="12">
        <v>43647</v>
      </c>
      <c r="G1613" s="12">
        <v>43830</v>
      </c>
      <c r="H1613" s="151"/>
      <c r="I1613" s="66">
        <f>$I$1541</f>
        <v>25.61</v>
      </c>
      <c r="J1613" s="13">
        <f>$J$1541</f>
        <v>3430.52</v>
      </c>
      <c r="K1613" s="15" t="s">
        <v>23</v>
      </c>
      <c r="L1613" s="15" t="s">
        <v>23</v>
      </c>
      <c r="M1613" s="152"/>
    </row>
    <row r="1614" spans="1:13" ht="15" customHeight="1" outlineLevel="1" x14ac:dyDescent="0.25">
      <c r="A1614" s="148"/>
      <c r="B1614" s="148"/>
      <c r="C1614" s="148"/>
      <c r="D1614" s="137">
        <f>$D$1506</f>
        <v>43454</v>
      </c>
      <c r="E1614" s="137" t="str">
        <f>$E$1506</f>
        <v>677-п</v>
      </c>
      <c r="F1614" s="50">
        <v>43466</v>
      </c>
      <c r="G1614" s="50">
        <v>43646</v>
      </c>
      <c r="H1614" s="149"/>
      <c r="I1614" s="15" t="s">
        <v>23</v>
      </c>
      <c r="J1614" s="15" t="s">
        <v>23</v>
      </c>
      <c r="K1614" s="13">
        <f>$K$1542</f>
        <v>18.59</v>
      </c>
      <c r="L1614" s="13">
        <f>$L$1542</f>
        <v>1990.13</v>
      </c>
      <c r="M1614" s="196" t="s">
        <v>420</v>
      </c>
    </row>
    <row r="1615" spans="1:13" ht="15" customHeight="1" outlineLevel="1" x14ac:dyDescent="0.25">
      <c r="A1615" s="148"/>
      <c r="B1615" s="148"/>
      <c r="C1615" s="148"/>
      <c r="D1615" s="138"/>
      <c r="E1615" s="138"/>
      <c r="F1615" s="50">
        <v>43647</v>
      </c>
      <c r="G1615" s="50">
        <v>43830</v>
      </c>
      <c r="H1615" s="150"/>
      <c r="I1615" s="15" t="s">
        <v>23</v>
      </c>
      <c r="J1615" s="15" t="s">
        <v>23</v>
      </c>
      <c r="K1615" s="13">
        <f>$K$1543</f>
        <v>18.96</v>
      </c>
      <c r="L1615" s="13">
        <f>$L$1543</f>
        <v>2029.93</v>
      </c>
      <c r="M1615" s="198"/>
    </row>
    <row r="1616" spans="1:13" ht="15" customHeight="1" outlineLevel="1" x14ac:dyDescent="0.25">
      <c r="A1616" s="148"/>
      <c r="B1616" s="148"/>
      <c r="C1616" s="148"/>
      <c r="D1616" s="138"/>
      <c r="E1616" s="138"/>
      <c r="F1616" s="50">
        <v>43466</v>
      </c>
      <c r="G1616" s="50">
        <v>43646</v>
      </c>
      <c r="H1616" s="150"/>
      <c r="I1616" s="15" t="s">
        <v>23</v>
      </c>
      <c r="J1616" s="15" t="s">
        <v>23</v>
      </c>
      <c r="K1616" s="13">
        <f>$K$1544</f>
        <v>18.59</v>
      </c>
      <c r="L1616" s="13">
        <f>$L$1544</f>
        <v>2179.66</v>
      </c>
      <c r="M1616" s="196" t="s">
        <v>421</v>
      </c>
    </row>
    <row r="1617" spans="1:13" ht="15" customHeight="1" outlineLevel="1" x14ac:dyDescent="0.25">
      <c r="A1617" s="148"/>
      <c r="B1617" s="148"/>
      <c r="C1617" s="148"/>
      <c r="D1617" s="138"/>
      <c r="E1617" s="138"/>
      <c r="F1617" s="50">
        <v>43647</v>
      </c>
      <c r="G1617" s="50">
        <v>43830</v>
      </c>
      <c r="H1617" s="150"/>
      <c r="I1617" s="15" t="s">
        <v>23</v>
      </c>
      <c r="J1617" s="15" t="s">
        <v>23</v>
      </c>
      <c r="K1617" s="13">
        <f>$K$1545</f>
        <v>18.96</v>
      </c>
      <c r="L1617" s="13">
        <f>$L$1545</f>
        <v>2223.25</v>
      </c>
      <c r="M1617" s="198"/>
    </row>
    <row r="1618" spans="1:13" ht="15" customHeight="1" outlineLevel="1" x14ac:dyDescent="0.25">
      <c r="A1618" s="148"/>
      <c r="B1618" s="148"/>
      <c r="C1618" s="148"/>
      <c r="D1618" s="138"/>
      <c r="E1618" s="138"/>
      <c r="F1618" s="50">
        <v>43466</v>
      </c>
      <c r="G1618" s="50">
        <v>43646</v>
      </c>
      <c r="H1618" s="150"/>
      <c r="I1618" s="15" t="s">
        <v>23</v>
      </c>
      <c r="J1618" s="15" t="s">
        <v>23</v>
      </c>
      <c r="K1618" s="13">
        <f>$K$1546</f>
        <v>18.59</v>
      </c>
      <c r="L1618" s="13">
        <f>$L$1546</f>
        <v>1855.66</v>
      </c>
      <c r="M1618" s="196" t="s">
        <v>422</v>
      </c>
    </row>
    <row r="1619" spans="1:13" ht="15" customHeight="1" outlineLevel="1" x14ac:dyDescent="0.25">
      <c r="A1619" s="148"/>
      <c r="B1619" s="148"/>
      <c r="C1619" s="148"/>
      <c r="D1619" s="138"/>
      <c r="E1619" s="138"/>
      <c r="F1619" s="50">
        <v>43647</v>
      </c>
      <c r="G1619" s="50">
        <v>43830</v>
      </c>
      <c r="H1619" s="150"/>
      <c r="I1619" s="15" t="s">
        <v>23</v>
      </c>
      <c r="J1619" s="15" t="s">
        <v>23</v>
      </c>
      <c r="K1619" s="13">
        <f>$K$1547</f>
        <v>18.96</v>
      </c>
      <c r="L1619" s="13">
        <f>$L$1547</f>
        <v>1892.77</v>
      </c>
      <c r="M1619" s="198"/>
    </row>
    <row r="1620" spans="1:13" ht="15" customHeight="1" outlineLevel="1" x14ac:dyDescent="0.25">
      <c r="A1620" s="148"/>
      <c r="B1620" s="148"/>
      <c r="C1620" s="148"/>
      <c r="D1620" s="138"/>
      <c r="E1620" s="138"/>
      <c r="F1620" s="50">
        <v>43466</v>
      </c>
      <c r="G1620" s="50">
        <v>43646</v>
      </c>
      <c r="H1620" s="150"/>
      <c r="I1620" s="15" t="s">
        <v>23</v>
      </c>
      <c r="J1620" s="15" t="s">
        <v>23</v>
      </c>
      <c r="K1620" s="13">
        <f>$K$1548</f>
        <v>18.59</v>
      </c>
      <c r="L1620" s="13">
        <f>$L$1548</f>
        <v>1990.13</v>
      </c>
      <c r="M1620" s="196" t="s">
        <v>423</v>
      </c>
    </row>
    <row r="1621" spans="1:13" ht="15" customHeight="1" outlineLevel="1" x14ac:dyDescent="0.25">
      <c r="A1621" s="148"/>
      <c r="B1621" s="148"/>
      <c r="C1621" s="148"/>
      <c r="D1621" s="138"/>
      <c r="E1621" s="138"/>
      <c r="F1621" s="50">
        <v>43647</v>
      </c>
      <c r="G1621" s="50">
        <v>43830</v>
      </c>
      <c r="H1621" s="150"/>
      <c r="I1621" s="15" t="s">
        <v>23</v>
      </c>
      <c r="J1621" s="15" t="s">
        <v>23</v>
      </c>
      <c r="K1621" s="13">
        <f>$K$1549</f>
        <v>18.96</v>
      </c>
      <c r="L1621" s="13">
        <f>$L$1549</f>
        <v>2029.93</v>
      </c>
      <c r="M1621" s="198"/>
    </row>
    <row r="1622" spans="1:13" ht="15" customHeight="1" outlineLevel="1" x14ac:dyDescent="0.25">
      <c r="A1622" s="148"/>
      <c r="B1622" s="148"/>
      <c r="C1622" s="148"/>
      <c r="D1622" s="138"/>
      <c r="E1622" s="138"/>
      <c r="F1622" s="50">
        <v>43466</v>
      </c>
      <c r="G1622" s="50">
        <v>43646</v>
      </c>
      <c r="H1622" s="150"/>
      <c r="I1622" s="15" t="s">
        <v>23</v>
      </c>
      <c r="J1622" s="15" t="s">
        <v>23</v>
      </c>
      <c r="K1622" s="13">
        <f>$K$1550</f>
        <v>18.59</v>
      </c>
      <c r="L1622" s="13">
        <f>$L$1550</f>
        <v>2080.59</v>
      </c>
      <c r="M1622" s="196" t="s">
        <v>424</v>
      </c>
    </row>
    <row r="1623" spans="1:13" ht="15" customHeight="1" outlineLevel="1" x14ac:dyDescent="0.25">
      <c r="A1623" s="148"/>
      <c r="B1623" s="148"/>
      <c r="C1623" s="148"/>
      <c r="D1623" s="138"/>
      <c r="E1623" s="138"/>
      <c r="F1623" s="50">
        <v>43647</v>
      </c>
      <c r="G1623" s="50">
        <v>43830</v>
      </c>
      <c r="H1623" s="150"/>
      <c r="I1623" s="15" t="s">
        <v>23</v>
      </c>
      <c r="J1623" s="15" t="s">
        <v>23</v>
      </c>
      <c r="K1623" s="13">
        <f>$K$1551</f>
        <v>18.96</v>
      </c>
      <c r="L1623" s="13">
        <f>$L$1551</f>
        <v>2122.1999999999998</v>
      </c>
      <c r="M1623" s="198"/>
    </row>
    <row r="1624" spans="1:13" ht="15" customHeight="1" outlineLevel="1" x14ac:dyDescent="0.25">
      <c r="A1624" s="148"/>
      <c r="B1624" s="148"/>
      <c r="C1624" s="148"/>
      <c r="D1624" s="138"/>
      <c r="E1624" s="138"/>
      <c r="F1624" s="50">
        <v>43466</v>
      </c>
      <c r="G1624" s="50">
        <v>43646</v>
      </c>
      <c r="H1624" s="150"/>
      <c r="I1624" s="15" t="s">
        <v>23</v>
      </c>
      <c r="J1624" s="15" t="s">
        <v>23</v>
      </c>
      <c r="K1624" s="13">
        <f>$K$1552</f>
        <v>18.59</v>
      </c>
      <c r="L1624" s="13">
        <f>$L$1552</f>
        <v>2251.13</v>
      </c>
      <c r="M1624" s="196" t="s">
        <v>425</v>
      </c>
    </row>
    <row r="1625" spans="1:13" ht="15" customHeight="1" outlineLevel="1" x14ac:dyDescent="0.25">
      <c r="A1625" s="148"/>
      <c r="B1625" s="148"/>
      <c r="C1625" s="148"/>
      <c r="D1625" s="138"/>
      <c r="E1625" s="138"/>
      <c r="F1625" s="50">
        <v>43647</v>
      </c>
      <c r="G1625" s="50">
        <v>43830</v>
      </c>
      <c r="H1625" s="150"/>
      <c r="I1625" s="15" t="s">
        <v>23</v>
      </c>
      <c r="J1625" s="15" t="s">
        <v>23</v>
      </c>
      <c r="K1625" s="13">
        <f>$K$1553</f>
        <v>18.96</v>
      </c>
      <c r="L1625" s="13">
        <f>$L$1553</f>
        <v>2296.15</v>
      </c>
      <c r="M1625" s="198"/>
    </row>
    <row r="1626" spans="1:13" ht="15" customHeight="1" outlineLevel="1" x14ac:dyDescent="0.25">
      <c r="A1626" s="148"/>
      <c r="B1626" s="148"/>
      <c r="C1626" s="148"/>
      <c r="D1626" s="138"/>
      <c r="E1626" s="138"/>
      <c r="F1626" s="50">
        <v>43466</v>
      </c>
      <c r="G1626" s="50">
        <v>43646</v>
      </c>
      <c r="H1626" s="150"/>
      <c r="I1626" s="15" t="s">
        <v>23</v>
      </c>
      <c r="J1626" s="15" t="s">
        <v>23</v>
      </c>
      <c r="K1626" s="13">
        <f>$K$1554</f>
        <v>18.59</v>
      </c>
      <c r="L1626" s="13">
        <f>$L$1554</f>
        <v>1907.2</v>
      </c>
      <c r="M1626" s="196" t="s">
        <v>426</v>
      </c>
    </row>
    <row r="1627" spans="1:13" ht="15" customHeight="1" outlineLevel="1" x14ac:dyDescent="0.25">
      <c r="A1627" s="148"/>
      <c r="B1627" s="148"/>
      <c r="C1627" s="148"/>
      <c r="D1627" s="138"/>
      <c r="E1627" s="138"/>
      <c r="F1627" s="50">
        <v>43647</v>
      </c>
      <c r="G1627" s="50">
        <v>43830</v>
      </c>
      <c r="H1627" s="150"/>
      <c r="I1627" s="15" t="s">
        <v>23</v>
      </c>
      <c r="J1627" s="15" t="s">
        <v>23</v>
      </c>
      <c r="K1627" s="13">
        <f>$K$1555</f>
        <v>18.96</v>
      </c>
      <c r="L1627" s="13">
        <f>$L$1555</f>
        <v>1945.35</v>
      </c>
      <c r="M1627" s="198"/>
    </row>
    <row r="1628" spans="1:13" ht="15" customHeight="1" outlineLevel="1" x14ac:dyDescent="0.25">
      <c r="A1628" s="148"/>
      <c r="B1628" s="148"/>
      <c r="C1628" s="148"/>
      <c r="D1628" s="138"/>
      <c r="E1628" s="138"/>
      <c r="F1628" s="50">
        <v>43466</v>
      </c>
      <c r="G1628" s="50">
        <v>43646</v>
      </c>
      <c r="H1628" s="150"/>
      <c r="I1628" s="15" t="s">
        <v>23</v>
      </c>
      <c r="J1628" s="15" t="s">
        <v>23</v>
      </c>
      <c r="K1628" s="13">
        <f>$K$1556</f>
        <v>18.59</v>
      </c>
      <c r="L1628" s="13">
        <f>$L$1556</f>
        <v>2080.59</v>
      </c>
      <c r="M1628" s="196" t="s">
        <v>427</v>
      </c>
    </row>
    <row r="1629" spans="1:13" ht="15" customHeight="1" outlineLevel="1" x14ac:dyDescent="0.25">
      <c r="A1629" s="147"/>
      <c r="B1629" s="147"/>
      <c r="C1629" s="148"/>
      <c r="D1629" s="141"/>
      <c r="E1629" s="141"/>
      <c r="F1629" s="50">
        <v>43647</v>
      </c>
      <c r="G1629" s="50">
        <v>43830</v>
      </c>
      <c r="H1629" s="151"/>
      <c r="I1629" s="15" t="s">
        <v>23</v>
      </c>
      <c r="J1629" s="15" t="s">
        <v>23</v>
      </c>
      <c r="K1629" s="13">
        <f>$K$1557</f>
        <v>18.96</v>
      </c>
      <c r="L1629" s="13">
        <f>$L$1557</f>
        <v>2122.1999999999998</v>
      </c>
      <c r="M1629" s="198"/>
    </row>
    <row r="1630" spans="1:13" ht="15" customHeight="1" outlineLevel="1" x14ac:dyDescent="0.25">
      <c r="A1630" s="146" t="s">
        <v>62</v>
      </c>
      <c r="B1630" s="146" t="s">
        <v>392</v>
      </c>
      <c r="C1630" s="148"/>
      <c r="D1630" s="137">
        <f>$D$1540</f>
        <v>43087</v>
      </c>
      <c r="E1630" s="137" t="str">
        <f>$E$1540</f>
        <v>449-п</v>
      </c>
      <c r="F1630" s="12">
        <v>43466</v>
      </c>
      <c r="G1630" s="12">
        <v>43646</v>
      </c>
      <c r="H1630" s="149" t="str">
        <f>$H$1540</f>
        <v>от 20.12.2018 Приказ № 540-п</v>
      </c>
      <c r="I1630" s="66">
        <f>$I$1540</f>
        <v>25.61</v>
      </c>
      <c r="J1630" s="13">
        <f>$J$1540</f>
        <v>3430.52</v>
      </c>
      <c r="K1630" s="15" t="s">
        <v>23</v>
      </c>
      <c r="L1630" s="15" t="s">
        <v>23</v>
      </c>
      <c r="M1630" s="153"/>
    </row>
    <row r="1631" spans="1:13" ht="15" customHeight="1" outlineLevel="1" x14ac:dyDescent="0.25">
      <c r="A1631" s="148"/>
      <c r="B1631" s="148"/>
      <c r="C1631" s="148"/>
      <c r="D1631" s="141"/>
      <c r="E1631" s="141"/>
      <c r="F1631" s="12">
        <v>43647</v>
      </c>
      <c r="G1631" s="12">
        <v>43830</v>
      </c>
      <c r="H1631" s="151"/>
      <c r="I1631" s="66">
        <f>$I$1541</f>
        <v>25.61</v>
      </c>
      <c r="J1631" s="13">
        <f>$J$1541</f>
        <v>3430.52</v>
      </c>
      <c r="K1631" s="15" t="s">
        <v>23</v>
      </c>
      <c r="L1631" s="15" t="s">
        <v>23</v>
      </c>
      <c r="M1631" s="152"/>
    </row>
    <row r="1632" spans="1:13" ht="15" customHeight="1" outlineLevel="1" x14ac:dyDescent="0.25">
      <c r="A1632" s="148"/>
      <c r="B1632" s="148"/>
      <c r="C1632" s="148"/>
      <c r="D1632" s="137">
        <f>$D$1506</f>
        <v>43454</v>
      </c>
      <c r="E1632" s="137" t="str">
        <f>$E$1506</f>
        <v>677-п</v>
      </c>
      <c r="F1632" s="50">
        <v>43466</v>
      </c>
      <c r="G1632" s="50">
        <v>43646</v>
      </c>
      <c r="H1632" s="149"/>
      <c r="I1632" s="15" t="s">
        <v>23</v>
      </c>
      <c r="J1632" s="15" t="s">
        <v>23</v>
      </c>
      <c r="K1632" s="13">
        <f>$K$1542</f>
        <v>18.59</v>
      </c>
      <c r="L1632" s="13">
        <f>$L$1542</f>
        <v>1990.13</v>
      </c>
      <c r="M1632" s="196" t="s">
        <v>420</v>
      </c>
    </row>
    <row r="1633" spans="1:13" ht="15" customHeight="1" outlineLevel="1" x14ac:dyDescent="0.25">
      <c r="A1633" s="148"/>
      <c r="B1633" s="148"/>
      <c r="C1633" s="148"/>
      <c r="D1633" s="138"/>
      <c r="E1633" s="138"/>
      <c r="F1633" s="50">
        <v>43647</v>
      </c>
      <c r="G1633" s="50">
        <v>43830</v>
      </c>
      <c r="H1633" s="150"/>
      <c r="I1633" s="15" t="s">
        <v>23</v>
      </c>
      <c r="J1633" s="15" t="s">
        <v>23</v>
      </c>
      <c r="K1633" s="13">
        <f>$K$1543</f>
        <v>18.96</v>
      </c>
      <c r="L1633" s="13">
        <f>$L$1543</f>
        <v>2029.93</v>
      </c>
      <c r="M1633" s="198"/>
    </row>
    <row r="1634" spans="1:13" ht="15" customHeight="1" outlineLevel="1" x14ac:dyDescent="0.25">
      <c r="A1634" s="148"/>
      <c r="B1634" s="148"/>
      <c r="C1634" s="148"/>
      <c r="D1634" s="138"/>
      <c r="E1634" s="138"/>
      <c r="F1634" s="50">
        <v>43466</v>
      </c>
      <c r="G1634" s="50">
        <v>43646</v>
      </c>
      <c r="H1634" s="150"/>
      <c r="I1634" s="15" t="s">
        <v>23</v>
      </c>
      <c r="J1634" s="15" t="s">
        <v>23</v>
      </c>
      <c r="K1634" s="13">
        <f>$K$1544</f>
        <v>18.59</v>
      </c>
      <c r="L1634" s="13">
        <f>$L$1544</f>
        <v>2179.66</v>
      </c>
      <c r="M1634" s="196" t="s">
        <v>421</v>
      </c>
    </row>
    <row r="1635" spans="1:13" ht="15" customHeight="1" outlineLevel="1" x14ac:dyDescent="0.25">
      <c r="A1635" s="148"/>
      <c r="B1635" s="148"/>
      <c r="C1635" s="148"/>
      <c r="D1635" s="138"/>
      <c r="E1635" s="138"/>
      <c r="F1635" s="50">
        <v>43647</v>
      </c>
      <c r="G1635" s="50">
        <v>43830</v>
      </c>
      <c r="H1635" s="150"/>
      <c r="I1635" s="15" t="s">
        <v>23</v>
      </c>
      <c r="J1635" s="15" t="s">
        <v>23</v>
      </c>
      <c r="K1635" s="13">
        <f>$K$1545</f>
        <v>18.96</v>
      </c>
      <c r="L1635" s="13">
        <f>$L$1545</f>
        <v>2223.25</v>
      </c>
      <c r="M1635" s="198"/>
    </row>
    <row r="1636" spans="1:13" ht="15" customHeight="1" outlineLevel="1" x14ac:dyDescent="0.25">
      <c r="A1636" s="148"/>
      <c r="B1636" s="148"/>
      <c r="C1636" s="148"/>
      <c r="D1636" s="138"/>
      <c r="E1636" s="138"/>
      <c r="F1636" s="50">
        <v>43466</v>
      </c>
      <c r="G1636" s="50">
        <v>43646</v>
      </c>
      <c r="H1636" s="150"/>
      <c r="I1636" s="15" t="s">
        <v>23</v>
      </c>
      <c r="J1636" s="15" t="s">
        <v>23</v>
      </c>
      <c r="K1636" s="13">
        <f>$K$1546</f>
        <v>18.59</v>
      </c>
      <c r="L1636" s="13">
        <f>$L$1546</f>
        <v>1855.66</v>
      </c>
      <c r="M1636" s="196" t="s">
        <v>422</v>
      </c>
    </row>
    <row r="1637" spans="1:13" ht="15" customHeight="1" outlineLevel="1" x14ac:dyDescent="0.25">
      <c r="A1637" s="148"/>
      <c r="B1637" s="148"/>
      <c r="C1637" s="148"/>
      <c r="D1637" s="138"/>
      <c r="E1637" s="138"/>
      <c r="F1637" s="50">
        <v>43647</v>
      </c>
      <c r="G1637" s="50">
        <v>43830</v>
      </c>
      <c r="H1637" s="150"/>
      <c r="I1637" s="15" t="s">
        <v>23</v>
      </c>
      <c r="J1637" s="15" t="s">
        <v>23</v>
      </c>
      <c r="K1637" s="13">
        <f>$K$1547</f>
        <v>18.96</v>
      </c>
      <c r="L1637" s="13">
        <f>$L$1547</f>
        <v>1892.77</v>
      </c>
      <c r="M1637" s="198"/>
    </row>
    <row r="1638" spans="1:13" ht="15" customHeight="1" outlineLevel="1" x14ac:dyDescent="0.25">
      <c r="A1638" s="148"/>
      <c r="B1638" s="148"/>
      <c r="C1638" s="148"/>
      <c r="D1638" s="138"/>
      <c r="E1638" s="138"/>
      <c r="F1638" s="50">
        <v>43466</v>
      </c>
      <c r="G1638" s="50">
        <v>43646</v>
      </c>
      <c r="H1638" s="150"/>
      <c r="I1638" s="15" t="s">
        <v>23</v>
      </c>
      <c r="J1638" s="15" t="s">
        <v>23</v>
      </c>
      <c r="K1638" s="13">
        <f>$K$1548</f>
        <v>18.59</v>
      </c>
      <c r="L1638" s="13">
        <f>$L$1548</f>
        <v>1990.13</v>
      </c>
      <c r="M1638" s="196" t="s">
        <v>423</v>
      </c>
    </row>
    <row r="1639" spans="1:13" ht="15" customHeight="1" outlineLevel="1" x14ac:dyDescent="0.25">
      <c r="A1639" s="148"/>
      <c r="B1639" s="148"/>
      <c r="C1639" s="148"/>
      <c r="D1639" s="138"/>
      <c r="E1639" s="138"/>
      <c r="F1639" s="50">
        <v>43647</v>
      </c>
      <c r="G1639" s="50">
        <v>43830</v>
      </c>
      <c r="H1639" s="150"/>
      <c r="I1639" s="15" t="s">
        <v>23</v>
      </c>
      <c r="J1639" s="15" t="s">
        <v>23</v>
      </c>
      <c r="K1639" s="13">
        <f>$K$1549</f>
        <v>18.96</v>
      </c>
      <c r="L1639" s="13">
        <f>$L$1549</f>
        <v>2029.93</v>
      </c>
      <c r="M1639" s="198"/>
    </row>
    <row r="1640" spans="1:13" ht="15" customHeight="1" outlineLevel="1" x14ac:dyDescent="0.25">
      <c r="A1640" s="148"/>
      <c r="B1640" s="148"/>
      <c r="C1640" s="148"/>
      <c r="D1640" s="138"/>
      <c r="E1640" s="138"/>
      <c r="F1640" s="50">
        <v>43466</v>
      </c>
      <c r="G1640" s="50">
        <v>43646</v>
      </c>
      <c r="H1640" s="150"/>
      <c r="I1640" s="15" t="s">
        <v>23</v>
      </c>
      <c r="J1640" s="15" t="s">
        <v>23</v>
      </c>
      <c r="K1640" s="13">
        <f>$K$1550</f>
        <v>18.59</v>
      </c>
      <c r="L1640" s="13">
        <f>$L$1550</f>
        <v>2080.59</v>
      </c>
      <c r="M1640" s="196" t="s">
        <v>424</v>
      </c>
    </row>
    <row r="1641" spans="1:13" ht="15" customHeight="1" outlineLevel="1" x14ac:dyDescent="0.25">
      <c r="A1641" s="148"/>
      <c r="B1641" s="148"/>
      <c r="C1641" s="148"/>
      <c r="D1641" s="138"/>
      <c r="E1641" s="138"/>
      <c r="F1641" s="50">
        <v>43647</v>
      </c>
      <c r="G1641" s="50">
        <v>43830</v>
      </c>
      <c r="H1641" s="150"/>
      <c r="I1641" s="15" t="s">
        <v>23</v>
      </c>
      <c r="J1641" s="15" t="s">
        <v>23</v>
      </c>
      <c r="K1641" s="13">
        <f>$K$1551</f>
        <v>18.96</v>
      </c>
      <c r="L1641" s="13">
        <f>$L$1551</f>
        <v>2122.1999999999998</v>
      </c>
      <c r="M1641" s="198"/>
    </row>
    <row r="1642" spans="1:13" ht="15" customHeight="1" outlineLevel="1" x14ac:dyDescent="0.25">
      <c r="A1642" s="148"/>
      <c r="B1642" s="148"/>
      <c r="C1642" s="148"/>
      <c r="D1642" s="138"/>
      <c r="E1642" s="138"/>
      <c r="F1642" s="50">
        <v>43466</v>
      </c>
      <c r="G1642" s="50">
        <v>43646</v>
      </c>
      <c r="H1642" s="150"/>
      <c r="I1642" s="15" t="s">
        <v>23</v>
      </c>
      <c r="J1642" s="15" t="s">
        <v>23</v>
      </c>
      <c r="K1642" s="13">
        <f>$K$1552</f>
        <v>18.59</v>
      </c>
      <c r="L1642" s="13">
        <f>$L$1552</f>
        <v>2251.13</v>
      </c>
      <c r="M1642" s="196" t="s">
        <v>425</v>
      </c>
    </row>
    <row r="1643" spans="1:13" ht="15" customHeight="1" outlineLevel="1" x14ac:dyDescent="0.25">
      <c r="A1643" s="148"/>
      <c r="B1643" s="148"/>
      <c r="C1643" s="148"/>
      <c r="D1643" s="138"/>
      <c r="E1643" s="138"/>
      <c r="F1643" s="50">
        <v>43647</v>
      </c>
      <c r="G1643" s="50">
        <v>43830</v>
      </c>
      <c r="H1643" s="150"/>
      <c r="I1643" s="15" t="s">
        <v>23</v>
      </c>
      <c r="J1643" s="15" t="s">
        <v>23</v>
      </c>
      <c r="K1643" s="13">
        <f>$K$1553</f>
        <v>18.96</v>
      </c>
      <c r="L1643" s="13">
        <f>$L$1553</f>
        <v>2296.15</v>
      </c>
      <c r="M1643" s="198"/>
    </row>
    <row r="1644" spans="1:13" ht="15" customHeight="1" outlineLevel="1" x14ac:dyDescent="0.25">
      <c r="A1644" s="148"/>
      <c r="B1644" s="148"/>
      <c r="C1644" s="148"/>
      <c r="D1644" s="138"/>
      <c r="E1644" s="138"/>
      <c r="F1644" s="50">
        <v>43466</v>
      </c>
      <c r="G1644" s="50">
        <v>43646</v>
      </c>
      <c r="H1644" s="150"/>
      <c r="I1644" s="15" t="s">
        <v>23</v>
      </c>
      <c r="J1644" s="15" t="s">
        <v>23</v>
      </c>
      <c r="K1644" s="13">
        <f>$K$1554</f>
        <v>18.59</v>
      </c>
      <c r="L1644" s="13">
        <f>$L$1554</f>
        <v>1907.2</v>
      </c>
      <c r="M1644" s="196" t="s">
        <v>426</v>
      </c>
    </row>
    <row r="1645" spans="1:13" ht="15" customHeight="1" outlineLevel="1" x14ac:dyDescent="0.25">
      <c r="A1645" s="148"/>
      <c r="B1645" s="148"/>
      <c r="C1645" s="148"/>
      <c r="D1645" s="138"/>
      <c r="E1645" s="138"/>
      <c r="F1645" s="50">
        <v>43647</v>
      </c>
      <c r="G1645" s="50">
        <v>43830</v>
      </c>
      <c r="H1645" s="150"/>
      <c r="I1645" s="15" t="s">
        <v>23</v>
      </c>
      <c r="J1645" s="15" t="s">
        <v>23</v>
      </c>
      <c r="K1645" s="13">
        <f>$K$1555</f>
        <v>18.96</v>
      </c>
      <c r="L1645" s="13">
        <f>$L$1555</f>
        <v>1945.35</v>
      </c>
      <c r="M1645" s="198"/>
    </row>
    <row r="1646" spans="1:13" ht="15" customHeight="1" outlineLevel="1" x14ac:dyDescent="0.25">
      <c r="A1646" s="148"/>
      <c r="B1646" s="148"/>
      <c r="C1646" s="148"/>
      <c r="D1646" s="138"/>
      <c r="E1646" s="138"/>
      <c r="F1646" s="50">
        <v>43466</v>
      </c>
      <c r="G1646" s="50">
        <v>43646</v>
      </c>
      <c r="H1646" s="150"/>
      <c r="I1646" s="15" t="s">
        <v>23</v>
      </c>
      <c r="J1646" s="15" t="s">
        <v>23</v>
      </c>
      <c r="K1646" s="13">
        <f>$K$1556</f>
        <v>18.59</v>
      </c>
      <c r="L1646" s="13">
        <f>$L$1556</f>
        <v>2080.59</v>
      </c>
      <c r="M1646" s="196" t="s">
        <v>427</v>
      </c>
    </row>
    <row r="1647" spans="1:13" ht="15" customHeight="1" outlineLevel="1" x14ac:dyDescent="0.25">
      <c r="A1647" s="147"/>
      <c r="B1647" s="147"/>
      <c r="C1647" s="148"/>
      <c r="D1647" s="141"/>
      <c r="E1647" s="141"/>
      <c r="F1647" s="50">
        <v>43647</v>
      </c>
      <c r="G1647" s="50">
        <v>43830</v>
      </c>
      <c r="H1647" s="151"/>
      <c r="I1647" s="15" t="s">
        <v>23</v>
      </c>
      <c r="J1647" s="15" t="s">
        <v>23</v>
      </c>
      <c r="K1647" s="13">
        <f>$K$1557</f>
        <v>18.96</v>
      </c>
      <c r="L1647" s="13">
        <f>$L$1557</f>
        <v>2122.1999999999998</v>
      </c>
      <c r="M1647" s="198"/>
    </row>
    <row r="1648" spans="1:13" ht="15" customHeight="1" outlineLevel="1" x14ac:dyDescent="0.25">
      <c r="A1648" s="146" t="s">
        <v>62</v>
      </c>
      <c r="B1648" s="146" t="s">
        <v>393</v>
      </c>
      <c r="C1648" s="148"/>
      <c r="D1648" s="137">
        <f>$D$1540</f>
        <v>43087</v>
      </c>
      <c r="E1648" s="137" t="str">
        <f>$E$1540</f>
        <v>449-п</v>
      </c>
      <c r="F1648" s="12">
        <v>43466</v>
      </c>
      <c r="G1648" s="12">
        <v>43646</v>
      </c>
      <c r="H1648" s="149" t="str">
        <f>$H$1540</f>
        <v>от 20.12.2018 Приказ № 540-п</v>
      </c>
      <c r="I1648" s="66">
        <f>$I$1540</f>
        <v>25.61</v>
      </c>
      <c r="J1648" s="13">
        <f>$J$1540</f>
        <v>3430.52</v>
      </c>
      <c r="K1648" s="15" t="s">
        <v>23</v>
      </c>
      <c r="L1648" s="15" t="s">
        <v>23</v>
      </c>
      <c r="M1648" s="153"/>
    </row>
    <row r="1649" spans="1:13" ht="15" customHeight="1" outlineLevel="1" x14ac:dyDescent="0.25">
      <c r="A1649" s="148"/>
      <c r="B1649" s="148"/>
      <c r="C1649" s="148"/>
      <c r="D1649" s="141"/>
      <c r="E1649" s="141"/>
      <c r="F1649" s="12">
        <v>43647</v>
      </c>
      <c r="G1649" s="12">
        <v>43830</v>
      </c>
      <c r="H1649" s="151"/>
      <c r="I1649" s="66">
        <f>$I$1541</f>
        <v>25.61</v>
      </c>
      <c r="J1649" s="13">
        <f>$J$1541</f>
        <v>3430.52</v>
      </c>
      <c r="K1649" s="15" t="s">
        <v>23</v>
      </c>
      <c r="L1649" s="15" t="s">
        <v>23</v>
      </c>
      <c r="M1649" s="152"/>
    </row>
    <row r="1650" spans="1:13" ht="15" customHeight="1" outlineLevel="1" x14ac:dyDescent="0.25">
      <c r="A1650" s="148"/>
      <c r="B1650" s="148"/>
      <c r="C1650" s="148"/>
      <c r="D1650" s="137">
        <f>$D$1506</f>
        <v>43454</v>
      </c>
      <c r="E1650" s="137" t="str">
        <f>$E$1506</f>
        <v>677-п</v>
      </c>
      <c r="F1650" s="50">
        <v>43466</v>
      </c>
      <c r="G1650" s="50">
        <v>43646</v>
      </c>
      <c r="H1650" s="149"/>
      <c r="I1650" s="15" t="s">
        <v>23</v>
      </c>
      <c r="J1650" s="15" t="s">
        <v>23</v>
      </c>
      <c r="K1650" s="13">
        <f>$K$1542</f>
        <v>18.59</v>
      </c>
      <c r="L1650" s="13">
        <f>$L$1542</f>
        <v>1990.13</v>
      </c>
      <c r="M1650" s="196" t="s">
        <v>420</v>
      </c>
    </row>
    <row r="1651" spans="1:13" ht="15" customHeight="1" outlineLevel="1" x14ac:dyDescent="0.25">
      <c r="A1651" s="148"/>
      <c r="B1651" s="148"/>
      <c r="C1651" s="148"/>
      <c r="D1651" s="138"/>
      <c r="E1651" s="138"/>
      <c r="F1651" s="50">
        <v>43647</v>
      </c>
      <c r="G1651" s="50">
        <v>43830</v>
      </c>
      <c r="H1651" s="150"/>
      <c r="I1651" s="15" t="s">
        <v>23</v>
      </c>
      <c r="J1651" s="15" t="s">
        <v>23</v>
      </c>
      <c r="K1651" s="13">
        <f>$K$1543</f>
        <v>18.96</v>
      </c>
      <c r="L1651" s="13">
        <f>$L$1543</f>
        <v>2029.93</v>
      </c>
      <c r="M1651" s="198"/>
    </row>
    <row r="1652" spans="1:13" ht="15" customHeight="1" outlineLevel="1" x14ac:dyDescent="0.25">
      <c r="A1652" s="148"/>
      <c r="B1652" s="148"/>
      <c r="C1652" s="148"/>
      <c r="D1652" s="138"/>
      <c r="E1652" s="138"/>
      <c r="F1652" s="50">
        <v>43466</v>
      </c>
      <c r="G1652" s="50">
        <v>43646</v>
      </c>
      <c r="H1652" s="150"/>
      <c r="I1652" s="15" t="s">
        <v>23</v>
      </c>
      <c r="J1652" s="15" t="s">
        <v>23</v>
      </c>
      <c r="K1652" s="13">
        <f>$K$1544</f>
        <v>18.59</v>
      </c>
      <c r="L1652" s="13">
        <f>$L$1544</f>
        <v>2179.66</v>
      </c>
      <c r="M1652" s="196" t="s">
        <v>421</v>
      </c>
    </row>
    <row r="1653" spans="1:13" ht="15" customHeight="1" outlineLevel="1" x14ac:dyDescent="0.25">
      <c r="A1653" s="148"/>
      <c r="B1653" s="148"/>
      <c r="C1653" s="148"/>
      <c r="D1653" s="138"/>
      <c r="E1653" s="138"/>
      <c r="F1653" s="50">
        <v>43647</v>
      </c>
      <c r="G1653" s="50">
        <v>43830</v>
      </c>
      <c r="H1653" s="150"/>
      <c r="I1653" s="15" t="s">
        <v>23</v>
      </c>
      <c r="J1653" s="15" t="s">
        <v>23</v>
      </c>
      <c r="K1653" s="13">
        <f>$K$1545</f>
        <v>18.96</v>
      </c>
      <c r="L1653" s="13">
        <f>$L$1545</f>
        <v>2223.25</v>
      </c>
      <c r="M1653" s="198"/>
    </row>
    <row r="1654" spans="1:13" ht="15" customHeight="1" outlineLevel="1" x14ac:dyDescent="0.25">
      <c r="A1654" s="148"/>
      <c r="B1654" s="148"/>
      <c r="C1654" s="148"/>
      <c r="D1654" s="138"/>
      <c r="E1654" s="138"/>
      <c r="F1654" s="50">
        <v>43466</v>
      </c>
      <c r="G1654" s="50">
        <v>43646</v>
      </c>
      <c r="H1654" s="150"/>
      <c r="I1654" s="15" t="s">
        <v>23</v>
      </c>
      <c r="J1654" s="15" t="s">
        <v>23</v>
      </c>
      <c r="K1654" s="13">
        <f>$K$1546</f>
        <v>18.59</v>
      </c>
      <c r="L1654" s="13">
        <f>$L$1546</f>
        <v>1855.66</v>
      </c>
      <c r="M1654" s="196" t="s">
        <v>422</v>
      </c>
    </row>
    <row r="1655" spans="1:13" ht="15" customHeight="1" outlineLevel="1" x14ac:dyDescent="0.25">
      <c r="A1655" s="148"/>
      <c r="B1655" s="148"/>
      <c r="C1655" s="148"/>
      <c r="D1655" s="138"/>
      <c r="E1655" s="138"/>
      <c r="F1655" s="50">
        <v>43647</v>
      </c>
      <c r="G1655" s="50">
        <v>43830</v>
      </c>
      <c r="H1655" s="150"/>
      <c r="I1655" s="15" t="s">
        <v>23</v>
      </c>
      <c r="J1655" s="15" t="s">
        <v>23</v>
      </c>
      <c r="K1655" s="13">
        <f>$K$1547</f>
        <v>18.96</v>
      </c>
      <c r="L1655" s="13">
        <f>$L$1547</f>
        <v>1892.77</v>
      </c>
      <c r="M1655" s="198"/>
    </row>
    <row r="1656" spans="1:13" ht="15" customHeight="1" outlineLevel="1" x14ac:dyDescent="0.25">
      <c r="A1656" s="148"/>
      <c r="B1656" s="148"/>
      <c r="C1656" s="148"/>
      <c r="D1656" s="138"/>
      <c r="E1656" s="138"/>
      <c r="F1656" s="50">
        <v>43466</v>
      </c>
      <c r="G1656" s="50">
        <v>43646</v>
      </c>
      <c r="H1656" s="150"/>
      <c r="I1656" s="15" t="s">
        <v>23</v>
      </c>
      <c r="J1656" s="15" t="s">
        <v>23</v>
      </c>
      <c r="K1656" s="13">
        <f>$K$1548</f>
        <v>18.59</v>
      </c>
      <c r="L1656" s="13">
        <f>$L$1548</f>
        <v>1990.13</v>
      </c>
      <c r="M1656" s="196" t="s">
        <v>423</v>
      </c>
    </row>
    <row r="1657" spans="1:13" ht="15" customHeight="1" outlineLevel="1" x14ac:dyDescent="0.25">
      <c r="A1657" s="148"/>
      <c r="B1657" s="148"/>
      <c r="C1657" s="148"/>
      <c r="D1657" s="138"/>
      <c r="E1657" s="138"/>
      <c r="F1657" s="50">
        <v>43647</v>
      </c>
      <c r="G1657" s="50">
        <v>43830</v>
      </c>
      <c r="H1657" s="150"/>
      <c r="I1657" s="15" t="s">
        <v>23</v>
      </c>
      <c r="J1657" s="15" t="s">
        <v>23</v>
      </c>
      <c r="K1657" s="13">
        <f>$K$1549</f>
        <v>18.96</v>
      </c>
      <c r="L1657" s="13">
        <f>$L$1549</f>
        <v>2029.93</v>
      </c>
      <c r="M1657" s="198"/>
    </row>
    <row r="1658" spans="1:13" ht="15" customHeight="1" outlineLevel="1" x14ac:dyDescent="0.25">
      <c r="A1658" s="148"/>
      <c r="B1658" s="148"/>
      <c r="C1658" s="148"/>
      <c r="D1658" s="138"/>
      <c r="E1658" s="138"/>
      <c r="F1658" s="50">
        <v>43466</v>
      </c>
      <c r="G1658" s="50">
        <v>43646</v>
      </c>
      <c r="H1658" s="150"/>
      <c r="I1658" s="15" t="s">
        <v>23</v>
      </c>
      <c r="J1658" s="15" t="s">
        <v>23</v>
      </c>
      <c r="K1658" s="13">
        <f>$K$1550</f>
        <v>18.59</v>
      </c>
      <c r="L1658" s="13">
        <f>$L$1550</f>
        <v>2080.59</v>
      </c>
      <c r="M1658" s="196" t="s">
        <v>424</v>
      </c>
    </row>
    <row r="1659" spans="1:13" ht="15" customHeight="1" outlineLevel="1" x14ac:dyDescent="0.25">
      <c r="A1659" s="148"/>
      <c r="B1659" s="148"/>
      <c r="C1659" s="148"/>
      <c r="D1659" s="138"/>
      <c r="E1659" s="138"/>
      <c r="F1659" s="50">
        <v>43647</v>
      </c>
      <c r="G1659" s="50">
        <v>43830</v>
      </c>
      <c r="H1659" s="150"/>
      <c r="I1659" s="15" t="s">
        <v>23</v>
      </c>
      <c r="J1659" s="15" t="s">
        <v>23</v>
      </c>
      <c r="K1659" s="13">
        <f>$K$1551</f>
        <v>18.96</v>
      </c>
      <c r="L1659" s="13">
        <f>$L$1551</f>
        <v>2122.1999999999998</v>
      </c>
      <c r="M1659" s="198"/>
    </row>
    <row r="1660" spans="1:13" ht="15" customHeight="1" outlineLevel="1" x14ac:dyDescent="0.25">
      <c r="A1660" s="148"/>
      <c r="B1660" s="148"/>
      <c r="C1660" s="148"/>
      <c r="D1660" s="138"/>
      <c r="E1660" s="138"/>
      <c r="F1660" s="50">
        <v>43466</v>
      </c>
      <c r="G1660" s="50">
        <v>43646</v>
      </c>
      <c r="H1660" s="150"/>
      <c r="I1660" s="15" t="s">
        <v>23</v>
      </c>
      <c r="J1660" s="15" t="s">
        <v>23</v>
      </c>
      <c r="K1660" s="13">
        <f>$K$1552</f>
        <v>18.59</v>
      </c>
      <c r="L1660" s="13">
        <f>$L$1552</f>
        <v>2251.13</v>
      </c>
      <c r="M1660" s="196" t="s">
        <v>425</v>
      </c>
    </row>
    <row r="1661" spans="1:13" ht="15" customHeight="1" outlineLevel="1" x14ac:dyDescent="0.25">
      <c r="A1661" s="148"/>
      <c r="B1661" s="148"/>
      <c r="C1661" s="148"/>
      <c r="D1661" s="138"/>
      <c r="E1661" s="138"/>
      <c r="F1661" s="50">
        <v>43647</v>
      </c>
      <c r="G1661" s="50">
        <v>43830</v>
      </c>
      <c r="H1661" s="150"/>
      <c r="I1661" s="15" t="s">
        <v>23</v>
      </c>
      <c r="J1661" s="15" t="s">
        <v>23</v>
      </c>
      <c r="K1661" s="13">
        <f>$K$1553</f>
        <v>18.96</v>
      </c>
      <c r="L1661" s="13">
        <f>$L$1553</f>
        <v>2296.15</v>
      </c>
      <c r="M1661" s="198"/>
    </row>
    <row r="1662" spans="1:13" ht="15" customHeight="1" outlineLevel="1" x14ac:dyDescent="0.25">
      <c r="A1662" s="148"/>
      <c r="B1662" s="148"/>
      <c r="C1662" s="148"/>
      <c r="D1662" s="138"/>
      <c r="E1662" s="138"/>
      <c r="F1662" s="50">
        <v>43466</v>
      </c>
      <c r="G1662" s="50">
        <v>43646</v>
      </c>
      <c r="H1662" s="150"/>
      <c r="I1662" s="15" t="s">
        <v>23</v>
      </c>
      <c r="J1662" s="15" t="s">
        <v>23</v>
      </c>
      <c r="K1662" s="13">
        <f>$K$1554</f>
        <v>18.59</v>
      </c>
      <c r="L1662" s="13">
        <f>$L$1554</f>
        <v>1907.2</v>
      </c>
      <c r="M1662" s="196" t="s">
        <v>426</v>
      </c>
    </row>
    <row r="1663" spans="1:13" ht="15" customHeight="1" outlineLevel="1" x14ac:dyDescent="0.25">
      <c r="A1663" s="148"/>
      <c r="B1663" s="148"/>
      <c r="C1663" s="148"/>
      <c r="D1663" s="138"/>
      <c r="E1663" s="138"/>
      <c r="F1663" s="50">
        <v>43647</v>
      </c>
      <c r="G1663" s="50">
        <v>43830</v>
      </c>
      <c r="H1663" s="150"/>
      <c r="I1663" s="15" t="s">
        <v>23</v>
      </c>
      <c r="J1663" s="15" t="s">
        <v>23</v>
      </c>
      <c r="K1663" s="13">
        <f>$K$1555</f>
        <v>18.96</v>
      </c>
      <c r="L1663" s="13">
        <f>$L$1555</f>
        <v>1945.35</v>
      </c>
      <c r="M1663" s="198"/>
    </row>
    <row r="1664" spans="1:13" ht="15" customHeight="1" outlineLevel="1" x14ac:dyDescent="0.25">
      <c r="A1664" s="148"/>
      <c r="B1664" s="148"/>
      <c r="C1664" s="148"/>
      <c r="D1664" s="138"/>
      <c r="E1664" s="138"/>
      <c r="F1664" s="50">
        <v>43466</v>
      </c>
      <c r="G1664" s="50">
        <v>43646</v>
      </c>
      <c r="H1664" s="150"/>
      <c r="I1664" s="15" t="s">
        <v>23</v>
      </c>
      <c r="J1664" s="15" t="s">
        <v>23</v>
      </c>
      <c r="K1664" s="13">
        <f>$K$1556</f>
        <v>18.59</v>
      </c>
      <c r="L1664" s="13">
        <f>$L$1556</f>
        <v>2080.59</v>
      </c>
      <c r="M1664" s="196" t="s">
        <v>427</v>
      </c>
    </row>
    <row r="1665" spans="1:13" ht="15" customHeight="1" outlineLevel="1" x14ac:dyDescent="0.25">
      <c r="A1665" s="147"/>
      <c r="B1665" s="147"/>
      <c r="C1665" s="148"/>
      <c r="D1665" s="141"/>
      <c r="E1665" s="141"/>
      <c r="F1665" s="50">
        <v>43647</v>
      </c>
      <c r="G1665" s="50">
        <v>43830</v>
      </c>
      <c r="H1665" s="151"/>
      <c r="I1665" s="15" t="s">
        <v>23</v>
      </c>
      <c r="J1665" s="15" t="s">
        <v>23</v>
      </c>
      <c r="K1665" s="13">
        <f>$K$1557</f>
        <v>18.96</v>
      </c>
      <c r="L1665" s="13">
        <f>$L$1557</f>
        <v>2122.1999999999998</v>
      </c>
      <c r="M1665" s="198"/>
    </row>
    <row r="1666" spans="1:13" ht="15" customHeight="1" outlineLevel="1" x14ac:dyDescent="0.25">
      <c r="A1666" s="146" t="s">
        <v>62</v>
      </c>
      <c r="B1666" s="146" t="s">
        <v>573</v>
      </c>
      <c r="C1666" s="148"/>
      <c r="D1666" s="137">
        <f>$D$1540</f>
        <v>43087</v>
      </c>
      <c r="E1666" s="137" t="str">
        <f>$E$1540</f>
        <v>449-п</v>
      </c>
      <c r="F1666" s="12">
        <v>43466</v>
      </c>
      <c r="G1666" s="12">
        <v>43646</v>
      </c>
      <c r="H1666" s="149" t="str">
        <f>$H$1540</f>
        <v>от 20.12.2018 Приказ № 540-п</v>
      </c>
      <c r="I1666" s="66">
        <f>$I$1540</f>
        <v>25.61</v>
      </c>
      <c r="J1666" s="13">
        <f>$J$1540</f>
        <v>3430.52</v>
      </c>
      <c r="K1666" s="15" t="s">
        <v>23</v>
      </c>
      <c r="L1666" s="15" t="s">
        <v>23</v>
      </c>
      <c r="M1666" s="153"/>
    </row>
    <row r="1667" spans="1:13" ht="15" customHeight="1" outlineLevel="1" x14ac:dyDescent="0.25">
      <c r="A1667" s="148"/>
      <c r="B1667" s="148"/>
      <c r="C1667" s="148"/>
      <c r="D1667" s="141"/>
      <c r="E1667" s="141"/>
      <c r="F1667" s="12">
        <v>43647</v>
      </c>
      <c r="G1667" s="12">
        <v>43830</v>
      </c>
      <c r="H1667" s="151"/>
      <c r="I1667" s="66">
        <f>$I$1541</f>
        <v>25.61</v>
      </c>
      <c r="J1667" s="13">
        <f>$J$1541</f>
        <v>3430.52</v>
      </c>
      <c r="K1667" s="15" t="s">
        <v>23</v>
      </c>
      <c r="L1667" s="15" t="s">
        <v>23</v>
      </c>
      <c r="M1667" s="152"/>
    </row>
    <row r="1668" spans="1:13" ht="15" customHeight="1" outlineLevel="1" x14ac:dyDescent="0.25">
      <c r="A1668" s="148"/>
      <c r="B1668" s="148"/>
      <c r="C1668" s="148"/>
      <c r="D1668" s="137">
        <f>$D$1506</f>
        <v>43454</v>
      </c>
      <c r="E1668" s="137" t="str">
        <f>$E$1506</f>
        <v>677-п</v>
      </c>
      <c r="F1668" s="50">
        <v>43466</v>
      </c>
      <c r="G1668" s="50">
        <v>43646</v>
      </c>
      <c r="H1668" s="149"/>
      <c r="I1668" s="15" t="s">
        <v>23</v>
      </c>
      <c r="J1668" s="15" t="s">
        <v>23</v>
      </c>
      <c r="K1668" s="13">
        <f>$K$1542</f>
        <v>18.59</v>
      </c>
      <c r="L1668" s="13">
        <f>$L$1542</f>
        <v>1990.13</v>
      </c>
      <c r="M1668" s="196" t="s">
        <v>420</v>
      </c>
    </row>
    <row r="1669" spans="1:13" ht="15" customHeight="1" outlineLevel="1" x14ac:dyDescent="0.25">
      <c r="A1669" s="148"/>
      <c r="B1669" s="148"/>
      <c r="C1669" s="148"/>
      <c r="D1669" s="138"/>
      <c r="E1669" s="138"/>
      <c r="F1669" s="50">
        <v>43647</v>
      </c>
      <c r="G1669" s="50">
        <v>43830</v>
      </c>
      <c r="H1669" s="150"/>
      <c r="I1669" s="15" t="s">
        <v>23</v>
      </c>
      <c r="J1669" s="15" t="s">
        <v>23</v>
      </c>
      <c r="K1669" s="13">
        <f>$K$1543</f>
        <v>18.96</v>
      </c>
      <c r="L1669" s="13">
        <f>$L$1543</f>
        <v>2029.93</v>
      </c>
      <c r="M1669" s="198"/>
    </row>
    <row r="1670" spans="1:13" ht="15" customHeight="1" outlineLevel="1" x14ac:dyDescent="0.25">
      <c r="A1670" s="148"/>
      <c r="B1670" s="148"/>
      <c r="C1670" s="148"/>
      <c r="D1670" s="138"/>
      <c r="E1670" s="138"/>
      <c r="F1670" s="50">
        <v>43466</v>
      </c>
      <c r="G1670" s="50">
        <v>43646</v>
      </c>
      <c r="H1670" s="150"/>
      <c r="I1670" s="15" t="s">
        <v>23</v>
      </c>
      <c r="J1670" s="15" t="s">
        <v>23</v>
      </c>
      <c r="K1670" s="13">
        <f>$K$1544</f>
        <v>18.59</v>
      </c>
      <c r="L1670" s="13">
        <f>$L$1544</f>
        <v>2179.66</v>
      </c>
      <c r="M1670" s="196" t="s">
        <v>421</v>
      </c>
    </row>
    <row r="1671" spans="1:13" ht="15" customHeight="1" outlineLevel="1" x14ac:dyDescent="0.25">
      <c r="A1671" s="148"/>
      <c r="B1671" s="148"/>
      <c r="C1671" s="148"/>
      <c r="D1671" s="138"/>
      <c r="E1671" s="138"/>
      <c r="F1671" s="50">
        <v>43647</v>
      </c>
      <c r="G1671" s="50">
        <v>43830</v>
      </c>
      <c r="H1671" s="150"/>
      <c r="I1671" s="15" t="s">
        <v>23</v>
      </c>
      <c r="J1671" s="15" t="s">
        <v>23</v>
      </c>
      <c r="K1671" s="13">
        <f>$K$1545</f>
        <v>18.96</v>
      </c>
      <c r="L1671" s="13">
        <f>$L$1545</f>
        <v>2223.25</v>
      </c>
      <c r="M1671" s="198"/>
    </row>
    <row r="1672" spans="1:13" ht="15" customHeight="1" outlineLevel="1" x14ac:dyDescent="0.25">
      <c r="A1672" s="148"/>
      <c r="B1672" s="148"/>
      <c r="C1672" s="148"/>
      <c r="D1672" s="138"/>
      <c r="E1672" s="138"/>
      <c r="F1672" s="50">
        <v>43466</v>
      </c>
      <c r="G1672" s="50">
        <v>43646</v>
      </c>
      <c r="H1672" s="150"/>
      <c r="I1672" s="15" t="s">
        <v>23</v>
      </c>
      <c r="J1672" s="15" t="s">
        <v>23</v>
      </c>
      <c r="K1672" s="13">
        <f>$K$1546</f>
        <v>18.59</v>
      </c>
      <c r="L1672" s="13">
        <f>$L$1546</f>
        <v>1855.66</v>
      </c>
      <c r="M1672" s="196" t="s">
        <v>422</v>
      </c>
    </row>
    <row r="1673" spans="1:13" ht="15" customHeight="1" outlineLevel="1" x14ac:dyDescent="0.25">
      <c r="A1673" s="148"/>
      <c r="B1673" s="148"/>
      <c r="C1673" s="148"/>
      <c r="D1673" s="138"/>
      <c r="E1673" s="138"/>
      <c r="F1673" s="50">
        <v>43647</v>
      </c>
      <c r="G1673" s="50">
        <v>43830</v>
      </c>
      <c r="H1673" s="150"/>
      <c r="I1673" s="15" t="s">
        <v>23</v>
      </c>
      <c r="J1673" s="15" t="s">
        <v>23</v>
      </c>
      <c r="K1673" s="13">
        <f>$K$1547</f>
        <v>18.96</v>
      </c>
      <c r="L1673" s="13">
        <f>$L$1547</f>
        <v>1892.77</v>
      </c>
      <c r="M1673" s="198"/>
    </row>
    <row r="1674" spans="1:13" ht="15" customHeight="1" outlineLevel="1" x14ac:dyDescent="0.25">
      <c r="A1674" s="148"/>
      <c r="B1674" s="148"/>
      <c r="C1674" s="148"/>
      <c r="D1674" s="138"/>
      <c r="E1674" s="138"/>
      <c r="F1674" s="50">
        <v>43466</v>
      </c>
      <c r="G1674" s="50">
        <v>43646</v>
      </c>
      <c r="H1674" s="150"/>
      <c r="I1674" s="15" t="s">
        <v>23</v>
      </c>
      <c r="J1674" s="15" t="s">
        <v>23</v>
      </c>
      <c r="K1674" s="13">
        <f>$K$1548</f>
        <v>18.59</v>
      </c>
      <c r="L1674" s="13">
        <f>$L$1548</f>
        <v>1990.13</v>
      </c>
      <c r="M1674" s="196" t="s">
        <v>423</v>
      </c>
    </row>
    <row r="1675" spans="1:13" ht="15" customHeight="1" outlineLevel="1" x14ac:dyDescent="0.25">
      <c r="A1675" s="148"/>
      <c r="B1675" s="148"/>
      <c r="C1675" s="148"/>
      <c r="D1675" s="138"/>
      <c r="E1675" s="138"/>
      <c r="F1675" s="50">
        <v>43647</v>
      </c>
      <c r="G1675" s="50">
        <v>43830</v>
      </c>
      <c r="H1675" s="150"/>
      <c r="I1675" s="15" t="s">
        <v>23</v>
      </c>
      <c r="J1675" s="15" t="s">
        <v>23</v>
      </c>
      <c r="K1675" s="13">
        <f>$K$1549</f>
        <v>18.96</v>
      </c>
      <c r="L1675" s="13">
        <f>$L$1549</f>
        <v>2029.93</v>
      </c>
      <c r="M1675" s="198"/>
    </row>
    <row r="1676" spans="1:13" ht="15" customHeight="1" outlineLevel="1" x14ac:dyDescent="0.25">
      <c r="A1676" s="148"/>
      <c r="B1676" s="148"/>
      <c r="C1676" s="148"/>
      <c r="D1676" s="138"/>
      <c r="E1676" s="138"/>
      <c r="F1676" s="50">
        <v>43466</v>
      </c>
      <c r="G1676" s="50">
        <v>43646</v>
      </c>
      <c r="H1676" s="150"/>
      <c r="I1676" s="15" t="s">
        <v>23</v>
      </c>
      <c r="J1676" s="15" t="s">
        <v>23</v>
      </c>
      <c r="K1676" s="13">
        <f>$K$1550</f>
        <v>18.59</v>
      </c>
      <c r="L1676" s="13">
        <f>$L$1550</f>
        <v>2080.59</v>
      </c>
      <c r="M1676" s="196" t="s">
        <v>424</v>
      </c>
    </row>
    <row r="1677" spans="1:13" ht="15" customHeight="1" outlineLevel="1" x14ac:dyDescent="0.25">
      <c r="A1677" s="148"/>
      <c r="B1677" s="148"/>
      <c r="C1677" s="148"/>
      <c r="D1677" s="138"/>
      <c r="E1677" s="138"/>
      <c r="F1677" s="50">
        <v>43647</v>
      </c>
      <c r="G1677" s="50">
        <v>43830</v>
      </c>
      <c r="H1677" s="150"/>
      <c r="I1677" s="15" t="s">
        <v>23</v>
      </c>
      <c r="J1677" s="15" t="s">
        <v>23</v>
      </c>
      <c r="K1677" s="13">
        <f>$K$1551</f>
        <v>18.96</v>
      </c>
      <c r="L1677" s="13">
        <f>$L$1551</f>
        <v>2122.1999999999998</v>
      </c>
      <c r="M1677" s="198"/>
    </row>
    <row r="1678" spans="1:13" ht="15" customHeight="1" outlineLevel="1" x14ac:dyDescent="0.25">
      <c r="A1678" s="148"/>
      <c r="B1678" s="148"/>
      <c r="C1678" s="148"/>
      <c r="D1678" s="138"/>
      <c r="E1678" s="138"/>
      <c r="F1678" s="50">
        <v>43466</v>
      </c>
      <c r="G1678" s="50">
        <v>43646</v>
      </c>
      <c r="H1678" s="150"/>
      <c r="I1678" s="15" t="s">
        <v>23</v>
      </c>
      <c r="J1678" s="15" t="s">
        <v>23</v>
      </c>
      <c r="K1678" s="13">
        <f>$K$1552</f>
        <v>18.59</v>
      </c>
      <c r="L1678" s="13">
        <f>$L$1552</f>
        <v>2251.13</v>
      </c>
      <c r="M1678" s="196" t="s">
        <v>425</v>
      </c>
    </row>
    <row r="1679" spans="1:13" ht="15" customHeight="1" outlineLevel="1" x14ac:dyDescent="0.25">
      <c r="A1679" s="148"/>
      <c r="B1679" s="148"/>
      <c r="C1679" s="148"/>
      <c r="D1679" s="138"/>
      <c r="E1679" s="138"/>
      <c r="F1679" s="50">
        <v>43647</v>
      </c>
      <c r="G1679" s="50">
        <v>43830</v>
      </c>
      <c r="H1679" s="150"/>
      <c r="I1679" s="15" t="s">
        <v>23</v>
      </c>
      <c r="J1679" s="15" t="s">
        <v>23</v>
      </c>
      <c r="K1679" s="13">
        <f>$K$1553</f>
        <v>18.96</v>
      </c>
      <c r="L1679" s="13">
        <f>$L$1553</f>
        <v>2296.15</v>
      </c>
      <c r="M1679" s="198"/>
    </row>
    <row r="1680" spans="1:13" ht="15" customHeight="1" outlineLevel="1" x14ac:dyDescent="0.25">
      <c r="A1680" s="148"/>
      <c r="B1680" s="148"/>
      <c r="C1680" s="148"/>
      <c r="D1680" s="138"/>
      <c r="E1680" s="138"/>
      <c r="F1680" s="50">
        <v>43466</v>
      </c>
      <c r="G1680" s="50">
        <v>43646</v>
      </c>
      <c r="H1680" s="150"/>
      <c r="I1680" s="15" t="s">
        <v>23</v>
      </c>
      <c r="J1680" s="15" t="s">
        <v>23</v>
      </c>
      <c r="K1680" s="13">
        <f>$K$1554</f>
        <v>18.59</v>
      </c>
      <c r="L1680" s="13">
        <f>$L$1554</f>
        <v>1907.2</v>
      </c>
      <c r="M1680" s="196" t="s">
        <v>426</v>
      </c>
    </row>
    <row r="1681" spans="1:13" ht="15" customHeight="1" outlineLevel="1" x14ac:dyDescent="0.25">
      <c r="A1681" s="148"/>
      <c r="B1681" s="148"/>
      <c r="C1681" s="148"/>
      <c r="D1681" s="138"/>
      <c r="E1681" s="138"/>
      <c r="F1681" s="50">
        <v>43647</v>
      </c>
      <c r="G1681" s="50">
        <v>43830</v>
      </c>
      <c r="H1681" s="150"/>
      <c r="I1681" s="15" t="s">
        <v>23</v>
      </c>
      <c r="J1681" s="15" t="s">
        <v>23</v>
      </c>
      <c r="K1681" s="13">
        <f>$K$1555</f>
        <v>18.96</v>
      </c>
      <c r="L1681" s="13">
        <f>$L$1555</f>
        <v>1945.35</v>
      </c>
      <c r="M1681" s="198"/>
    </row>
    <row r="1682" spans="1:13" ht="15" customHeight="1" outlineLevel="1" x14ac:dyDescent="0.25">
      <c r="A1682" s="148"/>
      <c r="B1682" s="148"/>
      <c r="C1682" s="148"/>
      <c r="D1682" s="138"/>
      <c r="E1682" s="138"/>
      <c r="F1682" s="50">
        <v>43466</v>
      </c>
      <c r="G1682" s="50">
        <v>43646</v>
      </c>
      <c r="H1682" s="150"/>
      <c r="I1682" s="15" t="s">
        <v>23</v>
      </c>
      <c r="J1682" s="15" t="s">
        <v>23</v>
      </c>
      <c r="K1682" s="13">
        <f>$K$1556</f>
        <v>18.59</v>
      </c>
      <c r="L1682" s="13">
        <f>$L$1556</f>
        <v>2080.59</v>
      </c>
      <c r="M1682" s="196" t="s">
        <v>427</v>
      </c>
    </row>
    <row r="1683" spans="1:13" ht="15" customHeight="1" outlineLevel="1" x14ac:dyDescent="0.25">
      <c r="A1683" s="147"/>
      <c r="B1683" s="147"/>
      <c r="C1683" s="148"/>
      <c r="D1683" s="141"/>
      <c r="E1683" s="141"/>
      <c r="F1683" s="50">
        <v>43647</v>
      </c>
      <c r="G1683" s="50">
        <v>43830</v>
      </c>
      <c r="H1683" s="151"/>
      <c r="I1683" s="15" t="s">
        <v>23</v>
      </c>
      <c r="J1683" s="15" t="s">
        <v>23</v>
      </c>
      <c r="K1683" s="13">
        <f>$K$1557</f>
        <v>18.96</v>
      </c>
      <c r="L1683" s="13">
        <f>$L$1557</f>
        <v>2122.1999999999998</v>
      </c>
      <c r="M1683" s="198"/>
    </row>
    <row r="1684" spans="1:13" ht="15" customHeight="1" outlineLevel="1" x14ac:dyDescent="0.25">
      <c r="A1684" s="146" t="s">
        <v>62</v>
      </c>
      <c r="B1684" s="146" t="s">
        <v>387</v>
      </c>
      <c r="C1684" s="148"/>
      <c r="D1684" s="137">
        <f>$D$1540</f>
        <v>43087</v>
      </c>
      <c r="E1684" s="137" t="str">
        <f>$E$1540</f>
        <v>449-п</v>
      </c>
      <c r="F1684" s="12">
        <v>43466</v>
      </c>
      <c r="G1684" s="12">
        <v>43646</v>
      </c>
      <c r="H1684" s="149" t="str">
        <f>$H$1540</f>
        <v>от 20.12.2018 Приказ № 540-п</v>
      </c>
      <c r="I1684" s="66">
        <f>$I$1540</f>
        <v>25.61</v>
      </c>
      <c r="J1684" s="13">
        <f>$J$1540</f>
        <v>3430.52</v>
      </c>
      <c r="K1684" s="15" t="s">
        <v>23</v>
      </c>
      <c r="L1684" s="15" t="s">
        <v>23</v>
      </c>
      <c r="M1684" s="153"/>
    </row>
    <row r="1685" spans="1:13" ht="15" customHeight="1" outlineLevel="1" x14ac:dyDescent="0.25">
      <c r="A1685" s="148"/>
      <c r="B1685" s="148"/>
      <c r="C1685" s="148"/>
      <c r="D1685" s="141"/>
      <c r="E1685" s="141"/>
      <c r="F1685" s="12">
        <v>43647</v>
      </c>
      <c r="G1685" s="12">
        <v>43830</v>
      </c>
      <c r="H1685" s="151"/>
      <c r="I1685" s="66">
        <f>$I$1541</f>
        <v>25.61</v>
      </c>
      <c r="J1685" s="13">
        <f>$J$1541</f>
        <v>3430.52</v>
      </c>
      <c r="K1685" s="15" t="s">
        <v>23</v>
      </c>
      <c r="L1685" s="15" t="s">
        <v>23</v>
      </c>
      <c r="M1685" s="152"/>
    </row>
    <row r="1686" spans="1:13" ht="15" customHeight="1" outlineLevel="1" x14ac:dyDescent="0.25">
      <c r="A1686" s="148"/>
      <c r="B1686" s="148"/>
      <c r="C1686" s="148"/>
      <c r="D1686" s="137">
        <f>$D$1506</f>
        <v>43454</v>
      </c>
      <c r="E1686" s="137" t="str">
        <f>$E$1506</f>
        <v>677-п</v>
      </c>
      <c r="F1686" s="50">
        <v>43466</v>
      </c>
      <c r="G1686" s="50">
        <v>43646</v>
      </c>
      <c r="H1686" s="149"/>
      <c r="I1686" s="15" t="s">
        <v>23</v>
      </c>
      <c r="J1686" s="15" t="s">
        <v>23</v>
      </c>
      <c r="K1686" s="13">
        <f>$K$1542</f>
        <v>18.59</v>
      </c>
      <c r="L1686" s="13">
        <f>$L$1542</f>
        <v>1990.13</v>
      </c>
      <c r="M1686" s="196" t="s">
        <v>420</v>
      </c>
    </row>
    <row r="1687" spans="1:13" ht="15" customHeight="1" outlineLevel="1" x14ac:dyDescent="0.25">
      <c r="A1687" s="148"/>
      <c r="B1687" s="148"/>
      <c r="C1687" s="148"/>
      <c r="D1687" s="138"/>
      <c r="E1687" s="138"/>
      <c r="F1687" s="50">
        <v>43647</v>
      </c>
      <c r="G1687" s="50">
        <v>43830</v>
      </c>
      <c r="H1687" s="150"/>
      <c r="I1687" s="15" t="s">
        <v>23</v>
      </c>
      <c r="J1687" s="15" t="s">
        <v>23</v>
      </c>
      <c r="K1687" s="13">
        <f>$K$1543</f>
        <v>18.96</v>
      </c>
      <c r="L1687" s="13">
        <f>$L$1543</f>
        <v>2029.93</v>
      </c>
      <c r="M1687" s="198"/>
    </row>
    <row r="1688" spans="1:13" ht="15" customHeight="1" outlineLevel="1" x14ac:dyDescent="0.25">
      <c r="A1688" s="148"/>
      <c r="B1688" s="148"/>
      <c r="C1688" s="148"/>
      <c r="D1688" s="138"/>
      <c r="E1688" s="138"/>
      <c r="F1688" s="50">
        <v>43466</v>
      </c>
      <c r="G1688" s="50">
        <v>43646</v>
      </c>
      <c r="H1688" s="150"/>
      <c r="I1688" s="15" t="s">
        <v>23</v>
      </c>
      <c r="J1688" s="15" t="s">
        <v>23</v>
      </c>
      <c r="K1688" s="13">
        <f>$K$1544</f>
        <v>18.59</v>
      </c>
      <c r="L1688" s="13">
        <f>$L$1544</f>
        <v>2179.66</v>
      </c>
      <c r="M1688" s="196" t="s">
        <v>421</v>
      </c>
    </row>
    <row r="1689" spans="1:13" ht="15" customHeight="1" outlineLevel="1" x14ac:dyDescent="0.25">
      <c r="A1689" s="148"/>
      <c r="B1689" s="148"/>
      <c r="C1689" s="148"/>
      <c r="D1689" s="138"/>
      <c r="E1689" s="138"/>
      <c r="F1689" s="50">
        <v>43647</v>
      </c>
      <c r="G1689" s="50">
        <v>43830</v>
      </c>
      <c r="H1689" s="150"/>
      <c r="I1689" s="15" t="s">
        <v>23</v>
      </c>
      <c r="J1689" s="15" t="s">
        <v>23</v>
      </c>
      <c r="K1689" s="13">
        <f>$K$1545</f>
        <v>18.96</v>
      </c>
      <c r="L1689" s="13">
        <f>$L$1545</f>
        <v>2223.25</v>
      </c>
      <c r="M1689" s="198"/>
    </row>
    <row r="1690" spans="1:13" ht="15" customHeight="1" outlineLevel="1" x14ac:dyDescent="0.25">
      <c r="A1690" s="148"/>
      <c r="B1690" s="148"/>
      <c r="C1690" s="148"/>
      <c r="D1690" s="138"/>
      <c r="E1690" s="138"/>
      <c r="F1690" s="50">
        <v>43466</v>
      </c>
      <c r="G1690" s="50">
        <v>43646</v>
      </c>
      <c r="H1690" s="150"/>
      <c r="I1690" s="15" t="s">
        <v>23</v>
      </c>
      <c r="J1690" s="15" t="s">
        <v>23</v>
      </c>
      <c r="K1690" s="13">
        <f>$K$1546</f>
        <v>18.59</v>
      </c>
      <c r="L1690" s="13">
        <f>$L$1546</f>
        <v>1855.66</v>
      </c>
      <c r="M1690" s="196" t="s">
        <v>422</v>
      </c>
    </row>
    <row r="1691" spans="1:13" ht="15" customHeight="1" outlineLevel="1" x14ac:dyDescent="0.25">
      <c r="A1691" s="148"/>
      <c r="B1691" s="148"/>
      <c r="C1691" s="148"/>
      <c r="D1691" s="138"/>
      <c r="E1691" s="138"/>
      <c r="F1691" s="50">
        <v>43647</v>
      </c>
      <c r="G1691" s="50">
        <v>43830</v>
      </c>
      <c r="H1691" s="150"/>
      <c r="I1691" s="15" t="s">
        <v>23</v>
      </c>
      <c r="J1691" s="15" t="s">
        <v>23</v>
      </c>
      <c r="K1691" s="13">
        <f>$K$1547</f>
        <v>18.96</v>
      </c>
      <c r="L1691" s="13">
        <f>$L$1547</f>
        <v>1892.77</v>
      </c>
      <c r="M1691" s="198"/>
    </row>
    <row r="1692" spans="1:13" ht="15" customHeight="1" outlineLevel="1" x14ac:dyDescent="0.25">
      <c r="A1692" s="148"/>
      <c r="B1692" s="148"/>
      <c r="C1692" s="148"/>
      <c r="D1692" s="138"/>
      <c r="E1692" s="138"/>
      <c r="F1692" s="50">
        <v>43466</v>
      </c>
      <c r="G1692" s="50">
        <v>43646</v>
      </c>
      <c r="H1692" s="150"/>
      <c r="I1692" s="15" t="s">
        <v>23</v>
      </c>
      <c r="J1692" s="15" t="s">
        <v>23</v>
      </c>
      <c r="K1692" s="13">
        <f>$K$1548</f>
        <v>18.59</v>
      </c>
      <c r="L1692" s="13">
        <f>$L$1548</f>
        <v>1990.13</v>
      </c>
      <c r="M1692" s="196" t="s">
        <v>423</v>
      </c>
    </row>
    <row r="1693" spans="1:13" ht="15" customHeight="1" outlineLevel="1" x14ac:dyDescent="0.25">
      <c r="A1693" s="148"/>
      <c r="B1693" s="148"/>
      <c r="C1693" s="148"/>
      <c r="D1693" s="138"/>
      <c r="E1693" s="138"/>
      <c r="F1693" s="50">
        <v>43647</v>
      </c>
      <c r="G1693" s="50">
        <v>43830</v>
      </c>
      <c r="H1693" s="150"/>
      <c r="I1693" s="15" t="s">
        <v>23</v>
      </c>
      <c r="J1693" s="15" t="s">
        <v>23</v>
      </c>
      <c r="K1693" s="13">
        <f>$K$1549</f>
        <v>18.96</v>
      </c>
      <c r="L1693" s="13">
        <f>$L$1549</f>
        <v>2029.93</v>
      </c>
      <c r="M1693" s="198"/>
    </row>
    <row r="1694" spans="1:13" ht="15" customHeight="1" outlineLevel="1" x14ac:dyDescent="0.25">
      <c r="A1694" s="148"/>
      <c r="B1694" s="148"/>
      <c r="C1694" s="148"/>
      <c r="D1694" s="138"/>
      <c r="E1694" s="138"/>
      <c r="F1694" s="50">
        <v>43466</v>
      </c>
      <c r="G1694" s="50">
        <v>43646</v>
      </c>
      <c r="H1694" s="150"/>
      <c r="I1694" s="15" t="s">
        <v>23</v>
      </c>
      <c r="J1694" s="15" t="s">
        <v>23</v>
      </c>
      <c r="K1694" s="13">
        <f>$K$1550</f>
        <v>18.59</v>
      </c>
      <c r="L1694" s="13">
        <f>$L$1550</f>
        <v>2080.59</v>
      </c>
      <c r="M1694" s="196" t="s">
        <v>424</v>
      </c>
    </row>
    <row r="1695" spans="1:13" ht="15" customHeight="1" outlineLevel="1" x14ac:dyDescent="0.25">
      <c r="A1695" s="148"/>
      <c r="B1695" s="148"/>
      <c r="C1695" s="148"/>
      <c r="D1695" s="138"/>
      <c r="E1695" s="138"/>
      <c r="F1695" s="50">
        <v>43647</v>
      </c>
      <c r="G1695" s="50">
        <v>43830</v>
      </c>
      <c r="H1695" s="150"/>
      <c r="I1695" s="15" t="s">
        <v>23</v>
      </c>
      <c r="J1695" s="15" t="s">
        <v>23</v>
      </c>
      <c r="K1695" s="13">
        <f>$K$1551</f>
        <v>18.96</v>
      </c>
      <c r="L1695" s="13">
        <f>$L$1551</f>
        <v>2122.1999999999998</v>
      </c>
      <c r="M1695" s="198"/>
    </row>
    <row r="1696" spans="1:13" ht="15" customHeight="1" outlineLevel="1" x14ac:dyDescent="0.25">
      <c r="A1696" s="148"/>
      <c r="B1696" s="148"/>
      <c r="C1696" s="148"/>
      <c r="D1696" s="138"/>
      <c r="E1696" s="138"/>
      <c r="F1696" s="50">
        <v>43466</v>
      </c>
      <c r="G1696" s="50">
        <v>43646</v>
      </c>
      <c r="H1696" s="150"/>
      <c r="I1696" s="15" t="s">
        <v>23</v>
      </c>
      <c r="J1696" s="15" t="s">
        <v>23</v>
      </c>
      <c r="K1696" s="13">
        <f>$K$1552</f>
        <v>18.59</v>
      </c>
      <c r="L1696" s="13">
        <f>$L$1552</f>
        <v>2251.13</v>
      </c>
      <c r="M1696" s="196" t="s">
        <v>425</v>
      </c>
    </row>
    <row r="1697" spans="1:13" ht="15" customHeight="1" outlineLevel="1" x14ac:dyDescent="0.25">
      <c r="A1697" s="148"/>
      <c r="B1697" s="148"/>
      <c r="C1697" s="148"/>
      <c r="D1697" s="138"/>
      <c r="E1697" s="138"/>
      <c r="F1697" s="50">
        <v>43647</v>
      </c>
      <c r="G1697" s="50">
        <v>43830</v>
      </c>
      <c r="H1697" s="150"/>
      <c r="I1697" s="15" t="s">
        <v>23</v>
      </c>
      <c r="J1697" s="15" t="s">
        <v>23</v>
      </c>
      <c r="K1697" s="13">
        <f>$K$1553</f>
        <v>18.96</v>
      </c>
      <c r="L1697" s="13">
        <f>$L$1553</f>
        <v>2296.15</v>
      </c>
      <c r="M1697" s="198"/>
    </row>
    <row r="1698" spans="1:13" ht="15" customHeight="1" outlineLevel="1" x14ac:dyDescent="0.25">
      <c r="A1698" s="148"/>
      <c r="B1698" s="148"/>
      <c r="C1698" s="148"/>
      <c r="D1698" s="138"/>
      <c r="E1698" s="138"/>
      <c r="F1698" s="50">
        <v>43466</v>
      </c>
      <c r="G1698" s="50">
        <v>43646</v>
      </c>
      <c r="H1698" s="150"/>
      <c r="I1698" s="15" t="s">
        <v>23</v>
      </c>
      <c r="J1698" s="15" t="s">
        <v>23</v>
      </c>
      <c r="K1698" s="13">
        <f>$K$1554</f>
        <v>18.59</v>
      </c>
      <c r="L1698" s="13">
        <f>$L$1554</f>
        <v>1907.2</v>
      </c>
      <c r="M1698" s="196" t="s">
        <v>426</v>
      </c>
    </row>
    <row r="1699" spans="1:13" ht="15" customHeight="1" outlineLevel="1" x14ac:dyDescent="0.25">
      <c r="A1699" s="148"/>
      <c r="B1699" s="148"/>
      <c r="C1699" s="148"/>
      <c r="D1699" s="138"/>
      <c r="E1699" s="138"/>
      <c r="F1699" s="50">
        <v>43647</v>
      </c>
      <c r="G1699" s="50">
        <v>43830</v>
      </c>
      <c r="H1699" s="150"/>
      <c r="I1699" s="15" t="s">
        <v>23</v>
      </c>
      <c r="J1699" s="15" t="s">
        <v>23</v>
      </c>
      <c r="K1699" s="13">
        <f>$K$1555</f>
        <v>18.96</v>
      </c>
      <c r="L1699" s="13">
        <f>$L$1555</f>
        <v>1945.35</v>
      </c>
      <c r="M1699" s="198"/>
    </row>
    <row r="1700" spans="1:13" ht="15" customHeight="1" outlineLevel="1" x14ac:dyDescent="0.25">
      <c r="A1700" s="148"/>
      <c r="B1700" s="148"/>
      <c r="C1700" s="148"/>
      <c r="D1700" s="138"/>
      <c r="E1700" s="138"/>
      <c r="F1700" s="50">
        <v>43466</v>
      </c>
      <c r="G1700" s="50">
        <v>43646</v>
      </c>
      <c r="H1700" s="150"/>
      <c r="I1700" s="15" t="s">
        <v>23</v>
      </c>
      <c r="J1700" s="15" t="s">
        <v>23</v>
      </c>
      <c r="K1700" s="13">
        <f>$K$1556</f>
        <v>18.59</v>
      </c>
      <c r="L1700" s="13">
        <f>$L$1556</f>
        <v>2080.59</v>
      </c>
      <c r="M1700" s="196" t="s">
        <v>427</v>
      </c>
    </row>
    <row r="1701" spans="1:13" ht="15" customHeight="1" outlineLevel="1" x14ac:dyDescent="0.25">
      <c r="A1701" s="147"/>
      <c r="B1701" s="147"/>
      <c r="C1701" s="148"/>
      <c r="D1701" s="141"/>
      <c r="E1701" s="141"/>
      <c r="F1701" s="50">
        <v>43647</v>
      </c>
      <c r="G1701" s="50">
        <v>43830</v>
      </c>
      <c r="H1701" s="151"/>
      <c r="I1701" s="15" t="s">
        <v>23</v>
      </c>
      <c r="J1701" s="15" t="s">
        <v>23</v>
      </c>
      <c r="K1701" s="13">
        <f>$K$1557</f>
        <v>18.96</v>
      </c>
      <c r="L1701" s="13">
        <f>$L$1557</f>
        <v>2122.1999999999998</v>
      </c>
      <c r="M1701" s="198"/>
    </row>
    <row r="1702" spans="1:13" ht="15" customHeight="1" outlineLevel="1" x14ac:dyDescent="0.25">
      <c r="A1702" s="146" t="s">
        <v>62</v>
      </c>
      <c r="B1702" s="146" t="s">
        <v>388</v>
      </c>
      <c r="C1702" s="148"/>
      <c r="D1702" s="137">
        <f>$D$1540</f>
        <v>43087</v>
      </c>
      <c r="E1702" s="137" t="str">
        <f>$E$1540</f>
        <v>449-п</v>
      </c>
      <c r="F1702" s="12">
        <v>43466</v>
      </c>
      <c r="G1702" s="12">
        <v>43646</v>
      </c>
      <c r="H1702" s="149" t="str">
        <f>$H$1540</f>
        <v>от 20.12.2018 Приказ № 540-п</v>
      </c>
      <c r="I1702" s="66">
        <f>$I$1540</f>
        <v>25.61</v>
      </c>
      <c r="J1702" s="13">
        <f>$J$1540</f>
        <v>3430.52</v>
      </c>
      <c r="K1702" s="15" t="s">
        <v>23</v>
      </c>
      <c r="L1702" s="15" t="s">
        <v>23</v>
      </c>
      <c r="M1702" s="153"/>
    </row>
    <row r="1703" spans="1:13" ht="15" customHeight="1" outlineLevel="1" x14ac:dyDescent="0.25">
      <c r="A1703" s="148"/>
      <c r="B1703" s="148"/>
      <c r="C1703" s="148"/>
      <c r="D1703" s="141"/>
      <c r="E1703" s="141"/>
      <c r="F1703" s="12">
        <v>43647</v>
      </c>
      <c r="G1703" s="12">
        <v>43830</v>
      </c>
      <c r="H1703" s="151"/>
      <c r="I1703" s="66">
        <f>$I$1541</f>
        <v>25.61</v>
      </c>
      <c r="J1703" s="13">
        <f>$J$1541</f>
        <v>3430.52</v>
      </c>
      <c r="K1703" s="15" t="s">
        <v>23</v>
      </c>
      <c r="L1703" s="15" t="s">
        <v>23</v>
      </c>
      <c r="M1703" s="152"/>
    </row>
    <row r="1704" spans="1:13" ht="15" customHeight="1" outlineLevel="1" x14ac:dyDescent="0.25">
      <c r="A1704" s="148"/>
      <c r="B1704" s="148"/>
      <c r="C1704" s="148"/>
      <c r="D1704" s="137">
        <f>$D$1506</f>
        <v>43454</v>
      </c>
      <c r="E1704" s="137" t="str">
        <f>$E$1506</f>
        <v>677-п</v>
      </c>
      <c r="F1704" s="50">
        <v>43466</v>
      </c>
      <c r="G1704" s="50">
        <v>43646</v>
      </c>
      <c r="H1704" s="149"/>
      <c r="I1704" s="15" t="s">
        <v>23</v>
      </c>
      <c r="J1704" s="15" t="s">
        <v>23</v>
      </c>
      <c r="K1704" s="13">
        <f>$K$1542</f>
        <v>18.59</v>
      </c>
      <c r="L1704" s="13">
        <f>$L$1542</f>
        <v>1990.13</v>
      </c>
      <c r="M1704" s="196" t="s">
        <v>420</v>
      </c>
    </row>
    <row r="1705" spans="1:13" ht="15" customHeight="1" outlineLevel="1" x14ac:dyDescent="0.25">
      <c r="A1705" s="148"/>
      <c r="B1705" s="148"/>
      <c r="C1705" s="148"/>
      <c r="D1705" s="138"/>
      <c r="E1705" s="138"/>
      <c r="F1705" s="50">
        <v>43647</v>
      </c>
      <c r="G1705" s="50">
        <v>43830</v>
      </c>
      <c r="H1705" s="150"/>
      <c r="I1705" s="15" t="s">
        <v>23</v>
      </c>
      <c r="J1705" s="15" t="s">
        <v>23</v>
      </c>
      <c r="K1705" s="13">
        <f>$K$1543</f>
        <v>18.96</v>
      </c>
      <c r="L1705" s="13">
        <f>$L$1543</f>
        <v>2029.93</v>
      </c>
      <c r="M1705" s="198"/>
    </row>
    <row r="1706" spans="1:13" ht="15" customHeight="1" outlineLevel="1" x14ac:dyDescent="0.25">
      <c r="A1706" s="148"/>
      <c r="B1706" s="148"/>
      <c r="C1706" s="148"/>
      <c r="D1706" s="138"/>
      <c r="E1706" s="138"/>
      <c r="F1706" s="50">
        <v>43466</v>
      </c>
      <c r="G1706" s="50">
        <v>43646</v>
      </c>
      <c r="H1706" s="150"/>
      <c r="I1706" s="15" t="s">
        <v>23</v>
      </c>
      <c r="J1706" s="15" t="s">
        <v>23</v>
      </c>
      <c r="K1706" s="13">
        <f>$K$1544</f>
        <v>18.59</v>
      </c>
      <c r="L1706" s="13">
        <f>$L$1544</f>
        <v>2179.66</v>
      </c>
      <c r="M1706" s="196" t="s">
        <v>421</v>
      </c>
    </row>
    <row r="1707" spans="1:13" ht="15" customHeight="1" outlineLevel="1" x14ac:dyDescent="0.25">
      <c r="A1707" s="148"/>
      <c r="B1707" s="148"/>
      <c r="C1707" s="148"/>
      <c r="D1707" s="138"/>
      <c r="E1707" s="138"/>
      <c r="F1707" s="50">
        <v>43647</v>
      </c>
      <c r="G1707" s="50">
        <v>43830</v>
      </c>
      <c r="H1707" s="150"/>
      <c r="I1707" s="15" t="s">
        <v>23</v>
      </c>
      <c r="J1707" s="15" t="s">
        <v>23</v>
      </c>
      <c r="K1707" s="13">
        <f>$K$1545</f>
        <v>18.96</v>
      </c>
      <c r="L1707" s="13">
        <f>$L$1545</f>
        <v>2223.25</v>
      </c>
      <c r="M1707" s="198"/>
    </row>
    <row r="1708" spans="1:13" ht="15" customHeight="1" outlineLevel="1" x14ac:dyDescent="0.25">
      <c r="A1708" s="148"/>
      <c r="B1708" s="148"/>
      <c r="C1708" s="148"/>
      <c r="D1708" s="138"/>
      <c r="E1708" s="138"/>
      <c r="F1708" s="50">
        <v>43466</v>
      </c>
      <c r="G1708" s="50">
        <v>43646</v>
      </c>
      <c r="H1708" s="150"/>
      <c r="I1708" s="15" t="s">
        <v>23</v>
      </c>
      <c r="J1708" s="15" t="s">
        <v>23</v>
      </c>
      <c r="K1708" s="13">
        <f>$K$1546</f>
        <v>18.59</v>
      </c>
      <c r="L1708" s="13">
        <f>$L$1546</f>
        <v>1855.66</v>
      </c>
      <c r="M1708" s="196" t="s">
        <v>422</v>
      </c>
    </row>
    <row r="1709" spans="1:13" ht="15" customHeight="1" outlineLevel="1" x14ac:dyDescent="0.25">
      <c r="A1709" s="148"/>
      <c r="B1709" s="148"/>
      <c r="C1709" s="148"/>
      <c r="D1709" s="138"/>
      <c r="E1709" s="138"/>
      <c r="F1709" s="50">
        <v>43647</v>
      </c>
      <c r="G1709" s="50">
        <v>43830</v>
      </c>
      <c r="H1709" s="150"/>
      <c r="I1709" s="15" t="s">
        <v>23</v>
      </c>
      <c r="J1709" s="15" t="s">
        <v>23</v>
      </c>
      <c r="K1709" s="13">
        <f>$K$1547</f>
        <v>18.96</v>
      </c>
      <c r="L1709" s="13">
        <f>$L$1547</f>
        <v>1892.77</v>
      </c>
      <c r="M1709" s="198"/>
    </row>
    <row r="1710" spans="1:13" ht="15" customHeight="1" outlineLevel="1" x14ac:dyDescent="0.25">
      <c r="A1710" s="148"/>
      <c r="B1710" s="148"/>
      <c r="C1710" s="148"/>
      <c r="D1710" s="138"/>
      <c r="E1710" s="138"/>
      <c r="F1710" s="50">
        <v>43466</v>
      </c>
      <c r="G1710" s="50">
        <v>43646</v>
      </c>
      <c r="H1710" s="150"/>
      <c r="I1710" s="15" t="s">
        <v>23</v>
      </c>
      <c r="J1710" s="15" t="s">
        <v>23</v>
      </c>
      <c r="K1710" s="13">
        <f>$K$1548</f>
        <v>18.59</v>
      </c>
      <c r="L1710" s="13">
        <f>$L$1548</f>
        <v>1990.13</v>
      </c>
      <c r="M1710" s="196" t="s">
        <v>423</v>
      </c>
    </row>
    <row r="1711" spans="1:13" ht="15" customHeight="1" outlineLevel="1" x14ac:dyDescent="0.25">
      <c r="A1711" s="148"/>
      <c r="B1711" s="148"/>
      <c r="C1711" s="148"/>
      <c r="D1711" s="138"/>
      <c r="E1711" s="138"/>
      <c r="F1711" s="50">
        <v>43647</v>
      </c>
      <c r="G1711" s="50">
        <v>43830</v>
      </c>
      <c r="H1711" s="150"/>
      <c r="I1711" s="15" t="s">
        <v>23</v>
      </c>
      <c r="J1711" s="15" t="s">
        <v>23</v>
      </c>
      <c r="K1711" s="13">
        <f>$K$1549</f>
        <v>18.96</v>
      </c>
      <c r="L1711" s="13">
        <f>$L$1549</f>
        <v>2029.93</v>
      </c>
      <c r="M1711" s="198"/>
    </row>
    <row r="1712" spans="1:13" ht="15" customHeight="1" outlineLevel="1" x14ac:dyDescent="0.25">
      <c r="A1712" s="148"/>
      <c r="B1712" s="148"/>
      <c r="C1712" s="148"/>
      <c r="D1712" s="138"/>
      <c r="E1712" s="138"/>
      <c r="F1712" s="50">
        <v>43466</v>
      </c>
      <c r="G1712" s="50">
        <v>43646</v>
      </c>
      <c r="H1712" s="150"/>
      <c r="I1712" s="15" t="s">
        <v>23</v>
      </c>
      <c r="J1712" s="15" t="s">
        <v>23</v>
      </c>
      <c r="K1712" s="13">
        <f>$K$1550</f>
        <v>18.59</v>
      </c>
      <c r="L1712" s="13">
        <f>$L$1550</f>
        <v>2080.59</v>
      </c>
      <c r="M1712" s="196" t="s">
        <v>424</v>
      </c>
    </row>
    <row r="1713" spans="1:13" ht="15" customHeight="1" outlineLevel="1" x14ac:dyDescent="0.25">
      <c r="A1713" s="148"/>
      <c r="B1713" s="148"/>
      <c r="C1713" s="148"/>
      <c r="D1713" s="138"/>
      <c r="E1713" s="138"/>
      <c r="F1713" s="50">
        <v>43647</v>
      </c>
      <c r="G1713" s="50">
        <v>43830</v>
      </c>
      <c r="H1713" s="150"/>
      <c r="I1713" s="15" t="s">
        <v>23</v>
      </c>
      <c r="J1713" s="15" t="s">
        <v>23</v>
      </c>
      <c r="K1713" s="13">
        <f>$K$1551</f>
        <v>18.96</v>
      </c>
      <c r="L1713" s="13">
        <f>$L$1551</f>
        <v>2122.1999999999998</v>
      </c>
      <c r="M1713" s="198"/>
    </row>
    <row r="1714" spans="1:13" ht="15" customHeight="1" outlineLevel="1" x14ac:dyDescent="0.25">
      <c r="A1714" s="148"/>
      <c r="B1714" s="148"/>
      <c r="C1714" s="148"/>
      <c r="D1714" s="138"/>
      <c r="E1714" s="138"/>
      <c r="F1714" s="50">
        <v>43466</v>
      </c>
      <c r="G1714" s="50">
        <v>43646</v>
      </c>
      <c r="H1714" s="150"/>
      <c r="I1714" s="15" t="s">
        <v>23</v>
      </c>
      <c r="J1714" s="15" t="s">
        <v>23</v>
      </c>
      <c r="K1714" s="13">
        <f>$K$1552</f>
        <v>18.59</v>
      </c>
      <c r="L1714" s="13">
        <f>$L$1552</f>
        <v>2251.13</v>
      </c>
      <c r="M1714" s="196" t="s">
        <v>425</v>
      </c>
    </row>
    <row r="1715" spans="1:13" ht="15" customHeight="1" outlineLevel="1" x14ac:dyDescent="0.25">
      <c r="A1715" s="148"/>
      <c r="B1715" s="148"/>
      <c r="C1715" s="148"/>
      <c r="D1715" s="138"/>
      <c r="E1715" s="138"/>
      <c r="F1715" s="50">
        <v>43647</v>
      </c>
      <c r="G1715" s="50">
        <v>43830</v>
      </c>
      <c r="H1715" s="150"/>
      <c r="I1715" s="15" t="s">
        <v>23</v>
      </c>
      <c r="J1715" s="15" t="s">
        <v>23</v>
      </c>
      <c r="K1715" s="13">
        <f>$K$1553</f>
        <v>18.96</v>
      </c>
      <c r="L1715" s="13">
        <f>$L$1553</f>
        <v>2296.15</v>
      </c>
      <c r="M1715" s="198"/>
    </row>
    <row r="1716" spans="1:13" ht="15" customHeight="1" outlineLevel="1" x14ac:dyDescent="0.25">
      <c r="A1716" s="148"/>
      <c r="B1716" s="148"/>
      <c r="C1716" s="148"/>
      <c r="D1716" s="138"/>
      <c r="E1716" s="138"/>
      <c r="F1716" s="50">
        <v>43466</v>
      </c>
      <c r="G1716" s="50">
        <v>43646</v>
      </c>
      <c r="H1716" s="150"/>
      <c r="I1716" s="15" t="s">
        <v>23</v>
      </c>
      <c r="J1716" s="15" t="s">
        <v>23</v>
      </c>
      <c r="K1716" s="13">
        <f>$K$1554</f>
        <v>18.59</v>
      </c>
      <c r="L1716" s="13">
        <f>$L$1554</f>
        <v>1907.2</v>
      </c>
      <c r="M1716" s="196" t="s">
        <v>426</v>
      </c>
    </row>
    <row r="1717" spans="1:13" ht="15" customHeight="1" outlineLevel="1" x14ac:dyDescent="0.25">
      <c r="A1717" s="148"/>
      <c r="B1717" s="148"/>
      <c r="C1717" s="148"/>
      <c r="D1717" s="138"/>
      <c r="E1717" s="138"/>
      <c r="F1717" s="50">
        <v>43647</v>
      </c>
      <c r="G1717" s="50">
        <v>43830</v>
      </c>
      <c r="H1717" s="150"/>
      <c r="I1717" s="15" t="s">
        <v>23</v>
      </c>
      <c r="J1717" s="15" t="s">
        <v>23</v>
      </c>
      <c r="K1717" s="13">
        <f>$K$1555</f>
        <v>18.96</v>
      </c>
      <c r="L1717" s="13">
        <f>$L$1555</f>
        <v>1945.35</v>
      </c>
      <c r="M1717" s="198"/>
    </row>
    <row r="1718" spans="1:13" ht="15" customHeight="1" outlineLevel="1" x14ac:dyDescent="0.25">
      <c r="A1718" s="148"/>
      <c r="B1718" s="148"/>
      <c r="C1718" s="148"/>
      <c r="D1718" s="138"/>
      <c r="E1718" s="138"/>
      <c r="F1718" s="50">
        <v>43466</v>
      </c>
      <c r="G1718" s="50">
        <v>43646</v>
      </c>
      <c r="H1718" s="150"/>
      <c r="I1718" s="15" t="s">
        <v>23</v>
      </c>
      <c r="J1718" s="15" t="s">
        <v>23</v>
      </c>
      <c r="K1718" s="13">
        <f>$K$1556</f>
        <v>18.59</v>
      </c>
      <c r="L1718" s="13">
        <f>$L$1556</f>
        <v>2080.59</v>
      </c>
      <c r="M1718" s="196" t="s">
        <v>427</v>
      </c>
    </row>
    <row r="1719" spans="1:13" ht="15" customHeight="1" outlineLevel="1" x14ac:dyDescent="0.25">
      <c r="A1719" s="147"/>
      <c r="B1719" s="147"/>
      <c r="C1719" s="148"/>
      <c r="D1719" s="141"/>
      <c r="E1719" s="141"/>
      <c r="F1719" s="50">
        <v>43647</v>
      </c>
      <c r="G1719" s="50">
        <v>43830</v>
      </c>
      <c r="H1719" s="151"/>
      <c r="I1719" s="15" t="s">
        <v>23</v>
      </c>
      <c r="J1719" s="15" t="s">
        <v>23</v>
      </c>
      <c r="K1719" s="13">
        <f>$K$1557</f>
        <v>18.96</v>
      </c>
      <c r="L1719" s="13">
        <f>$L$1557</f>
        <v>2122.1999999999998</v>
      </c>
      <c r="M1719" s="198"/>
    </row>
    <row r="1720" spans="1:13" ht="15" customHeight="1" outlineLevel="1" x14ac:dyDescent="0.25">
      <c r="A1720" s="146" t="s">
        <v>62</v>
      </c>
      <c r="B1720" s="146" t="s">
        <v>350</v>
      </c>
      <c r="C1720" s="148"/>
      <c r="D1720" s="137">
        <f>$D$1540</f>
        <v>43087</v>
      </c>
      <c r="E1720" s="137" t="str">
        <f>$E$1540</f>
        <v>449-п</v>
      </c>
      <c r="F1720" s="12">
        <v>43466</v>
      </c>
      <c r="G1720" s="12">
        <v>43646</v>
      </c>
      <c r="H1720" s="149" t="str">
        <f>$H$1540</f>
        <v>от 20.12.2018 Приказ № 540-п</v>
      </c>
      <c r="I1720" s="66">
        <f>$I$1540</f>
        <v>25.61</v>
      </c>
      <c r="J1720" s="13">
        <f>$J$1540</f>
        <v>3430.52</v>
      </c>
      <c r="K1720" s="15" t="s">
        <v>23</v>
      </c>
      <c r="L1720" s="15" t="s">
        <v>23</v>
      </c>
      <c r="M1720" s="153"/>
    </row>
    <row r="1721" spans="1:13" ht="15" customHeight="1" outlineLevel="1" x14ac:dyDescent="0.25">
      <c r="A1721" s="148"/>
      <c r="B1721" s="148"/>
      <c r="C1721" s="148"/>
      <c r="D1721" s="141"/>
      <c r="E1721" s="141"/>
      <c r="F1721" s="12">
        <v>43647</v>
      </c>
      <c r="G1721" s="12">
        <v>43830</v>
      </c>
      <c r="H1721" s="151"/>
      <c r="I1721" s="66">
        <f>$I$1541</f>
        <v>25.61</v>
      </c>
      <c r="J1721" s="13">
        <f>$J$1541</f>
        <v>3430.52</v>
      </c>
      <c r="K1721" s="15" t="s">
        <v>23</v>
      </c>
      <c r="L1721" s="15" t="s">
        <v>23</v>
      </c>
      <c r="M1721" s="152"/>
    </row>
    <row r="1722" spans="1:13" ht="15" customHeight="1" outlineLevel="1" x14ac:dyDescent="0.25">
      <c r="A1722" s="148"/>
      <c r="B1722" s="148"/>
      <c r="C1722" s="148"/>
      <c r="D1722" s="137">
        <f>$D$1506</f>
        <v>43454</v>
      </c>
      <c r="E1722" s="137" t="str">
        <f>$E$1506</f>
        <v>677-п</v>
      </c>
      <c r="F1722" s="50">
        <v>43466</v>
      </c>
      <c r="G1722" s="50">
        <v>43646</v>
      </c>
      <c r="H1722" s="149"/>
      <c r="I1722" s="15" t="s">
        <v>23</v>
      </c>
      <c r="J1722" s="15" t="s">
        <v>23</v>
      </c>
      <c r="K1722" s="13">
        <f>$K$1542</f>
        <v>18.59</v>
      </c>
      <c r="L1722" s="13">
        <f>$L$1542</f>
        <v>1990.13</v>
      </c>
      <c r="M1722" s="196" t="s">
        <v>420</v>
      </c>
    </row>
    <row r="1723" spans="1:13" ht="15" customHeight="1" outlineLevel="1" x14ac:dyDescent="0.25">
      <c r="A1723" s="148"/>
      <c r="B1723" s="148"/>
      <c r="C1723" s="148"/>
      <c r="D1723" s="138"/>
      <c r="E1723" s="138"/>
      <c r="F1723" s="50">
        <v>43647</v>
      </c>
      <c r="G1723" s="50">
        <v>43830</v>
      </c>
      <c r="H1723" s="150"/>
      <c r="I1723" s="15" t="s">
        <v>23</v>
      </c>
      <c r="J1723" s="15" t="s">
        <v>23</v>
      </c>
      <c r="K1723" s="13">
        <f>$K$1543</f>
        <v>18.96</v>
      </c>
      <c r="L1723" s="13">
        <f>$L$1543</f>
        <v>2029.93</v>
      </c>
      <c r="M1723" s="198"/>
    </row>
    <row r="1724" spans="1:13" ht="15" customHeight="1" outlineLevel="1" x14ac:dyDescent="0.25">
      <c r="A1724" s="148"/>
      <c r="B1724" s="148"/>
      <c r="C1724" s="148"/>
      <c r="D1724" s="138"/>
      <c r="E1724" s="138"/>
      <c r="F1724" s="50">
        <v>43466</v>
      </c>
      <c r="G1724" s="50">
        <v>43646</v>
      </c>
      <c r="H1724" s="150"/>
      <c r="I1724" s="15" t="s">
        <v>23</v>
      </c>
      <c r="J1724" s="15" t="s">
        <v>23</v>
      </c>
      <c r="K1724" s="13">
        <f>$K$1544</f>
        <v>18.59</v>
      </c>
      <c r="L1724" s="13">
        <f>$L$1544</f>
        <v>2179.66</v>
      </c>
      <c r="M1724" s="196" t="s">
        <v>421</v>
      </c>
    </row>
    <row r="1725" spans="1:13" ht="15" customHeight="1" outlineLevel="1" x14ac:dyDescent="0.25">
      <c r="A1725" s="148"/>
      <c r="B1725" s="148"/>
      <c r="C1725" s="148"/>
      <c r="D1725" s="138"/>
      <c r="E1725" s="138"/>
      <c r="F1725" s="50">
        <v>43647</v>
      </c>
      <c r="G1725" s="50">
        <v>43830</v>
      </c>
      <c r="H1725" s="150"/>
      <c r="I1725" s="15" t="s">
        <v>23</v>
      </c>
      <c r="J1725" s="15" t="s">
        <v>23</v>
      </c>
      <c r="K1725" s="13">
        <f>$K$1545</f>
        <v>18.96</v>
      </c>
      <c r="L1725" s="13">
        <f>$L$1545</f>
        <v>2223.25</v>
      </c>
      <c r="M1725" s="198"/>
    </row>
    <row r="1726" spans="1:13" ht="15" customHeight="1" outlineLevel="1" x14ac:dyDescent="0.25">
      <c r="A1726" s="148"/>
      <c r="B1726" s="148"/>
      <c r="C1726" s="148"/>
      <c r="D1726" s="138"/>
      <c r="E1726" s="138"/>
      <c r="F1726" s="50">
        <v>43466</v>
      </c>
      <c r="G1726" s="50">
        <v>43646</v>
      </c>
      <c r="H1726" s="150"/>
      <c r="I1726" s="15" t="s">
        <v>23</v>
      </c>
      <c r="J1726" s="15" t="s">
        <v>23</v>
      </c>
      <c r="K1726" s="13">
        <f>$K$1546</f>
        <v>18.59</v>
      </c>
      <c r="L1726" s="13">
        <f>$L$1546</f>
        <v>1855.66</v>
      </c>
      <c r="M1726" s="196" t="s">
        <v>422</v>
      </c>
    </row>
    <row r="1727" spans="1:13" ht="15" customHeight="1" outlineLevel="1" x14ac:dyDescent="0.25">
      <c r="A1727" s="148"/>
      <c r="B1727" s="148"/>
      <c r="C1727" s="148"/>
      <c r="D1727" s="138"/>
      <c r="E1727" s="138"/>
      <c r="F1727" s="50">
        <v>43647</v>
      </c>
      <c r="G1727" s="50">
        <v>43830</v>
      </c>
      <c r="H1727" s="150"/>
      <c r="I1727" s="15" t="s">
        <v>23</v>
      </c>
      <c r="J1727" s="15" t="s">
        <v>23</v>
      </c>
      <c r="K1727" s="13">
        <f>$K$1547</f>
        <v>18.96</v>
      </c>
      <c r="L1727" s="13">
        <f>$L$1547</f>
        <v>1892.77</v>
      </c>
      <c r="M1727" s="198"/>
    </row>
    <row r="1728" spans="1:13" ht="15" customHeight="1" outlineLevel="1" x14ac:dyDescent="0.25">
      <c r="A1728" s="148"/>
      <c r="B1728" s="148"/>
      <c r="C1728" s="148"/>
      <c r="D1728" s="138"/>
      <c r="E1728" s="138"/>
      <c r="F1728" s="50">
        <v>43466</v>
      </c>
      <c r="G1728" s="50">
        <v>43646</v>
      </c>
      <c r="H1728" s="150"/>
      <c r="I1728" s="15" t="s">
        <v>23</v>
      </c>
      <c r="J1728" s="15" t="s">
        <v>23</v>
      </c>
      <c r="K1728" s="13">
        <f>$K$1548</f>
        <v>18.59</v>
      </c>
      <c r="L1728" s="13">
        <f>$L$1548</f>
        <v>1990.13</v>
      </c>
      <c r="M1728" s="196" t="s">
        <v>423</v>
      </c>
    </row>
    <row r="1729" spans="1:13" ht="15" customHeight="1" outlineLevel="1" x14ac:dyDescent="0.25">
      <c r="A1729" s="148"/>
      <c r="B1729" s="148"/>
      <c r="C1729" s="148"/>
      <c r="D1729" s="138"/>
      <c r="E1729" s="138"/>
      <c r="F1729" s="50">
        <v>43647</v>
      </c>
      <c r="G1729" s="50">
        <v>43830</v>
      </c>
      <c r="H1729" s="150"/>
      <c r="I1729" s="15" t="s">
        <v>23</v>
      </c>
      <c r="J1729" s="15" t="s">
        <v>23</v>
      </c>
      <c r="K1729" s="13">
        <f>$K$1549</f>
        <v>18.96</v>
      </c>
      <c r="L1729" s="13">
        <f>$L$1549</f>
        <v>2029.93</v>
      </c>
      <c r="M1729" s="198"/>
    </row>
    <row r="1730" spans="1:13" ht="15" customHeight="1" outlineLevel="1" x14ac:dyDescent="0.25">
      <c r="A1730" s="148"/>
      <c r="B1730" s="148"/>
      <c r="C1730" s="148"/>
      <c r="D1730" s="138"/>
      <c r="E1730" s="138"/>
      <c r="F1730" s="50">
        <v>43466</v>
      </c>
      <c r="G1730" s="50">
        <v>43646</v>
      </c>
      <c r="H1730" s="150"/>
      <c r="I1730" s="15" t="s">
        <v>23</v>
      </c>
      <c r="J1730" s="15" t="s">
        <v>23</v>
      </c>
      <c r="K1730" s="13">
        <f>$K$1550</f>
        <v>18.59</v>
      </c>
      <c r="L1730" s="13">
        <f>$L$1550</f>
        <v>2080.59</v>
      </c>
      <c r="M1730" s="196" t="s">
        <v>424</v>
      </c>
    </row>
    <row r="1731" spans="1:13" ht="15" customHeight="1" outlineLevel="1" x14ac:dyDescent="0.25">
      <c r="A1731" s="148"/>
      <c r="B1731" s="148"/>
      <c r="C1731" s="148"/>
      <c r="D1731" s="138"/>
      <c r="E1731" s="138"/>
      <c r="F1731" s="50">
        <v>43647</v>
      </c>
      <c r="G1731" s="50">
        <v>43830</v>
      </c>
      <c r="H1731" s="150"/>
      <c r="I1731" s="15" t="s">
        <v>23</v>
      </c>
      <c r="J1731" s="15" t="s">
        <v>23</v>
      </c>
      <c r="K1731" s="13">
        <f>$K$1551</f>
        <v>18.96</v>
      </c>
      <c r="L1731" s="13">
        <f>$L$1551</f>
        <v>2122.1999999999998</v>
      </c>
      <c r="M1731" s="198"/>
    </row>
    <row r="1732" spans="1:13" ht="15" customHeight="1" outlineLevel="1" x14ac:dyDescent="0.25">
      <c r="A1732" s="148"/>
      <c r="B1732" s="148"/>
      <c r="C1732" s="148"/>
      <c r="D1732" s="138"/>
      <c r="E1732" s="138"/>
      <c r="F1732" s="50">
        <v>43466</v>
      </c>
      <c r="G1732" s="50">
        <v>43646</v>
      </c>
      <c r="H1732" s="150"/>
      <c r="I1732" s="15" t="s">
        <v>23</v>
      </c>
      <c r="J1732" s="15" t="s">
        <v>23</v>
      </c>
      <c r="K1732" s="13">
        <f>$K$1552</f>
        <v>18.59</v>
      </c>
      <c r="L1732" s="13">
        <f>$L$1552</f>
        <v>2251.13</v>
      </c>
      <c r="M1732" s="196" t="s">
        <v>425</v>
      </c>
    </row>
    <row r="1733" spans="1:13" ht="15" customHeight="1" outlineLevel="1" x14ac:dyDescent="0.25">
      <c r="A1733" s="148"/>
      <c r="B1733" s="148"/>
      <c r="C1733" s="148"/>
      <c r="D1733" s="138"/>
      <c r="E1733" s="138"/>
      <c r="F1733" s="50">
        <v>43647</v>
      </c>
      <c r="G1733" s="50">
        <v>43830</v>
      </c>
      <c r="H1733" s="150"/>
      <c r="I1733" s="15" t="s">
        <v>23</v>
      </c>
      <c r="J1733" s="15" t="s">
        <v>23</v>
      </c>
      <c r="K1733" s="13">
        <f>$K$1553</f>
        <v>18.96</v>
      </c>
      <c r="L1733" s="13">
        <f>$L$1553</f>
        <v>2296.15</v>
      </c>
      <c r="M1733" s="198"/>
    </row>
    <row r="1734" spans="1:13" ht="15" customHeight="1" outlineLevel="1" x14ac:dyDescent="0.25">
      <c r="A1734" s="148"/>
      <c r="B1734" s="148"/>
      <c r="C1734" s="148"/>
      <c r="D1734" s="138"/>
      <c r="E1734" s="138"/>
      <c r="F1734" s="50">
        <v>43466</v>
      </c>
      <c r="G1734" s="50">
        <v>43646</v>
      </c>
      <c r="H1734" s="150"/>
      <c r="I1734" s="15" t="s">
        <v>23</v>
      </c>
      <c r="J1734" s="15" t="s">
        <v>23</v>
      </c>
      <c r="K1734" s="13">
        <f>$K$1554</f>
        <v>18.59</v>
      </c>
      <c r="L1734" s="13">
        <f>$L$1554</f>
        <v>1907.2</v>
      </c>
      <c r="M1734" s="196" t="s">
        <v>426</v>
      </c>
    </row>
    <row r="1735" spans="1:13" ht="15" customHeight="1" outlineLevel="1" x14ac:dyDescent="0.25">
      <c r="A1735" s="148"/>
      <c r="B1735" s="148"/>
      <c r="C1735" s="148"/>
      <c r="D1735" s="138"/>
      <c r="E1735" s="138"/>
      <c r="F1735" s="50">
        <v>43647</v>
      </c>
      <c r="G1735" s="50">
        <v>43830</v>
      </c>
      <c r="H1735" s="150"/>
      <c r="I1735" s="15" t="s">
        <v>23</v>
      </c>
      <c r="J1735" s="15" t="s">
        <v>23</v>
      </c>
      <c r="K1735" s="13">
        <f>$K$1555</f>
        <v>18.96</v>
      </c>
      <c r="L1735" s="13">
        <f>$L$1555</f>
        <v>1945.35</v>
      </c>
      <c r="M1735" s="198"/>
    </row>
    <row r="1736" spans="1:13" ht="15" customHeight="1" outlineLevel="1" x14ac:dyDescent="0.25">
      <c r="A1736" s="148"/>
      <c r="B1736" s="148"/>
      <c r="C1736" s="148"/>
      <c r="D1736" s="138"/>
      <c r="E1736" s="138"/>
      <c r="F1736" s="50">
        <v>43466</v>
      </c>
      <c r="G1736" s="50">
        <v>43646</v>
      </c>
      <c r="H1736" s="150"/>
      <c r="I1736" s="15" t="s">
        <v>23</v>
      </c>
      <c r="J1736" s="15" t="s">
        <v>23</v>
      </c>
      <c r="K1736" s="13">
        <f>$K$1556</f>
        <v>18.59</v>
      </c>
      <c r="L1736" s="13">
        <f>$L$1556</f>
        <v>2080.59</v>
      </c>
      <c r="M1736" s="196" t="s">
        <v>427</v>
      </c>
    </row>
    <row r="1737" spans="1:13" ht="15" customHeight="1" outlineLevel="1" x14ac:dyDescent="0.25">
      <c r="A1737" s="147"/>
      <c r="B1737" s="147"/>
      <c r="C1737" s="148"/>
      <c r="D1737" s="141"/>
      <c r="E1737" s="141"/>
      <c r="F1737" s="50">
        <v>43647</v>
      </c>
      <c r="G1737" s="50">
        <v>43830</v>
      </c>
      <c r="H1737" s="151"/>
      <c r="I1737" s="15" t="s">
        <v>23</v>
      </c>
      <c r="J1737" s="15" t="s">
        <v>23</v>
      </c>
      <c r="K1737" s="13">
        <f>$K$1557</f>
        <v>18.96</v>
      </c>
      <c r="L1737" s="13">
        <f>$L$1557</f>
        <v>2122.1999999999998</v>
      </c>
      <c r="M1737" s="198"/>
    </row>
    <row r="1738" spans="1:13" ht="15" customHeight="1" outlineLevel="1" x14ac:dyDescent="0.25">
      <c r="A1738" s="146" t="s">
        <v>62</v>
      </c>
      <c r="B1738" s="146" t="s">
        <v>389</v>
      </c>
      <c r="C1738" s="148"/>
      <c r="D1738" s="137">
        <f>$D$1540</f>
        <v>43087</v>
      </c>
      <c r="E1738" s="137" t="str">
        <f>$E$1540</f>
        <v>449-п</v>
      </c>
      <c r="F1738" s="12">
        <v>43466</v>
      </c>
      <c r="G1738" s="12">
        <v>43646</v>
      </c>
      <c r="H1738" s="149" t="str">
        <f>$H$1540</f>
        <v>от 20.12.2018 Приказ № 540-п</v>
      </c>
      <c r="I1738" s="66">
        <f>$I$1540</f>
        <v>25.61</v>
      </c>
      <c r="J1738" s="13">
        <f>$J$1540</f>
        <v>3430.52</v>
      </c>
      <c r="K1738" s="15" t="s">
        <v>23</v>
      </c>
      <c r="L1738" s="15" t="s">
        <v>23</v>
      </c>
      <c r="M1738" s="153"/>
    </row>
    <row r="1739" spans="1:13" ht="15" customHeight="1" outlineLevel="1" x14ac:dyDescent="0.25">
      <c r="A1739" s="148"/>
      <c r="B1739" s="148"/>
      <c r="C1739" s="148"/>
      <c r="D1739" s="141"/>
      <c r="E1739" s="141"/>
      <c r="F1739" s="12">
        <v>43647</v>
      </c>
      <c r="G1739" s="12">
        <v>43830</v>
      </c>
      <c r="H1739" s="151"/>
      <c r="I1739" s="66">
        <f>$I$1541</f>
        <v>25.61</v>
      </c>
      <c r="J1739" s="13">
        <f>$J$1541</f>
        <v>3430.52</v>
      </c>
      <c r="K1739" s="15" t="s">
        <v>23</v>
      </c>
      <c r="L1739" s="15" t="s">
        <v>23</v>
      </c>
      <c r="M1739" s="152"/>
    </row>
    <row r="1740" spans="1:13" ht="15" customHeight="1" outlineLevel="1" x14ac:dyDescent="0.25">
      <c r="A1740" s="148"/>
      <c r="B1740" s="148"/>
      <c r="C1740" s="148"/>
      <c r="D1740" s="137">
        <f>$D$1506</f>
        <v>43454</v>
      </c>
      <c r="E1740" s="137" t="str">
        <f>$E$1506</f>
        <v>677-п</v>
      </c>
      <c r="F1740" s="50">
        <v>43466</v>
      </c>
      <c r="G1740" s="50">
        <v>43646</v>
      </c>
      <c r="H1740" s="149"/>
      <c r="I1740" s="15" t="s">
        <v>23</v>
      </c>
      <c r="J1740" s="15" t="s">
        <v>23</v>
      </c>
      <c r="K1740" s="13">
        <v>15.56</v>
      </c>
      <c r="L1740" s="13">
        <v>1964.78</v>
      </c>
      <c r="M1740" s="196" t="s">
        <v>420</v>
      </c>
    </row>
    <row r="1741" spans="1:13" ht="15" customHeight="1" outlineLevel="1" x14ac:dyDescent="0.25">
      <c r="A1741" s="148"/>
      <c r="B1741" s="148"/>
      <c r="C1741" s="148"/>
      <c r="D1741" s="138"/>
      <c r="E1741" s="138"/>
      <c r="F1741" s="50">
        <v>43647</v>
      </c>
      <c r="G1741" s="50">
        <v>43830</v>
      </c>
      <c r="H1741" s="150"/>
      <c r="I1741" s="15" t="s">
        <v>23</v>
      </c>
      <c r="J1741" s="15" t="s">
        <v>23</v>
      </c>
      <c r="K1741" s="13">
        <v>15.87</v>
      </c>
      <c r="L1741" s="13">
        <v>2004.07</v>
      </c>
      <c r="M1741" s="198"/>
    </row>
    <row r="1742" spans="1:13" ht="15" customHeight="1" outlineLevel="1" x14ac:dyDescent="0.25">
      <c r="A1742" s="148"/>
      <c r="B1742" s="148"/>
      <c r="C1742" s="148"/>
      <c r="D1742" s="138"/>
      <c r="E1742" s="138"/>
      <c r="F1742" s="50">
        <v>43466</v>
      </c>
      <c r="G1742" s="50">
        <v>43646</v>
      </c>
      <c r="H1742" s="150"/>
      <c r="I1742" s="15" t="s">
        <v>23</v>
      </c>
      <c r="J1742" s="15" t="s">
        <v>23</v>
      </c>
      <c r="K1742" s="13">
        <f>$K$1740</f>
        <v>15.56</v>
      </c>
      <c r="L1742" s="13">
        <v>2151.9</v>
      </c>
      <c r="M1742" s="196" t="s">
        <v>421</v>
      </c>
    </row>
    <row r="1743" spans="1:13" ht="15" customHeight="1" outlineLevel="1" x14ac:dyDescent="0.25">
      <c r="A1743" s="148"/>
      <c r="B1743" s="148"/>
      <c r="C1743" s="148"/>
      <c r="D1743" s="138"/>
      <c r="E1743" s="138"/>
      <c r="F1743" s="50">
        <v>43647</v>
      </c>
      <c r="G1743" s="50">
        <v>43830</v>
      </c>
      <c r="H1743" s="150"/>
      <c r="I1743" s="15" t="s">
        <v>23</v>
      </c>
      <c r="J1743" s="15" t="s">
        <v>23</v>
      </c>
      <c r="K1743" s="13">
        <f>$K$1741</f>
        <v>15.87</v>
      </c>
      <c r="L1743" s="13">
        <v>2194.9299999999998</v>
      </c>
      <c r="M1743" s="198"/>
    </row>
    <row r="1744" spans="1:13" ht="15" customHeight="1" outlineLevel="1" x14ac:dyDescent="0.25">
      <c r="A1744" s="148"/>
      <c r="B1744" s="148"/>
      <c r="C1744" s="148"/>
      <c r="D1744" s="138"/>
      <c r="E1744" s="138"/>
      <c r="F1744" s="50">
        <v>43466</v>
      </c>
      <c r="G1744" s="50">
        <v>43646</v>
      </c>
      <c r="H1744" s="150"/>
      <c r="I1744" s="15" t="s">
        <v>23</v>
      </c>
      <c r="J1744" s="15" t="s">
        <v>23</v>
      </c>
      <c r="K1744" s="13">
        <f t="shared" ref="K1744" si="81">$K$1740</f>
        <v>15.56</v>
      </c>
      <c r="L1744" s="13">
        <v>1832.02</v>
      </c>
      <c r="M1744" s="196" t="s">
        <v>422</v>
      </c>
    </row>
    <row r="1745" spans="1:13" ht="15" customHeight="1" outlineLevel="1" x14ac:dyDescent="0.25">
      <c r="A1745" s="148"/>
      <c r="B1745" s="148"/>
      <c r="C1745" s="148"/>
      <c r="D1745" s="138"/>
      <c r="E1745" s="138"/>
      <c r="F1745" s="50">
        <v>43647</v>
      </c>
      <c r="G1745" s="50">
        <v>43830</v>
      </c>
      <c r="H1745" s="150"/>
      <c r="I1745" s="15" t="s">
        <v>23</v>
      </c>
      <c r="J1745" s="15" t="s">
        <v>23</v>
      </c>
      <c r="K1745" s="13">
        <f t="shared" ref="K1745" si="82">$K$1741</f>
        <v>15.87</v>
      </c>
      <c r="L1745" s="13">
        <v>1868.66</v>
      </c>
      <c r="M1745" s="198"/>
    </row>
    <row r="1746" spans="1:13" ht="15" customHeight="1" outlineLevel="1" x14ac:dyDescent="0.25">
      <c r="A1746" s="148"/>
      <c r="B1746" s="148"/>
      <c r="C1746" s="148"/>
      <c r="D1746" s="138"/>
      <c r="E1746" s="138"/>
      <c r="F1746" s="50">
        <v>43466</v>
      </c>
      <c r="G1746" s="50">
        <v>43646</v>
      </c>
      <c r="H1746" s="150"/>
      <c r="I1746" s="15" t="s">
        <v>23</v>
      </c>
      <c r="J1746" s="15" t="s">
        <v>23</v>
      </c>
      <c r="K1746" s="13">
        <f t="shared" ref="K1746" si="83">$K$1740</f>
        <v>15.56</v>
      </c>
      <c r="L1746" s="13">
        <v>1964.78</v>
      </c>
      <c r="M1746" s="196" t="s">
        <v>423</v>
      </c>
    </row>
    <row r="1747" spans="1:13" ht="15" customHeight="1" outlineLevel="1" x14ac:dyDescent="0.25">
      <c r="A1747" s="148"/>
      <c r="B1747" s="148"/>
      <c r="C1747" s="148"/>
      <c r="D1747" s="138"/>
      <c r="E1747" s="138"/>
      <c r="F1747" s="50">
        <v>43647</v>
      </c>
      <c r="G1747" s="50">
        <v>43830</v>
      </c>
      <c r="H1747" s="150"/>
      <c r="I1747" s="15" t="s">
        <v>23</v>
      </c>
      <c r="J1747" s="15" t="s">
        <v>23</v>
      </c>
      <c r="K1747" s="13">
        <f t="shared" ref="K1747" si="84">$K$1741</f>
        <v>15.87</v>
      </c>
      <c r="L1747" s="13">
        <v>2004.07</v>
      </c>
      <c r="M1747" s="198"/>
    </row>
    <row r="1748" spans="1:13" ht="15" customHeight="1" outlineLevel="1" x14ac:dyDescent="0.25">
      <c r="A1748" s="148"/>
      <c r="B1748" s="148"/>
      <c r="C1748" s="148"/>
      <c r="D1748" s="138"/>
      <c r="E1748" s="138"/>
      <c r="F1748" s="50">
        <v>43466</v>
      </c>
      <c r="G1748" s="50">
        <v>43646</v>
      </c>
      <c r="H1748" s="150"/>
      <c r="I1748" s="15" t="s">
        <v>23</v>
      </c>
      <c r="J1748" s="15" t="s">
        <v>23</v>
      </c>
      <c r="K1748" s="13">
        <f t="shared" ref="K1748" si="85">$K$1740</f>
        <v>15.56</v>
      </c>
      <c r="L1748" s="13">
        <v>2054.08</v>
      </c>
      <c r="M1748" s="196" t="s">
        <v>424</v>
      </c>
    </row>
    <row r="1749" spans="1:13" ht="15" customHeight="1" outlineLevel="1" x14ac:dyDescent="0.25">
      <c r="A1749" s="148"/>
      <c r="B1749" s="148"/>
      <c r="C1749" s="148"/>
      <c r="D1749" s="138"/>
      <c r="E1749" s="138"/>
      <c r="F1749" s="50">
        <v>43647</v>
      </c>
      <c r="G1749" s="50">
        <v>43830</v>
      </c>
      <c r="H1749" s="150"/>
      <c r="I1749" s="15" t="s">
        <v>23</v>
      </c>
      <c r="J1749" s="15" t="s">
        <v>23</v>
      </c>
      <c r="K1749" s="13">
        <f t="shared" ref="K1749" si="86">$K$1741</f>
        <v>15.87</v>
      </c>
      <c r="L1749" s="13">
        <v>2095.16</v>
      </c>
      <c r="M1749" s="198"/>
    </row>
    <row r="1750" spans="1:13" ht="15" customHeight="1" outlineLevel="1" x14ac:dyDescent="0.25">
      <c r="A1750" s="148"/>
      <c r="B1750" s="148"/>
      <c r="C1750" s="148"/>
      <c r="D1750" s="138"/>
      <c r="E1750" s="138"/>
      <c r="F1750" s="50">
        <v>43466</v>
      </c>
      <c r="G1750" s="50">
        <v>43646</v>
      </c>
      <c r="H1750" s="150"/>
      <c r="I1750" s="15" t="s">
        <v>23</v>
      </c>
      <c r="J1750" s="15" t="s">
        <v>23</v>
      </c>
      <c r="K1750" s="13">
        <f t="shared" ref="K1750" si="87">$K$1740</f>
        <v>15.56</v>
      </c>
      <c r="L1750" s="13">
        <v>2222.4499999999998</v>
      </c>
      <c r="M1750" s="196" t="s">
        <v>425</v>
      </c>
    </row>
    <row r="1751" spans="1:13" ht="15" customHeight="1" outlineLevel="1" x14ac:dyDescent="0.25">
      <c r="A1751" s="148"/>
      <c r="B1751" s="148"/>
      <c r="C1751" s="148"/>
      <c r="D1751" s="138"/>
      <c r="E1751" s="138"/>
      <c r="F1751" s="50">
        <v>43647</v>
      </c>
      <c r="G1751" s="50">
        <v>43830</v>
      </c>
      <c r="H1751" s="150"/>
      <c r="I1751" s="15" t="s">
        <v>23</v>
      </c>
      <c r="J1751" s="15" t="s">
        <v>23</v>
      </c>
      <c r="K1751" s="13">
        <f t="shared" ref="K1751" si="88">$K$1741</f>
        <v>15.87</v>
      </c>
      <c r="L1751" s="13">
        <v>2266.9</v>
      </c>
      <c r="M1751" s="198"/>
    </row>
    <row r="1752" spans="1:13" ht="15" customHeight="1" outlineLevel="1" x14ac:dyDescent="0.25">
      <c r="A1752" s="148"/>
      <c r="B1752" s="148"/>
      <c r="C1752" s="148"/>
      <c r="D1752" s="138"/>
      <c r="E1752" s="138"/>
      <c r="F1752" s="50">
        <v>43466</v>
      </c>
      <c r="G1752" s="50">
        <v>43646</v>
      </c>
      <c r="H1752" s="150"/>
      <c r="I1752" s="15" t="s">
        <v>23</v>
      </c>
      <c r="J1752" s="15" t="s">
        <v>23</v>
      </c>
      <c r="K1752" s="13">
        <f t="shared" ref="K1752" si="89">$K$1740</f>
        <v>15.56</v>
      </c>
      <c r="L1752" s="13">
        <v>1882.91</v>
      </c>
      <c r="M1752" s="196" t="s">
        <v>426</v>
      </c>
    </row>
    <row r="1753" spans="1:13" ht="15" customHeight="1" outlineLevel="1" x14ac:dyDescent="0.25">
      <c r="A1753" s="148"/>
      <c r="B1753" s="148"/>
      <c r="C1753" s="148"/>
      <c r="D1753" s="138"/>
      <c r="E1753" s="138"/>
      <c r="F1753" s="50">
        <v>43647</v>
      </c>
      <c r="G1753" s="50">
        <v>43830</v>
      </c>
      <c r="H1753" s="150"/>
      <c r="I1753" s="15" t="s">
        <v>23</v>
      </c>
      <c r="J1753" s="15" t="s">
        <v>23</v>
      </c>
      <c r="K1753" s="13">
        <f t="shared" ref="K1753" si="90">$K$1741</f>
        <v>15.87</v>
      </c>
      <c r="L1753" s="13">
        <v>1920.57</v>
      </c>
      <c r="M1753" s="198"/>
    </row>
    <row r="1754" spans="1:13" ht="15" customHeight="1" outlineLevel="1" x14ac:dyDescent="0.25">
      <c r="A1754" s="148"/>
      <c r="B1754" s="148"/>
      <c r="C1754" s="148"/>
      <c r="D1754" s="138"/>
      <c r="E1754" s="138"/>
      <c r="F1754" s="50">
        <v>43466</v>
      </c>
      <c r="G1754" s="50">
        <v>43646</v>
      </c>
      <c r="H1754" s="150"/>
      <c r="I1754" s="15" t="s">
        <v>23</v>
      </c>
      <c r="J1754" s="15" t="s">
        <v>23</v>
      </c>
      <c r="K1754" s="13">
        <f t="shared" ref="K1754" si="91">$K$1740</f>
        <v>15.56</v>
      </c>
      <c r="L1754" s="13">
        <v>2054.08</v>
      </c>
      <c r="M1754" s="196" t="s">
        <v>427</v>
      </c>
    </row>
    <row r="1755" spans="1:13" ht="15" customHeight="1" outlineLevel="1" x14ac:dyDescent="0.25">
      <c r="A1755" s="147"/>
      <c r="B1755" s="147"/>
      <c r="C1755" s="148"/>
      <c r="D1755" s="141"/>
      <c r="E1755" s="141"/>
      <c r="F1755" s="50">
        <v>43647</v>
      </c>
      <c r="G1755" s="50">
        <v>43830</v>
      </c>
      <c r="H1755" s="151"/>
      <c r="I1755" s="15" t="s">
        <v>23</v>
      </c>
      <c r="J1755" s="15" t="s">
        <v>23</v>
      </c>
      <c r="K1755" s="13">
        <f t="shared" ref="K1755" si="92">$K$1741</f>
        <v>15.87</v>
      </c>
      <c r="L1755" s="13">
        <v>2095.16</v>
      </c>
      <c r="M1755" s="198"/>
    </row>
    <row r="1756" spans="1:13" ht="15" customHeight="1" outlineLevel="1" x14ac:dyDescent="0.25">
      <c r="A1756" s="146" t="s">
        <v>62</v>
      </c>
      <c r="B1756" s="146" t="s">
        <v>395</v>
      </c>
      <c r="C1756" s="148"/>
      <c r="D1756" s="137">
        <f>$D$1540</f>
        <v>43087</v>
      </c>
      <c r="E1756" s="137" t="str">
        <f>$E$1540</f>
        <v>449-п</v>
      </c>
      <c r="F1756" s="12">
        <v>43466</v>
      </c>
      <c r="G1756" s="12">
        <v>43646</v>
      </c>
      <c r="H1756" s="149" t="str">
        <f>$H$1540</f>
        <v>от 20.12.2018 Приказ № 540-п</v>
      </c>
      <c r="I1756" s="66">
        <f>$I$1540</f>
        <v>25.61</v>
      </c>
      <c r="J1756" s="13">
        <f>$J$1540</f>
        <v>3430.52</v>
      </c>
      <c r="K1756" s="15" t="s">
        <v>23</v>
      </c>
      <c r="L1756" s="15" t="s">
        <v>23</v>
      </c>
      <c r="M1756" s="153"/>
    </row>
    <row r="1757" spans="1:13" ht="15" customHeight="1" outlineLevel="1" x14ac:dyDescent="0.25">
      <c r="A1757" s="148"/>
      <c r="B1757" s="148"/>
      <c r="C1757" s="148"/>
      <c r="D1757" s="141"/>
      <c r="E1757" s="141"/>
      <c r="F1757" s="12">
        <v>43647</v>
      </c>
      <c r="G1757" s="12">
        <v>43830</v>
      </c>
      <c r="H1757" s="151"/>
      <c r="I1757" s="66">
        <f>$I$1541</f>
        <v>25.61</v>
      </c>
      <c r="J1757" s="13">
        <f>$J$1541</f>
        <v>3430.52</v>
      </c>
      <c r="K1757" s="15" t="s">
        <v>23</v>
      </c>
      <c r="L1757" s="15" t="s">
        <v>23</v>
      </c>
      <c r="M1757" s="152"/>
    </row>
    <row r="1758" spans="1:13" ht="15" customHeight="1" outlineLevel="1" x14ac:dyDescent="0.25">
      <c r="A1758" s="148"/>
      <c r="B1758" s="148"/>
      <c r="C1758" s="148"/>
      <c r="D1758" s="137">
        <f>$D$1506</f>
        <v>43454</v>
      </c>
      <c r="E1758" s="137" t="str">
        <f>$E$1506</f>
        <v>677-п</v>
      </c>
      <c r="F1758" s="50">
        <v>43466</v>
      </c>
      <c r="G1758" s="50">
        <v>43646</v>
      </c>
      <c r="H1758" s="149"/>
      <c r="I1758" s="15" t="s">
        <v>23</v>
      </c>
      <c r="J1758" s="15" t="s">
        <v>23</v>
      </c>
      <c r="K1758" s="13">
        <f>K1740</f>
        <v>15.56</v>
      </c>
      <c r="L1758" s="13">
        <f>L1740</f>
        <v>1964.78</v>
      </c>
      <c r="M1758" s="196" t="s">
        <v>420</v>
      </c>
    </row>
    <row r="1759" spans="1:13" ht="15" customHeight="1" outlineLevel="1" x14ac:dyDescent="0.25">
      <c r="A1759" s="148"/>
      <c r="B1759" s="148"/>
      <c r="C1759" s="148"/>
      <c r="D1759" s="138"/>
      <c r="E1759" s="138"/>
      <c r="F1759" s="50">
        <v>43647</v>
      </c>
      <c r="G1759" s="50">
        <v>43830</v>
      </c>
      <c r="H1759" s="150"/>
      <c r="I1759" s="15" t="s">
        <v>23</v>
      </c>
      <c r="J1759" s="15" t="s">
        <v>23</v>
      </c>
      <c r="K1759" s="13">
        <f t="shared" ref="K1759:L1773" si="93">K1741</f>
        <v>15.87</v>
      </c>
      <c r="L1759" s="13">
        <f t="shared" si="93"/>
        <v>2004.07</v>
      </c>
      <c r="M1759" s="198"/>
    </row>
    <row r="1760" spans="1:13" ht="15" customHeight="1" outlineLevel="1" x14ac:dyDescent="0.25">
      <c r="A1760" s="148"/>
      <c r="B1760" s="148"/>
      <c r="C1760" s="148"/>
      <c r="D1760" s="138"/>
      <c r="E1760" s="138"/>
      <c r="F1760" s="50">
        <v>43466</v>
      </c>
      <c r="G1760" s="50">
        <v>43646</v>
      </c>
      <c r="H1760" s="150"/>
      <c r="I1760" s="15" t="s">
        <v>23</v>
      </c>
      <c r="J1760" s="15" t="s">
        <v>23</v>
      </c>
      <c r="K1760" s="13">
        <f t="shared" si="93"/>
        <v>15.56</v>
      </c>
      <c r="L1760" s="13">
        <f t="shared" si="93"/>
        <v>2151.9</v>
      </c>
      <c r="M1760" s="196" t="s">
        <v>421</v>
      </c>
    </row>
    <row r="1761" spans="1:13" ht="15" customHeight="1" outlineLevel="1" x14ac:dyDescent="0.25">
      <c r="A1761" s="148"/>
      <c r="B1761" s="148"/>
      <c r="C1761" s="148"/>
      <c r="D1761" s="138"/>
      <c r="E1761" s="138"/>
      <c r="F1761" s="50">
        <v>43647</v>
      </c>
      <c r="G1761" s="50">
        <v>43830</v>
      </c>
      <c r="H1761" s="150"/>
      <c r="I1761" s="15" t="s">
        <v>23</v>
      </c>
      <c r="J1761" s="15" t="s">
        <v>23</v>
      </c>
      <c r="K1761" s="13">
        <f t="shared" si="93"/>
        <v>15.87</v>
      </c>
      <c r="L1761" s="13">
        <f t="shared" si="93"/>
        <v>2194.9299999999998</v>
      </c>
      <c r="M1761" s="198"/>
    </row>
    <row r="1762" spans="1:13" ht="15" customHeight="1" outlineLevel="1" x14ac:dyDescent="0.25">
      <c r="A1762" s="148"/>
      <c r="B1762" s="148"/>
      <c r="C1762" s="148"/>
      <c r="D1762" s="138"/>
      <c r="E1762" s="138"/>
      <c r="F1762" s="50">
        <v>43466</v>
      </c>
      <c r="G1762" s="50">
        <v>43646</v>
      </c>
      <c r="H1762" s="150"/>
      <c r="I1762" s="15" t="s">
        <v>23</v>
      </c>
      <c r="J1762" s="15" t="s">
        <v>23</v>
      </c>
      <c r="K1762" s="13">
        <f t="shared" si="93"/>
        <v>15.56</v>
      </c>
      <c r="L1762" s="13">
        <f t="shared" si="93"/>
        <v>1832.02</v>
      </c>
      <c r="M1762" s="196" t="s">
        <v>422</v>
      </c>
    </row>
    <row r="1763" spans="1:13" ht="15" customHeight="1" outlineLevel="1" x14ac:dyDescent="0.25">
      <c r="A1763" s="148"/>
      <c r="B1763" s="148"/>
      <c r="C1763" s="148"/>
      <c r="D1763" s="138"/>
      <c r="E1763" s="138"/>
      <c r="F1763" s="50">
        <v>43647</v>
      </c>
      <c r="G1763" s="50">
        <v>43830</v>
      </c>
      <c r="H1763" s="150"/>
      <c r="I1763" s="15" t="s">
        <v>23</v>
      </c>
      <c r="J1763" s="15" t="s">
        <v>23</v>
      </c>
      <c r="K1763" s="13">
        <f t="shared" si="93"/>
        <v>15.87</v>
      </c>
      <c r="L1763" s="13">
        <f t="shared" si="93"/>
        <v>1868.66</v>
      </c>
      <c r="M1763" s="198"/>
    </row>
    <row r="1764" spans="1:13" ht="15" customHeight="1" outlineLevel="1" x14ac:dyDescent="0.25">
      <c r="A1764" s="148"/>
      <c r="B1764" s="148"/>
      <c r="C1764" s="148"/>
      <c r="D1764" s="138"/>
      <c r="E1764" s="138"/>
      <c r="F1764" s="50">
        <v>43466</v>
      </c>
      <c r="G1764" s="50">
        <v>43646</v>
      </c>
      <c r="H1764" s="150"/>
      <c r="I1764" s="15" t="s">
        <v>23</v>
      </c>
      <c r="J1764" s="15" t="s">
        <v>23</v>
      </c>
      <c r="K1764" s="13">
        <f t="shared" si="93"/>
        <v>15.56</v>
      </c>
      <c r="L1764" s="13">
        <f t="shared" si="93"/>
        <v>1964.78</v>
      </c>
      <c r="M1764" s="196" t="s">
        <v>423</v>
      </c>
    </row>
    <row r="1765" spans="1:13" ht="15" customHeight="1" outlineLevel="1" x14ac:dyDescent="0.25">
      <c r="A1765" s="148"/>
      <c r="B1765" s="148"/>
      <c r="C1765" s="148"/>
      <c r="D1765" s="138"/>
      <c r="E1765" s="138"/>
      <c r="F1765" s="50">
        <v>43647</v>
      </c>
      <c r="G1765" s="50">
        <v>43830</v>
      </c>
      <c r="H1765" s="150"/>
      <c r="I1765" s="15" t="s">
        <v>23</v>
      </c>
      <c r="J1765" s="15" t="s">
        <v>23</v>
      </c>
      <c r="K1765" s="13">
        <f t="shared" si="93"/>
        <v>15.87</v>
      </c>
      <c r="L1765" s="13">
        <f t="shared" si="93"/>
        <v>2004.07</v>
      </c>
      <c r="M1765" s="198"/>
    </row>
    <row r="1766" spans="1:13" ht="15" customHeight="1" outlineLevel="1" x14ac:dyDescent="0.25">
      <c r="A1766" s="148"/>
      <c r="B1766" s="148"/>
      <c r="C1766" s="148"/>
      <c r="D1766" s="138"/>
      <c r="E1766" s="138"/>
      <c r="F1766" s="50">
        <v>43466</v>
      </c>
      <c r="G1766" s="50">
        <v>43646</v>
      </c>
      <c r="H1766" s="150"/>
      <c r="I1766" s="15" t="s">
        <v>23</v>
      </c>
      <c r="J1766" s="15" t="s">
        <v>23</v>
      </c>
      <c r="K1766" s="13">
        <f t="shared" si="93"/>
        <v>15.56</v>
      </c>
      <c r="L1766" s="13">
        <f t="shared" si="93"/>
        <v>2054.08</v>
      </c>
      <c r="M1766" s="196" t="s">
        <v>424</v>
      </c>
    </row>
    <row r="1767" spans="1:13" ht="15" customHeight="1" outlineLevel="1" x14ac:dyDescent="0.25">
      <c r="A1767" s="148"/>
      <c r="B1767" s="148"/>
      <c r="C1767" s="148"/>
      <c r="D1767" s="138"/>
      <c r="E1767" s="138"/>
      <c r="F1767" s="50">
        <v>43647</v>
      </c>
      <c r="G1767" s="50">
        <v>43830</v>
      </c>
      <c r="H1767" s="150"/>
      <c r="I1767" s="15" t="s">
        <v>23</v>
      </c>
      <c r="J1767" s="15" t="s">
        <v>23</v>
      </c>
      <c r="K1767" s="13">
        <f t="shared" si="93"/>
        <v>15.87</v>
      </c>
      <c r="L1767" s="13">
        <f t="shared" si="93"/>
        <v>2095.16</v>
      </c>
      <c r="M1767" s="198"/>
    </row>
    <row r="1768" spans="1:13" ht="15" customHeight="1" outlineLevel="1" x14ac:dyDescent="0.25">
      <c r="A1768" s="148"/>
      <c r="B1768" s="148"/>
      <c r="C1768" s="148"/>
      <c r="D1768" s="138"/>
      <c r="E1768" s="138"/>
      <c r="F1768" s="50">
        <v>43466</v>
      </c>
      <c r="G1768" s="50">
        <v>43646</v>
      </c>
      <c r="H1768" s="150"/>
      <c r="I1768" s="15" t="s">
        <v>23</v>
      </c>
      <c r="J1768" s="15" t="s">
        <v>23</v>
      </c>
      <c r="K1768" s="13">
        <f t="shared" si="93"/>
        <v>15.56</v>
      </c>
      <c r="L1768" s="13">
        <f t="shared" si="93"/>
        <v>2222.4499999999998</v>
      </c>
      <c r="M1768" s="196" t="s">
        <v>425</v>
      </c>
    </row>
    <row r="1769" spans="1:13" ht="15" customHeight="1" outlineLevel="1" x14ac:dyDescent="0.25">
      <c r="A1769" s="148"/>
      <c r="B1769" s="148"/>
      <c r="C1769" s="148"/>
      <c r="D1769" s="138"/>
      <c r="E1769" s="138"/>
      <c r="F1769" s="50">
        <v>43647</v>
      </c>
      <c r="G1769" s="50">
        <v>43830</v>
      </c>
      <c r="H1769" s="150"/>
      <c r="I1769" s="15" t="s">
        <v>23</v>
      </c>
      <c r="J1769" s="15" t="s">
        <v>23</v>
      </c>
      <c r="K1769" s="13">
        <f t="shared" si="93"/>
        <v>15.87</v>
      </c>
      <c r="L1769" s="13">
        <f t="shared" si="93"/>
        <v>2266.9</v>
      </c>
      <c r="M1769" s="198"/>
    </row>
    <row r="1770" spans="1:13" ht="15" customHeight="1" outlineLevel="1" x14ac:dyDescent="0.25">
      <c r="A1770" s="148"/>
      <c r="B1770" s="148"/>
      <c r="C1770" s="148"/>
      <c r="D1770" s="138"/>
      <c r="E1770" s="138"/>
      <c r="F1770" s="50">
        <v>43466</v>
      </c>
      <c r="G1770" s="50">
        <v>43646</v>
      </c>
      <c r="H1770" s="150"/>
      <c r="I1770" s="15" t="s">
        <v>23</v>
      </c>
      <c r="J1770" s="15" t="s">
        <v>23</v>
      </c>
      <c r="K1770" s="13">
        <f t="shared" si="93"/>
        <v>15.56</v>
      </c>
      <c r="L1770" s="13">
        <f t="shared" si="93"/>
        <v>1882.91</v>
      </c>
      <c r="M1770" s="196" t="s">
        <v>426</v>
      </c>
    </row>
    <row r="1771" spans="1:13" ht="15" customHeight="1" outlineLevel="1" x14ac:dyDescent="0.25">
      <c r="A1771" s="148"/>
      <c r="B1771" s="148"/>
      <c r="C1771" s="148"/>
      <c r="D1771" s="138"/>
      <c r="E1771" s="138"/>
      <c r="F1771" s="50">
        <v>43647</v>
      </c>
      <c r="G1771" s="50">
        <v>43830</v>
      </c>
      <c r="H1771" s="150"/>
      <c r="I1771" s="15" t="s">
        <v>23</v>
      </c>
      <c r="J1771" s="15" t="s">
        <v>23</v>
      </c>
      <c r="K1771" s="13">
        <f t="shared" si="93"/>
        <v>15.87</v>
      </c>
      <c r="L1771" s="13">
        <f t="shared" si="93"/>
        <v>1920.57</v>
      </c>
      <c r="M1771" s="198"/>
    </row>
    <row r="1772" spans="1:13" ht="15" customHeight="1" outlineLevel="1" x14ac:dyDescent="0.25">
      <c r="A1772" s="148"/>
      <c r="B1772" s="148"/>
      <c r="C1772" s="148"/>
      <c r="D1772" s="138"/>
      <c r="E1772" s="138"/>
      <c r="F1772" s="50">
        <v>43466</v>
      </c>
      <c r="G1772" s="50">
        <v>43646</v>
      </c>
      <c r="H1772" s="150"/>
      <c r="I1772" s="15" t="s">
        <v>23</v>
      </c>
      <c r="J1772" s="15" t="s">
        <v>23</v>
      </c>
      <c r="K1772" s="13">
        <f t="shared" si="93"/>
        <v>15.56</v>
      </c>
      <c r="L1772" s="13">
        <f t="shared" si="93"/>
        <v>2054.08</v>
      </c>
      <c r="M1772" s="196" t="s">
        <v>427</v>
      </c>
    </row>
    <row r="1773" spans="1:13" ht="15" customHeight="1" outlineLevel="1" x14ac:dyDescent="0.25">
      <c r="A1773" s="147"/>
      <c r="B1773" s="147"/>
      <c r="C1773" s="148"/>
      <c r="D1773" s="141"/>
      <c r="E1773" s="141"/>
      <c r="F1773" s="50">
        <v>43647</v>
      </c>
      <c r="G1773" s="50">
        <v>43830</v>
      </c>
      <c r="H1773" s="151"/>
      <c r="I1773" s="15" t="s">
        <v>23</v>
      </c>
      <c r="J1773" s="15" t="s">
        <v>23</v>
      </c>
      <c r="K1773" s="13">
        <f t="shared" si="93"/>
        <v>15.87</v>
      </c>
      <c r="L1773" s="13">
        <f>L1755</f>
        <v>2095.16</v>
      </c>
      <c r="M1773" s="198"/>
    </row>
    <row r="1774" spans="1:13" ht="15" customHeight="1" outlineLevel="1" x14ac:dyDescent="0.25">
      <c r="A1774" s="146" t="s">
        <v>62</v>
      </c>
      <c r="B1774" s="146" t="s">
        <v>385</v>
      </c>
      <c r="C1774" s="148"/>
      <c r="D1774" s="137">
        <f>$D$1540</f>
        <v>43087</v>
      </c>
      <c r="E1774" s="137" t="str">
        <f>$E$1540</f>
        <v>449-п</v>
      </c>
      <c r="F1774" s="12">
        <v>43466</v>
      </c>
      <c r="G1774" s="12">
        <v>43646</v>
      </c>
      <c r="H1774" s="149" t="str">
        <f>$H$1540</f>
        <v>от 20.12.2018 Приказ № 540-п</v>
      </c>
      <c r="I1774" s="66">
        <f>$I$1540</f>
        <v>25.61</v>
      </c>
      <c r="J1774" s="13">
        <f>$J$1540</f>
        <v>3430.52</v>
      </c>
      <c r="K1774" s="15" t="s">
        <v>23</v>
      </c>
      <c r="L1774" s="15" t="s">
        <v>23</v>
      </c>
      <c r="M1774" s="153"/>
    </row>
    <row r="1775" spans="1:13" ht="15" customHeight="1" outlineLevel="1" x14ac:dyDescent="0.25">
      <c r="A1775" s="148"/>
      <c r="B1775" s="148"/>
      <c r="C1775" s="148"/>
      <c r="D1775" s="141"/>
      <c r="E1775" s="141"/>
      <c r="F1775" s="12">
        <v>43647</v>
      </c>
      <c r="G1775" s="12">
        <v>43830</v>
      </c>
      <c r="H1775" s="151"/>
      <c r="I1775" s="66">
        <f>$I$1541</f>
        <v>25.61</v>
      </c>
      <c r="J1775" s="13">
        <f>$J$1541</f>
        <v>3430.52</v>
      </c>
      <c r="K1775" s="15" t="s">
        <v>23</v>
      </c>
      <c r="L1775" s="15" t="s">
        <v>23</v>
      </c>
      <c r="M1775" s="152"/>
    </row>
    <row r="1776" spans="1:13" ht="15" customHeight="1" outlineLevel="1" x14ac:dyDescent="0.25">
      <c r="A1776" s="148"/>
      <c r="B1776" s="148"/>
      <c r="C1776" s="148"/>
      <c r="D1776" s="137">
        <f>$D$1506</f>
        <v>43454</v>
      </c>
      <c r="E1776" s="137" t="str">
        <f>$E$1506</f>
        <v>677-п</v>
      </c>
      <c r="F1776" s="50">
        <v>43466</v>
      </c>
      <c r="G1776" s="50">
        <v>43646</v>
      </c>
      <c r="H1776" s="149"/>
      <c r="I1776" s="15" t="s">
        <v>23</v>
      </c>
      <c r="J1776" s="15" t="s">
        <v>23</v>
      </c>
      <c r="K1776" s="13">
        <f>K1740</f>
        <v>15.56</v>
      </c>
      <c r="L1776" s="13">
        <f>L1740</f>
        <v>1964.78</v>
      </c>
      <c r="M1776" s="196" t="s">
        <v>420</v>
      </c>
    </row>
    <row r="1777" spans="1:13" ht="15" customHeight="1" outlineLevel="1" x14ac:dyDescent="0.25">
      <c r="A1777" s="148"/>
      <c r="B1777" s="148"/>
      <c r="C1777" s="148"/>
      <c r="D1777" s="138"/>
      <c r="E1777" s="138"/>
      <c r="F1777" s="50">
        <v>43647</v>
      </c>
      <c r="G1777" s="50">
        <v>43830</v>
      </c>
      <c r="H1777" s="150"/>
      <c r="I1777" s="15" t="s">
        <v>23</v>
      </c>
      <c r="J1777" s="15" t="s">
        <v>23</v>
      </c>
      <c r="K1777" s="13">
        <f t="shared" ref="K1777:L1777" si="94">K1741</f>
        <v>15.87</v>
      </c>
      <c r="L1777" s="13">
        <f t="shared" si="94"/>
        <v>2004.07</v>
      </c>
      <c r="M1777" s="198"/>
    </row>
    <row r="1778" spans="1:13" ht="15" customHeight="1" outlineLevel="1" x14ac:dyDescent="0.25">
      <c r="A1778" s="148"/>
      <c r="B1778" s="148"/>
      <c r="C1778" s="148"/>
      <c r="D1778" s="138"/>
      <c r="E1778" s="138"/>
      <c r="F1778" s="50">
        <v>43466</v>
      </c>
      <c r="G1778" s="50">
        <v>43646</v>
      </c>
      <c r="H1778" s="150"/>
      <c r="I1778" s="15" t="s">
        <v>23</v>
      </c>
      <c r="J1778" s="15" t="s">
        <v>23</v>
      </c>
      <c r="K1778" s="13">
        <f t="shared" ref="K1778:L1778" si="95">K1742</f>
        <v>15.56</v>
      </c>
      <c r="L1778" s="13">
        <f t="shared" si="95"/>
        <v>2151.9</v>
      </c>
      <c r="M1778" s="196" t="s">
        <v>421</v>
      </c>
    </row>
    <row r="1779" spans="1:13" ht="15" customHeight="1" outlineLevel="1" x14ac:dyDescent="0.25">
      <c r="A1779" s="148"/>
      <c r="B1779" s="148"/>
      <c r="C1779" s="148"/>
      <c r="D1779" s="138"/>
      <c r="E1779" s="138"/>
      <c r="F1779" s="50">
        <v>43647</v>
      </c>
      <c r="G1779" s="50">
        <v>43830</v>
      </c>
      <c r="H1779" s="150"/>
      <c r="I1779" s="15" t="s">
        <v>23</v>
      </c>
      <c r="J1779" s="15" t="s">
        <v>23</v>
      </c>
      <c r="K1779" s="13">
        <f t="shared" ref="K1779:L1779" si="96">K1743</f>
        <v>15.87</v>
      </c>
      <c r="L1779" s="13">
        <f t="shared" si="96"/>
        <v>2194.9299999999998</v>
      </c>
      <c r="M1779" s="198"/>
    </row>
    <row r="1780" spans="1:13" ht="15" customHeight="1" outlineLevel="1" x14ac:dyDescent="0.25">
      <c r="A1780" s="148"/>
      <c r="B1780" s="148"/>
      <c r="C1780" s="148"/>
      <c r="D1780" s="138"/>
      <c r="E1780" s="138"/>
      <c r="F1780" s="50">
        <v>43466</v>
      </c>
      <c r="G1780" s="50">
        <v>43646</v>
      </c>
      <c r="H1780" s="150"/>
      <c r="I1780" s="15" t="s">
        <v>23</v>
      </c>
      <c r="J1780" s="15" t="s">
        <v>23</v>
      </c>
      <c r="K1780" s="13">
        <f t="shared" ref="K1780:L1780" si="97">K1744</f>
        <v>15.56</v>
      </c>
      <c r="L1780" s="13">
        <f t="shared" si="97"/>
        <v>1832.02</v>
      </c>
      <c r="M1780" s="196" t="s">
        <v>422</v>
      </c>
    </row>
    <row r="1781" spans="1:13" ht="15" customHeight="1" outlineLevel="1" x14ac:dyDescent="0.25">
      <c r="A1781" s="148"/>
      <c r="B1781" s="148"/>
      <c r="C1781" s="148"/>
      <c r="D1781" s="138"/>
      <c r="E1781" s="138"/>
      <c r="F1781" s="50">
        <v>43647</v>
      </c>
      <c r="G1781" s="50">
        <v>43830</v>
      </c>
      <c r="H1781" s="150"/>
      <c r="I1781" s="15" t="s">
        <v>23</v>
      </c>
      <c r="J1781" s="15" t="s">
        <v>23</v>
      </c>
      <c r="K1781" s="13">
        <f t="shared" ref="K1781:L1781" si="98">K1745</f>
        <v>15.87</v>
      </c>
      <c r="L1781" s="13">
        <f t="shared" si="98"/>
        <v>1868.66</v>
      </c>
      <c r="M1781" s="198"/>
    </row>
    <row r="1782" spans="1:13" ht="15" customHeight="1" outlineLevel="1" x14ac:dyDescent="0.25">
      <c r="A1782" s="148"/>
      <c r="B1782" s="148"/>
      <c r="C1782" s="148"/>
      <c r="D1782" s="138"/>
      <c r="E1782" s="138"/>
      <c r="F1782" s="50">
        <v>43466</v>
      </c>
      <c r="G1782" s="50">
        <v>43646</v>
      </c>
      <c r="H1782" s="150"/>
      <c r="I1782" s="15" t="s">
        <v>23</v>
      </c>
      <c r="J1782" s="15" t="s">
        <v>23</v>
      </c>
      <c r="K1782" s="13">
        <f t="shared" ref="K1782:L1782" si="99">K1746</f>
        <v>15.56</v>
      </c>
      <c r="L1782" s="13">
        <f t="shared" si="99"/>
        <v>1964.78</v>
      </c>
      <c r="M1782" s="196" t="s">
        <v>423</v>
      </c>
    </row>
    <row r="1783" spans="1:13" ht="15" customHeight="1" outlineLevel="1" x14ac:dyDescent="0.25">
      <c r="A1783" s="148"/>
      <c r="B1783" s="148"/>
      <c r="C1783" s="148"/>
      <c r="D1783" s="138"/>
      <c r="E1783" s="138"/>
      <c r="F1783" s="50">
        <v>43647</v>
      </c>
      <c r="G1783" s="50">
        <v>43830</v>
      </c>
      <c r="H1783" s="150"/>
      <c r="I1783" s="15" t="s">
        <v>23</v>
      </c>
      <c r="J1783" s="15" t="s">
        <v>23</v>
      </c>
      <c r="K1783" s="13">
        <f t="shared" ref="K1783:L1783" si="100">K1747</f>
        <v>15.87</v>
      </c>
      <c r="L1783" s="13">
        <f t="shared" si="100"/>
        <v>2004.07</v>
      </c>
      <c r="M1783" s="198"/>
    </row>
    <row r="1784" spans="1:13" ht="15" customHeight="1" outlineLevel="1" x14ac:dyDescent="0.25">
      <c r="A1784" s="148"/>
      <c r="B1784" s="148"/>
      <c r="C1784" s="148"/>
      <c r="D1784" s="138"/>
      <c r="E1784" s="138"/>
      <c r="F1784" s="50">
        <v>43466</v>
      </c>
      <c r="G1784" s="50">
        <v>43646</v>
      </c>
      <c r="H1784" s="150"/>
      <c r="I1784" s="15" t="s">
        <v>23</v>
      </c>
      <c r="J1784" s="15" t="s">
        <v>23</v>
      </c>
      <c r="K1784" s="13">
        <f t="shared" ref="K1784:L1784" si="101">K1748</f>
        <v>15.56</v>
      </c>
      <c r="L1784" s="13">
        <f t="shared" si="101"/>
        <v>2054.08</v>
      </c>
      <c r="M1784" s="196" t="s">
        <v>424</v>
      </c>
    </row>
    <row r="1785" spans="1:13" ht="15" customHeight="1" outlineLevel="1" x14ac:dyDescent="0.25">
      <c r="A1785" s="148"/>
      <c r="B1785" s="148"/>
      <c r="C1785" s="148"/>
      <c r="D1785" s="138"/>
      <c r="E1785" s="138"/>
      <c r="F1785" s="50">
        <v>43647</v>
      </c>
      <c r="G1785" s="50">
        <v>43830</v>
      </c>
      <c r="H1785" s="150"/>
      <c r="I1785" s="15" t="s">
        <v>23</v>
      </c>
      <c r="J1785" s="15" t="s">
        <v>23</v>
      </c>
      <c r="K1785" s="13">
        <f t="shared" ref="K1785:L1785" si="102">K1749</f>
        <v>15.87</v>
      </c>
      <c r="L1785" s="13">
        <f t="shared" si="102"/>
        <v>2095.16</v>
      </c>
      <c r="M1785" s="198"/>
    </row>
    <row r="1786" spans="1:13" ht="15" customHeight="1" outlineLevel="1" x14ac:dyDescent="0.25">
      <c r="A1786" s="148"/>
      <c r="B1786" s="148"/>
      <c r="C1786" s="148"/>
      <c r="D1786" s="138"/>
      <c r="E1786" s="138"/>
      <c r="F1786" s="50">
        <v>43466</v>
      </c>
      <c r="G1786" s="50">
        <v>43646</v>
      </c>
      <c r="H1786" s="150"/>
      <c r="I1786" s="15" t="s">
        <v>23</v>
      </c>
      <c r="J1786" s="15" t="s">
        <v>23</v>
      </c>
      <c r="K1786" s="13">
        <f t="shared" ref="K1786:L1786" si="103">K1750</f>
        <v>15.56</v>
      </c>
      <c r="L1786" s="13">
        <f t="shared" si="103"/>
        <v>2222.4499999999998</v>
      </c>
      <c r="M1786" s="196" t="s">
        <v>425</v>
      </c>
    </row>
    <row r="1787" spans="1:13" ht="15" customHeight="1" outlineLevel="1" x14ac:dyDescent="0.25">
      <c r="A1787" s="148"/>
      <c r="B1787" s="148"/>
      <c r="C1787" s="148"/>
      <c r="D1787" s="138"/>
      <c r="E1787" s="138"/>
      <c r="F1787" s="50">
        <v>43647</v>
      </c>
      <c r="G1787" s="50">
        <v>43830</v>
      </c>
      <c r="H1787" s="150"/>
      <c r="I1787" s="15" t="s">
        <v>23</v>
      </c>
      <c r="J1787" s="15" t="s">
        <v>23</v>
      </c>
      <c r="K1787" s="13">
        <f t="shared" ref="K1787:L1787" si="104">K1751</f>
        <v>15.87</v>
      </c>
      <c r="L1787" s="13">
        <f t="shared" si="104"/>
        <v>2266.9</v>
      </c>
      <c r="M1787" s="198"/>
    </row>
    <row r="1788" spans="1:13" ht="15" customHeight="1" outlineLevel="1" x14ac:dyDescent="0.25">
      <c r="A1788" s="148"/>
      <c r="B1788" s="148"/>
      <c r="C1788" s="148"/>
      <c r="D1788" s="138"/>
      <c r="E1788" s="138"/>
      <c r="F1788" s="50">
        <v>43466</v>
      </c>
      <c r="G1788" s="50">
        <v>43646</v>
      </c>
      <c r="H1788" s="150"/>
      <c r="I1788" s="15" t="s">
        <v>23</v>
      </c>
      <c r="J1788" s="15" t="s">
        <v>23</v>
      </c>
      <c r="K1788" s="13">
        <f t="shared" ref="K1788:L1788" si="105">K1752</f>
        <v>15.56</v>
      </c>
      <c r="L1788" s="13">
        <f t="shared" si="105"/>
        <v>1882.91</v>
      </c>
      <c r="M1788" s="196" t="s">
        <v>426</v>
      </c>
    </row>
    <row r="1789" spans="1:13" ht="15" customHeight="1" outlineLevel="1" x14ac:dyDescent="0.25">
      <c r="A1789" s="148"/>
      <c r="B1789" s="148"/>
      <c r="C1789" s="148"/>
      <c r="D1789" s="138"/>
      <c r="E1789" s="138"/>
      <c r="F1789" s="50">
        <v>43647</v>
      </c>
      <c r="G1789" s="50">
        <v>43830</v>
      </c>
      <c r="H1789" s="150"/>
      <c r="I1789" s="15" t="s">
        <v>23</v>
      </c>
      <c r="J1789" s="15" t="s">
        <v>23</v>
      </c>
      <c r="K1789" s="13">
        <f t="shared" ref="K1789:L1789" si="106">K1753</f>
        <v>15.87</v>
      </c>
      <c r="L1789" s="13">
        <f t="shared" si="106"/>
        <v>1920.57</v>
      </c>
      <c r="M1789" s="198"/>
    </row>
    <row r="1790" spans="1:13" ht="15" customHeight="1" outlineLevel="1" x14ac:dyDescent="0.25">
      <c r="A1790" s="148"/>
      <c r="B1790" s="148"/>
      <c r="C1790" s="148"/>
      <c r="D1790" s="138"/>
      <c r="E1790" s="138"/>
      <c r="F1790" s="50">
        <v>43466</v>
      </c>
      <c r="G1790" s="50">
        <v>43646</v>
      </c>
      <c r="H1790" s="150"/>
      <c r="I1790" s="15" t="s">
        <v>23</v>
      </c>
      <c r="J1790" s="15" t="s">
        <v>23</v>
      </c>
      <c r="K1790" s="13">
        <f t="shared" ref="K1790:L1790" si="107">K1754</f>
        <v>15.56</v>
      </c>
      <c r="L1790" s="13">
        <f t="shared" si="107"/>
        <v>2054.08</v>
      </c>
      <c r="M1790" s="196" t="s">
        <v>427</v>
      </c>
    </row>
    <row r="1791" spans="1:13" ht="15" customHeight="1" outlineLevel="1" x14ac:dyDescent="0.25">
      <c r="A1791" s="147"/>
      <c r="B1791" s="147"/>
      <c r="C1791" s="148"/>
      <c r="D1791" s="141"/>
      <c r="E1791" s="141"/>
      <c r="F1791" s="50">
        <v>43647</v>
      </c>
      <c r="G1791" s="50">
        <v>43830</v>
      </c>
      <c r="H1791" s="151"/>
      <c r="I1791" s="15" t="s">
        <v>23</v>
      </c>
      <c r="J1791" s="15" t="s">
        <v>23</v>
      </c>
      <c r="K1791" s="13">
        <f t="shared" ref="K1791:L1791" si="108">K1755</f>
        <v>15.87</v>
      </c>
      <c r="L1791" s="13">
        <f t="shared" si="108"/>
        <v>2095.16</v>
      </c>
      <c r="M1791" s="198"/>
    </row>
    <row r="1792" spans="1:13" ht="15" customHeight="1" outlineLevel="1" x14ac:dyDescent="0.25">
      <c r="A1792" s="146" t="s">
        <v>62</v>
      </c>
      <c r="B1792" s="146" t="s">
        <v>282</v>
      </c>
      <c r="C1792" s="148"/>
      <c r="D1792" s="137">
        <f>$D$1540</f>
        <v>43087</v>
      </c>
      <c r="E1792" s="137" t="str">
        <f>$E$1540</f>
        <v>449-п</v>
      </c>
      <c r="F1792" s="12">
        <v>43466</v>
      </c>
      <c r="G1792" s="12">
        <v>43646</v>
      </c>
      <c r="H1792" s="149" t="str">
        <f>$H$1540</f>
        <v>от 20.12.2018 Приказ № 540-п</v>
      </c>
      <c r="I1792" s="66">
        <f>$I$1540</f>
        <v>25.61</v>
      </c>
      <c r="J1792" s="13">
        <f>$J$1540</f>
        <v>3430.52</v>
      </c>
      <c r="K1792" s="15" t="s">
        <v>23</v>
      </c>
      <c r="L1792" s="15" t="s">
        <v>23</v>
      </c>
      <c r="M1792" s="153"/>
    </row>
    <row r="1793" spans="1:13" ht="15" customHeight="1" outlineLevel="1" x14ac:dyDescent="0.25">
      <c r="A1793" s="148"/>
      <c r="B1793" s="148"/>
      <c r="C1793" s="148"/>
      <c r="D1793" s="141"/>
      <c r="E1793" s="141"/>
      <c r="F1793" s="12">
        <v>43647</v>
      </c>
      <c r="G1793" s="12">
        <v>43830</v>
      </c>
      <c r="H1793" s="151"/>
      <c r="I1793" s="66">
        <f>$I$1541</f>
        <v>25.61</v>
      </c>
      <c r="J1793" s="13">
        <f>$J$1541</f>
        <v>3430.52</v>
      </c>
      <c r="K1793" s="15" t="s">
        <v>23</v>
      </c>
      <c r="L1793" s="15" t="s">
        <v>23</v>
      </c>
      <c r="M1793" s="152"/>
    </row>
    <row r="1794" spans="1:13" ht="15" customHeight="1" outlineLevel="1" x14ac:dyDescent="0.25">
      <c r="A1794" s="148"/>
      <c r="B1794" s="148"/>
      <c r="C1794" s="148"/>
      <c r="D1794" s="137">
        <f>$D$1506</f>
        <v>43454</v>
      </c>
      <c r="E1794" s="137" t="str">
        <f>$E$1506</f>
        <v>677-п</v>
      </c>
      <c r="F1794" s="50">
        <v>43466</v>
      </c>
      <c r="G1794" s="50">
        <v>43646</v>
      </c>
      <c r="H1794" s="149"/>
      <c r="I1794" s="15" t="s">
        <v>23</v>
      </c>
      <c r="J1794" s="15" t="s">
        <v>23</v>
      </c>
      <c r="K1794" s="13">
        <v>17.71</v>
      </c>
      <c r="L1794" s="13">
        <v>1894.18</v>
      </c>
      <c r="M1794" s="196" t="s">
        <v>420</v>
      </c>
    </row>
    <row r="1795" spans="1:13" ht="15" customHeight="1" outlineLevel="1" x14ac:dyDescent="0.25">
      <c r="A1795" s="148"/>
      <c r="B1795" s="148"/>
      <c r="C1795" s="148"/>
      <c r="D1795" s="138"/>
      <c r="E1795" s="138"/>
      <c r="F1795" s="50">
        <v>43647</v>
      </c>
      <c r="G1795" s="50">
        <v>43830</v>
      </c>
      <c r="H1795" s="150"/>
      <c r="I1795" s="15" t="s">
        <v>23</v>
      </c>
      <c r="J1795" s="15" t="s">
        <v>23</v>
      </c>
      <c r="K1795" s="13">
        <v>18.059999999999999</v>
      </c>
      <c r="L1795" s="13">
        <v>1932.06</v>
      </c>
      <c r="M1795" s="198"/>
    </row>
    <row r="1796" spans="1:13" ht="15" customHeight="1" outlineLevel="1" x14ac:dyDescent="0.25">
      <c r="A1796" s="148"/>
      <c r="B1796" s="148"/>
      <c r="C1796" s="148"/>
      <c r="D1796" s="138"/>
      <c r="E1796" s="138"/>
      <c r="F1796" s="50">
        <v>43466</v>
      </c>
      <c r="G1796" s="50">
        <v>43646</v>
      </c>
      <c r="H1796" s="150"/>
      <c r="I1796" s="15" t="s">
        <v>23</v>
      </c>
      <c r="J1796" s="15" t="s">
        <v>23</v>
      </c>
      <c r="K1796" s="13">
        <f>$K$1794</f>
        <v>17.71</v>
      </c>
      <c r="L1796" s="13">
        <v>2074.58</v>
      </c>
      <c r="M1796" s="196" t="s">
        <v>421</v>
      </c>
    </row>
    <row r="1797" spans="1:13" ht="15" customHeight="1" outlineLevel="1" x14ac:dyDescent="0.25">
      <c r="A1797" s="148"/>
      <c r="B1797" s="148"/>
      <c r="C1797" s="148"/>
      <c r="D1797" s="138"/>
      <c r="E1797" s="138"/>
      <c r="F1797" s="50">
        <v>43647</v>
      </c>
      <c r="G1797" s="50">
        <v>43830</v>
      </c>
      <c r="H1797" s="150"/>
      <c r="I1797" s="15" t="s">
        <v>23</v>
      </c>
      <c r="J1797" s="15" t="s">
        <v>23</v>
      </c>
      <c r="K1797" s="13">
        <f>$K$1795</f>
        <v>18.059999999999999</v>
      </c>
      <c r="L1797" s="13">
        <v>2116.0700000000002</v>
      </c>
      <c r="M1797" s="198"/>
    </row>
    <row r="1798" spans="1:13" ht="15" customHeight="1" outlineLevel="1" x14ac:dyDescent="0.25">
      <c r="A1798" s="148"/>
      <c r="B1798" s="148"/>
      <c r="C1798" s="148"/>
      <c r="D1798" s="138"/>
      <c r="E1798" s="138"/>
      <c r="F1798" s="50">
        <v>43466</v>
      </c>
      <c r="G1798" s="50">
        <v>43646</v>
      </c>
      <c r="H1798" s="150"/>
      <c r="I1798" s="15" t="s">
        <v>23</v>
      </c>
      <c r="J1798" s="15" t="s">
        <v>23</v>
      </c>
      <c r="K1798" s="13">
        <f t="shared" ref="K1798" si="109">$K$1794</f>
        <v>17.71</v>
      </c>
      <c r="L1798" s="13">
        <v>1766.19</v>
      </c>
      <c r="M1798" s="196" t="s">
        <v>422</v>
      </c>
    </row>
    <row r="1799" spans="1:13" ht="15" customHeight="1" outlineLevel="1" x14ac:dyDescent="0.25">
      <c r="A1799" s="148"/>
      <c r="B1799" s="148"/>
      <c r="C1799" s="148"/>
      <c r="D1799" s="138"/>
      <c r="E1799" s="138"/>
      <c r="F1799" s="50">
        <v>43647</v>
      </c>
      <c r="G1799" s="50">
        <v>43830</v>
      </c>
      <c r="H1799" s="150"/>
      <c r="I1799" s="15" t="s">
        <v>23</v>
      </c>
      <c r="J1799" s="15" t="s">
        <v>23</v>
      </c>
      <c r="K1799" s="13">
        <f t="shared" ref="K1799" si="110">$K$1795</f>
        <v>18.059999999999999</v>
      </c>
      <c r="L1799" s="13">
        <v>1801.52</v>
      </c>
      <c r="M1799" s="198"/>
    </row>
    <row r="1800" spans="1:13" ht="15" customHeight="1" outlineLevel="1" x14ac:dyDescent="0.25">
      <c r="A1800" s="148"/>
      <c r="B1800" s="148"/>
      <c r="C1800" s="148"/>
      <c r="D1800" s="138"/>
      <c r="E1800" s="138"/>
      <c r="F1800" s="50">
        <v>43466</v>
      </c>
      <c r="G1800" s="50">
        <v>43646</v>
      </c>
      <c r="H1800" s="150"/>
      <c r="I1800" s="15" t="s">
        <v>23</v>
      </c>
      <c r="J1800" s="15" t="s">
        <v>23</v>
      </c>
      <c r="K1800" s="13">
        <f t="shared" ref="K1800" si="111">$K$1794</f>
        <v>17.71</v>
      </c>
      <c r="L1800" s="13">
        <v>1894.18</v>
      </c>
      <c r="M1800" s="196" t="s">
        <v>423</v>
      </c>
    </row>
    <row r="1801" spans="1:13" ht="15" customHeight="1" outlineLevel="1" x14ac:dyDescent="0.25">
      <c r="A1801" s="148"/>
      <c r="B1801" s="148"/>
      <c r="C1801" s="148"/>
      <c r="D1801" s="138"/>
      <c r="E1801" s="138"/>
      <c r="F1801" s="50">
        <v>43647</v>
      </c>
      <c r="G1801" s="50">
        <v>43830</v>
      </c>
      <c r="H1801" s="150"/>
      <c r="I1801" s="15" t="s">
        <v>23</v>
      </c>
      <c r="J1801" s="15" t="s">
        <v>23</v>
      </c>
      <c r="K1801" s="13">
        <f t="shared" ref="K1801" si="112">$K$1795</f>
        <v>18.059999999999999</v>
      </c>
      <c r="L1801" s="13">
        <v>1932.06</v>
      </c>
      <c r="M1801" s="198"/>
    </row>
    <row r="1802" spans="1:13" ht="15" customHeight="1" outlineLevel="1" x14ac:dyDescent="0.25">
      <c r="A1802" s="148"/>
      <c r="B1802" s="148"/>
      <c r="C1802" s="148"/>
      <c r="D1802" s="138"/>
      <c r="E1802" s="138"/>
      <c r="F1802" s="50">
        <v>43466</v>
      </c>
      <c r="G1802" s="50">
        <v>43646</v>
      </c>
      <c r="H1802" s="150"/>
      <c r="I1802" s="15" t="s">
        <v>23</v>
      </c>
      <c r="J1802" s="15" t="s">
        <v>23</v>
      </c>
      <c r="K1802" s="13">
        <f t="shared" ref="K1802" si="113">$K$1794</f>
        <v>17.71</v>
      </c>
      <c r="L1802" s="13">
        <v>1980.28</v>
      </c>
      <c r="M1802" s="196" t="s">
        <v>424</v>
      </c>
    </row>
    <row r="1803" spans="1:13" ht="15" customHeight="1" outlineLevel="1" x14ac:dyDescent="0.25">
      <c r="A1803" s="148"/>
      <c r="B1803" s="148"/>
      <c r="C1803" s="148"/>
      <c r="D1803" s="138"/>
      <c r="E1803" s="138"/>
      <c r="F1803" s="50">
        <v>43647</v>
      </c>
      <c r="G1803" s="50">
        <v>43830</v>
      </c>
      <c r="H1803" s="150"/>
      <c r="I1803" s="15" t="s">
        <v>23</v>
      </c>
      <c r="J1803" s="15" t="s">
        <v>23</v>
      </c>
      <c r="K1803" s="13">
        <f t="shared" ref="K1803" si="114">$K$1795</f>
        <v>18.059999999999999</v>
      </c>
      <c r="L1803" s="13">
        <v>2019.88</v>
      </c>
      <c r="M1803" s="198"/>
    </row>
    <row r="1804" spans="1:13" ht="15" customHeight="1" outlineLevel="1" x14ac:dyDescent="0.25">
      <c r="A1804" s="148"/>
      <c r="B1804" s="148"/>
      <c r="C1804" s="148"/>
      <c r="D1804" s="138"/>
      <c r="E1804" s="138"/>
      <c r="F1804" s="50">
        <v>43466</v>
      </c>
      <c r="G1804" s="50">
        <v>43646</v>
      </c>
      <c r="H1804" s="150"/>
      <c r="I1804" s="15" t="s">
        <v>23</v>
      </c>
      <c r="J1804" s="15" t="s">
        <v>23</v>
      </c>
      <c r="K1804" s="13">
        <f t="shared" ref="K1804" si="115">$K$1794</f>
        <v>17.71</v>
      </c>
      <c r="L1804" s="13">
        <v>2142.6</v>
      </c>
      <c r="M1804" s="196" t="s">
        <v>425</v>
      </c>
    </row>
    <row r="1805" spans="1:13" ht="15" customHeight="1" outlineLevel="1" x14ac:dyDescent="0.25">
      <c r="A1805" s="148"/>
      <c r="B1805" s="148"/>
      <c r="C1805" s="148"/>
      <c r="D1805" s="138"/>
      <c r="E1805" s="138"/>
      <c r="F1805" s="50">
        <v>43647</v>
      </c>
      <c r="G1805" s="50">
        <v>43830</v>
      </c>
      <c r="H1805" s="150"/>
      <c r="I1805" s="15" t="s">
        <v>23</v>
      </c>
      <c r="J1805" s="15" t="s">
        <v>23</v>
      </c>
      <c r="K1805" s="13">
        <f t="shared" ref="K1805" si="116">$K$1795</f>
        <v>18.059999999999999</v>
      </c>
      <c r="L1805" s="13">
        <v>2185.4499999999998</v>
      </c>
      <c r="M1805" s="198"/>
    </row>
    <row r="1806" spans="1:13" ht="15" customHeight="1" outlineLevel="1" x14ac:dyDescent="0.25">
      <c r="A1806" s="148"/>
      <c r="B1806" s="148"/>
      <c r="C1806" s="148"/>
      <c r="D1806" s="138"/>
      <c r="E1806" s="138"/>
      <c r="F1806" s="50">
        <v>43466</v>
      </c>
      <c r="G1806" s="50">
        <v>43646</v>
      </c>
      <c r="H1806" s="150"/>
      <c r="I1806" s="15" t="s">
        <v>23</v>
      </c>
      <c r="J1806" s="15" t="s">
        <v>23</v>
      </c>
      <c r="K1806" s="13">
        <f t="shared" ref="K1806" si="117">$K$1794</f>
        <v>17.71</v>
      </c>
      <c r="L1806" s="13">
        <v>1815.25</v>
      </c>
      <c r="M1806" s="196" t="s">
        <v>426</v>
      </c>
    </row>
    <row r="1807" spans="1:13" ht="15" customHeight="1" outlineLevel="1" x14ac:dyDescent="0.25">
      <c r="A1807" s="148"/>
      <c r="B1807" s="148"/>
      <c r="C1807" s="148"/>
      <c r="D1807" s="138"/>
      <c r="E1807" s="138"/>
      <c r="F1807" s="50">
        <v>43647</v>
      </c>
      <c r="G1807" s="50">
        <v>43830</v>
      </c>
      <c r="H1807" s="150"/>
      <c r="I1807" s="15" t="s">
        <v>23</v>
      </c>
      <c r="J1807" s="15" t="s">
        <v>23</v>
      </c>
      <c r="K1807" s="13">
        <f t="shared" ref="K1807" si="118">$K$1795</f>
        <v>18.059999999999999</v>
      </c>
      <c r="L1807" s="13">
        <v>1851.56</v>
      </c>
      <c r="M1807" s="198"/>
    </row>
    <row r="1808" spans="1:13" ht="15" customHeight="1" outlineLevel="1" x14ac:dyDescent="0.25">
      <c r="A1808" s="148"/>
      <c r="B1808" s="148"/>
      <c r="C1808" s="148"/>
      <c r="D1808" s="138"/>
      <c r="E1808" s="138"/>
      <c r="F1808" s="50">
        <v>43466</v>
      </c>
      <c r="G1808" s="50">
        <v>43646</v>
      </c>
      <c r="H1808" s="150"/>
      <c r="I1808" s="15" t="s">
        <v>23</v>
      </c>
      <c r="J1808" s="15" t="s">
        <v>23</v>
      </c>
      <c r="K1808" s="13">
        <f t="shared" ref="K1808" si="119">$K$1794</f>
        <v>17.71</v>
      </c>
      <c r="L1808" s="13">
        <v>1980.28</v>
      </c>
      <c r="M1808" s="196" t="s">
        <v>427</v>
      </c>
    </row>
    <row r="1809" spans="1:13" ht="15" customHeight="1" outlineLevel="1" x14ac:dyDescent="0.25">
      <c r="A1809" s="147"/>
      <c r="B1809" s="147"/>
      <c r="C1809" s="147"/>
      <c r="D1809" s="141"/>
      <c r="E1809" s="141"/>
      <c r="F1809" s="50">
        <v>43647</v>
      </c>
      <c r="G1809" s="50">
        <v>43830</v>
      </c>
      <c r="H1809" s="151"/>
      <c r="I1809" s="15" t="s">
        <v>23</v>
      </c>
      <c r="J1809" s="15" t="s">
        <v>23</v>
      </c>
      <c r="K1809" s="13">
        <f t="shared" ref="K1809" si="120">$K$1795</f>
        <v>18.059999999999999</v>
      </c>
      <c r="L1809" s="13">
        <v>2019.88</v>
      </c>
      <c r="M1809" s="198"/>
    </row>
    <row r="1810" spans="1:13" ht="15" customHeight="1" outlineLevel="1" x14ac:dyDescent="0.25">
      <c r="A1810" s="146" t="s">
        <v>62</v>
      </c>
      <c r="B1810" s="146" t="s">
        <v>387</v>
      </c>
      <c r="C1810" s="146" t="s">
        <v>125</v>
      </c>
      <c r="D1810" s="137">
        <v>43453</v>
      </c>
      <c r="E1810" s="137" t="s">
        <v>488</v>
      </c>
      <c r="F1810" s="12">
        <v>43466</v>
      </c>
      <c r="G1810" s="12">
        <v>43646</v>
      </c>
      <c r="H1810" s="149"/>
      <c r="I1810" s="66">
        <v>26.13</v>
      </c>
      <c r="J1810" s="13">
        <v>3039.24</v>
      </c>
      <c r="K1810" s="15" t="s">
        <v>23</v>
      </c>
      <c r="L1810" s="15" t="s">
        <v>23</v>
      </c>
      <c r="M1810" s="153"/>
    </row>
    <row r="1811" spans="1:13" ht="15" customHeight="1" outlineLevel="1" x14ac:dyDescent="0.25">
      <c r="A1811" s="148"/>
      <c r="B1811" s="148"/>
      <c r="C1811" s="148"/>
      <c r="D1811" s="141"/>
      <c r="E1811" s="141"/>
      <c r="F1811" s="12">
        <v>43647</v>
      </c>
      <c r="G1811" s="12">
        <v>43830</v>
      </c>
      <c r="H1811" s="151"/>
      <c r="I1811" s="66">
        <v>26.7</v>
      </c>
      <c r="J1811" s="13">
        <v>3417.41</v>
      </c>
      <c r="K1811" s="15" t="s">
        <v>23</v>
      </c>
      <c r="L1811" s="15" t="s">
        <v>23</v>
      </c>
      <c r="M1811" s="152"/>
    </row>
    <row r="1812" spans="1:13" ht="15" customHeight="1" outlineLevel="1" x14ac:dyDescent="0.25">
      <c r="A1812" s="148"/>
      <c r="B1812" s="148"/>
      <c r="C1812" s="148"/>
      <c r="D1812" s="137">
        <f>$D$1506</f>
        <v>43454</v>
      </c>
      <c r="E1812" s="137" t="str">
        <f>$E$1506</f>
        <v>677-п</v>
      </c>
      <c r="F1812" s="50">
        <v>43466</v>
      </c>
      <c r="G1812" s="50">
        <v>43646</v>
      </c>
      <c r="H1812" s="149"/>
      <c r="I1812" s="15" t="s">
        <v>23</v>
      </c>
      <c r="J1812" s="15" t="s">
        <v>23</v>
      </c>
      <c r="K1812" s="13">
        <v>20.09</v>
      </c>
      <c r="L1812" s="13">
        <v>1793.52</v>
      </c>
      <c r="M1812" s="196" t="s">
        <v>420</v>
      </c>
    </row>
    <row r="1813" spans="1:13" ht="15" customHeight="1" outlineLevel="1" x14ac:dyDescent="0.25">
      <c r="A1813" s="148"/>
      <c r="B1813" s="148"/>
      <c r="C1813" s="148"/>
      <c r="D1813" s="138"/>
      <c r="E1813" s="138"/>
      <c r="F1813" s="50">
        <v>43647</v>
      </c>
      <c r="G1813" s="50">
        <v>43830</v>
      </c>
      <c r="H1813" s="150"/>
      <c r="I1813" s="15" t="s">
        <v>23</v>
      </c>
      <c r="J1813" s="15" t="s">
        <v>23</v>
      </c>
      <c r="K1813" s="13">
        <v>20.5</v>
      </c>
      <c r="L1813" s="13">
        <v>1829.39</v>
      </c>
      <c r="M1813" s="198"/>
    </row>
    <row r="1814" spans="1:13" ht="15" customHeight="1" outlineLevel="1" x14ac:dyDescent="0.25">
      <c r="A1814" s="148"/>
      <c r="B1814" s="148"/>
      <c r="C1814" s="148"/>
      <c r="D1814" s="138"/>
      <c r="E1814" s="138"/>
      <c r="F1814" s="50">
        <v>43466</v>
      </c>
      <c r="G1814" s="50">
        <v>43646</v>
      </c>
      <c r="H1814" s="150"/>
      <c r="I1814" s="15" t="s">
        <v>23</v>
      </c>
      <c r="J1814" s="15" t="s">
        <v>23</v>
      </c>
      <c r="K1814" s="13">
        <f>$K$1812</f>
        <v>20.09</v>
      </c>
      <c r="L1814" s="13">
        <v>1964.33</v>
      </c>
      <c r="M1814" s="196" t="s">
        <v>421</v>
      </c>
    </row>
    <row r="1815" spans="1:13" ht="15" customHeight="1" outlineLevel="1" x14ac:dyDescent="0.25">
      <c r="A1815" s="148"/>
      <c r="B1815" s="148"/>
      <c r="C1815" s="148"/>
      <c r="D1815" s="138"/>
      <c r="E1815" s="138"/>
      <c r="F1815" s="50">
        <v>43647</v>
      </c>
      <c r="G1815" s="50">
        <v>43830</v>
      </c>
      <c r="H1815" s="150"/>
      <c r="I1815" s="15" t="s">
        <v>23</v>
      </c>
      <c r="J1815" s="15" t="s">
        <v>23</v>
      </c>
      <c r="K1815" s="13">
        <f>$K$1813</f>
        <v>20.5</v>
      </c>
      <c r="L1815" s="13">
        <v>2003.61</v>
      </c>
      <c r="M1815" s="198"/>
    </row>
    <row r="1816" spans="1:13" ht="15" customHeight="1" outlineLevel="1" x14ac:dyDescent="0.25">
      <c r="A1816" s="148"/>
      <c r="B1816" s="148"/>
      <c r="C1816" s="148"/>
      <c r="D1816" s="138"/>
      <c r="E1816" s="138"/>
      <c r="F1816" s="50">
        <v>43466</v>
      </c>
      <c r="G1816" s="50">
        <v>43646</v>
      </c>
      <c r="H1816" s="150"/>
      <c r="I1816" s="15" t="s">
        <v>23</v>
      </c>
      <c r="J1816" s="15" t="s">
        <v>23</v>
      </c>
      <c r="K1816" s="13">
        <f t="shared" ref="K1816" si="121">$K$1812</f>
        <v>20.09</v>
      </c>
      <c r="L1816" s="13">
        <v>1672.33</v>
      </c>
      <c r="M1816" s="196" t="s">
        <v>422</v>
      </c>
    </row>
    <row r="1817" spans="1:13" ht="15" customHeight="1" outlineLevel="1" x14ac:dyDescent="0.25">
      <c r="A1817" s="148"/>
      <c r="B1817" s="148"/>
      <c r="C1817" s="148"/>
      <c r="D1817" s="138"/>
      <c r="E1817" s="138"/>
      <c r="F1817" s="50">
        <v>43647</v>
      </c>
      <c r="G1817" s="50">
        <v>43830</v>
      </c>
      <c r="H1817" s="150"/>
      <c r="I1817" s="15" t="s">
        <v>23</v>
      </c>
      <c r="J1817" s="15" t="s">
        <v>23</v>
      </c>
      <c r="K1817" s="13">
        <f t="shared" ref="K1817" si="122">$K$1813</f>
        <v>20.5</v>
      </c>
      <c r="L1817" s="13">
        <v>1705.78</v>
      </c>
      <c r="M1817" s="198"/>
    </row>
    <row r="1818" spans="1:13" ht="15" customHeight="1" outlineLevel="1" x14ac:dyDescent="0.25">
      <c r="A1818" s="148"/>
      <c r="B1818" s="148"/>
      <c r="C1818" s="148"/>
      <c r="D1818" s="138"/>
      <c r="E1818" s="138"/>
      <c r="F1818" s="50">
        <v>43466</v>
      </c>
      <c r="G1818" s="50">
        <v>43646</v>
      </c>
      <c r="H1818" s="150"/>
      <c r="I1818" s="15" t="s">
        <v>23</v>
      </c>
      <c r="J1818" s="15" t="s">
        <v>23</v>
      </c>
      <c r="K1818" s="13">
        <f t="shared" ref="K1818" si="123">$K$1812</f>
        <v>20.09</v>
      </c>
      <c r="L1818" s="13">
        <v>1793.52</v>
      </c>
      <c r="M1818" s="196" t="s">
        <v>423</v>
      </c>
    </row>
    <row r="1819" spans="1:13" ht="15" customHeight="1" outlineLevel="1" x14ac:dyDescent="0.25">
      <c r="A1819" s="148"/>
      <c r="B1819" s="148"/>
      <c r="C1819" s="148"/>
      <c r="D1819" s="138"/>
      <c r="E1819" s="138"/>
      <c r="F1819" s="50">
        <v>43647</v>
      </c>
      <c r="G1819" s="50">
        <v>43830</v>
      </c>
      <c r="H1819" s="150"/>
      <c r="I1819" s="15" t="s">
        <v>23</v>
      </c>
      <c r="J1819" s="15" t="s">
        <v>23</v>
      </c>
      <c r="K1819" s="13">
        <f t="shared" ref="K1819" si="124">$K$1813</f>
        <v>20.5</v>
      </c>
      <c r="L1819" s="13">
        <v>1829.39</v>
      </c>
      <c r="M1819" s="198"/>
    </row>
    <row r="1820" spans="1:13" ht="15" customHeight="1" outlineLevel="1" x14ac:dyDescent="0.25">
      <c r="A1820" s="148"/>
      <c r="B1820" s="148"/>
      <c r="C1820" s="148"/>
      <c r="D1820" s="138"/>
      <c r="E1820" s="138"/>
      <c r="F1820" s="50">
        <v>43466</v>
      </c>
      <c r="G1820" s="50">
        <v>43646</v>
      </c>
      <c r="H1820" s="150"/>
      <c r="I1820" s="15" t="s">
        <v>23</v>
      </c>
      <c r="J1820" s="15" t="s">
        <v>23</v>
      </c>
      <c r="K1820" s="13">
        <f t="shared" ref="K1820" si="125">$K$1812</f>
        <v>20.09</v>
      </c>
      <c r="L1820" s="13">
        <v>1875.04</v>
      </c>
      <c r="M1820" s="196" t="s">
        <v>424</v>
      </c>
    </row>
    <row r="1821" spans="1:13" ht="15" customHeight="1" outlineLevel="1" x14ac:dyDescent="0.25">
      <c r="A1821" s="148"/>
      <c r="B1821" s="148"/>
      <c r="C1821" s="148"/>
      <c r="D1821" s="138"/>
      <c r="E1821" s="138"/>
      <c r="F1821" s="50">
        <v>43647</v>
      </c>
      <c r="G1821" s="50">
        <v>43830</v>
      </c>
      <c r="H1821" s="150"/>
      <c r="I1821" s="15" t="s">
        <v>23</v>
      </c>
      <c r="J1821" s="15" t="s">
        <v>23</v>
      </c>
      <c r="K1821" s="13">
        <f t="shared" ref="K1821" si="126">$K$1813</f>
        <v>20.5</v>
      </c>
      <c r="L1821" s="13">
        <v>1912.54</v>
      </c>
      <c r="M1821" s="198"/>
    </row>
    <row r="1822" spans="1:13" ht="15" customHeight="1" outlineLevel="1" x14ac:dyDescent="0.25">
      <c r="A1822" s="148"/>
      <c r="B1822" s="148"/>
      <c r="C1822" s="148"/>
      <c r="D1822" s="138"/>
      <c r="E1822" s="138"/>
      <c r="F1822" s="50">
        <v>43466</v>
      </c>
      <c r="G1822" s="50">
        <v>43646</v>
      </c>
      <c r="H1822" s="150"/>
      <c r="I1822" s="15" t="s">
        <v>23</v>
      </c>
      <c r="J1822" s="15" t="s">
        <v>23</v>
      </c>
      <c r="K1822" s="13">
        <f t="shared" ref="K1822" si="127">$K$1812</f>
        <v>20.09</v>
      </c>
      <c r="L1822" s="13">
        <v>2028.73</v>
      </c>
      <c r="M1822" s="196" t="s">
        <v>425</v>
      </c>
    </row>
    <row r="1823" spans="1:13" ht="15" customHeight="1" outlineLevel="1" x14ac:dyDescent="0.25">
      <c r="A1823" s="148"/>
      <c r="B1823" s="148"/>
      <c r="C1823" s="148"/>
      <c r="D1823" s="138"/>
      <c r="E1823" s="138"/>
      <c r="F1823" s="50">
        <v>43647</v>
      </c>
      <c r="G1823" s="50">
        <v>43830</v>
      </c>
      <c r="H1823" s="150"/>
      <c r="I1823" s="15" t="s">
        <v>23</v>
      </c>
      <c r="J1823" s="15" t="s">
        <v>23</v>
      </c>
      <c r="K1823" s="13">
        <f t="shared" ref="K1823" si="128">$K$1813</f>
        <v>20.5</v>
      </c>
      <c r="L1823" s="13">
        <v>2069.3000000000002</v>
      </c>
      <c r="M1823" s="198"/>
    </row>
    <row r="1824" spans="1:13" ht="15" customHeight="1" outlineLevel="1" x14ac:dyDescent="0.25">
      <c r="A1824" s="148"/>
      <c r="B1824" s="148"/>
      <c r="C1824" s="148"/>
      <c r="D1824" s="138"/>
      <c r="E1824" s="138"/>
      <c r="F1824" s="50">
        <v>43466</v>
      </c>
      <c r="G1824" s="50">
        <v>43646</v>
      </c>
      <c r="H1824" s="150"/>
      <c r="I1824" s="15" t="s">
        <v>23</v>
      </c>
      <c r="J1824" s="15" t="s">
        <v>23</v>
      </c>
      <c r="K1824" s="13">
        <f t="shared" ref="K1824" si="129">$K$1812</f>
        <v>20.09</v>
      </c>
      <c r="L1824" s="13">
        <v>1718.79</v>
      </c>
      <c r="M1824" s="196" t="s">
        <v>426</v>
      </c>
    </row>
    <row r="1825" spans="1:13" ht="15" customHeight="1" outlineLevel="1" x14ac:dyDescent="0.25">
      <c r="A1825" s="148"/>
      <c r="B1825" s="148"/>
      <c r="C1825" s="148"/>
      <c r="D1825" s="138"/>
      <c r="E1825" s="138"/>
      <c r="F1825" s="50">
        <v>43647</v>
      </c>
      <c r="G1825" s="50">
        <v>43830</v>
      </c>
      <c r="H1825" s="150"/>
      <c r="I1825" s="15" t="s">
        <v>23</v>
      </c>
      <c r="J1825" s="15" t="s">
        <v>23</v>
      </c>
      <c r="K1825" s="13">
        <f t="shared" ref="K1825" si="130">$K$1813</f>
        <v>20.5</v>
      </c>
      <c r="L1825" s="13">
        <v>1753.16</v>
      </c>
      <c r="M1825" s="198"/>
    </row>
    <row r="1826" spans="1:13" ht="15" customHeight="1" outlineLevel="1" x14ac:dyDescent="0.25">
      <c r="A1826" s="148"/>
      <c r="B1826" s="148"/>
      <c r="C1826" s="148"/>
      <c r="D1826" s="138"/>
      <c r="E1826" s="138"/>
      <c r="F1826" s="50">
        <v>43466</v>
      </c>
      <c r="G1826" s="50">
        <v>43646</v>
      </c>
      <c r="H1826" s="150"/>
      <c r="I1826" s="15" t="s">
        <v>23</v>
      </c>
      <c r="J1826" s="15" t="s">
        <v>23</v>
      </c>
      <c r="K1826" s="13">
        <f t="shared" ref="K1826" si="131">$K$1812</f>
        <v>20.09</v>
      </c>
      <c r="L1826" s="13">
        <v>1875.04</v>
      </c>
      <c r="M1826" s="196" t="s">
        <v>427</v>
      </c>
    </row>
    <row r="1827" spans="1:13" ht="15" customHeight="1" outlineLevel="1" x14ac:dyDescent="0.25">
      <c r="A1827" s="147"/>
      <c r="B1827" s="147"/>
      <c r="C1827" s="148"/>
      <c r="D1827" s="141"/>
      <c r="E1827" s="141"/>
      <c r="F1827" s="50">
        <v>43647</v>
      </c>
      <c r="G1827" s="50">
        <v>43830</v>
      </c>
      <c r="H1827" s="151"/>
      <c r="I1827" s="15" t="s">
        <v>23</v>
      </c>
      <c r="J1827" s="15" t="s">
        <v>23</v>
      </c>
      <c r="K1827" s="13">
        <f t="shared" ref="K1827" si="132">$K$1813</f>
        <v>20.5</v>
      </c>
      <c r="L1827" s="13">
        <v>1912.54</v>
      </c>
      <c r="M1827" s="198"/>
    </row>
    <row r="1828" spans="1:13" ht="15" customHeight="1" outlineLevel="1" x14ac:dyDescent="0.25">
      <c r="A1828" s="146" t="s">
        <v>62</v>
      </c>
      <c r="B1828" s="146" t="s">
        <v>442</v>
      </c>
      <c r="C1828" s="148"/>
      <c r="D1828" s="137">
        <f>D1810</f>
        <v>43453</v>
      </c>
      <c r="E1828" s="137" t="str">
        <f>E1810</f>
        <v>485-п</v>
      </c>
      <c r="F1828" s="12">
        <v>43466</v>
      </c>
      <c r="G1828" s="12">
        <v>43646</v>
      </c>
      <c r="H1828" s="149"/>
      <c r="I1828" s="66">
        <f>I1810</f>
        <v>26.13</v>
      </c>
      <c r="J1828" s="13">
        <f>J1810</f>
        <v>3039.24</v>
      </c>
      <c r="K1828" s="15" t="s">
        <v>23</v>
      </c>
      <c r="L1828" s="15" t="s">
        <v>23</v>
      </c>
      <c r="M1828" s="153"/>
    </row>
    <row r="1829" spans="1:13" ht="15" customHeight="1" outlineLevel="1" x14ac:dyDescent="0.25">
      <c r="A1829" s="148"/>
      <c r="B1829" s="148"/>
      <c r="C1829" s="148"/>
      <c r="D1829" s="141"/>
      <c r="E1829" s="141"/>
      <c r="F1829" s="12">
        <v>43647</v>
      </c>
      <c r="G1829" s="12">
        <v>43830</v>
      </c>
      <c r="H1829" s="151"/>
      <c r="I1829" s="66">
        <f>I1811</f>
        <v>26.7</v>
      </c>
      <c r="J1829" s="13">
        <f>J1811</f>
        <v>3417.41</v>
      </c>
      <c r="K1829" s="15" t="s">
        <v>23</v>
      </c>
      <c r="L1829" s="15" t="s">
        <v>23</v>
      </c>
      <c r="M1829" s="152"/>
    </row>
    <row r="1830" spans="1:13" ht="15" customHeight="1" outlineLevel="1" x14ac:dyDescent="0.25">
      <c r="A1830" s="148"/>
      <c r="B1830" s="148"/>
      <c r="C1830" s="148"/>
      <c r="D1830" s="137">
        <f>$D$1506</f>
        <v>43454</v>
      </c>
      <c r="E1830" s="137" t="str">
        <f>$E$1506</f>
        <v>677-п</v>
      </c>
      <c r="F1830" s="50">
        <v>43466</v>
      </c>
      <c r="G1830" s="50">
        <v>43646</v>
      </c>
      <c r="H1830" s="149"/>
      <c r="I1830" s="15" t="s">
        <v>23</v>
      </c>
      <c r="J1830" s="15" t="s">
        <v>23</v>
      </c>
      <c r="K1830" s="13">
        <f>K1812</f>
        <v>20.09</v>
      </c>
      <c r="L1830" s="13">
        <f>L1812</f>
        <v>1793.52</v>
      </c>
      <c r="M1830" s="196" t="s">
        <v>420</v>
      </c>
    </row>
    <row r="1831" spans="1:13" ht="15" customHeight="1" outlineLevel="1" x14ac:dyDescent="0.25">
      <c r="A1831" s="148"/>
      <c r="B1831" s="148"/>
      <c r="C1831" s="148"/>
      <c r="D1831" s="138"/>
      <c r="E1831" s="138"/>
      <c r="F1831" s="50">
        <v>43647</v>
      </c>
      <c r="G1831" s="50">
        <v>43830</v>
      </c>
      <c r="H1831" s="150"/>
      <c r="I1831" s="15" t="s">
        <v>23</v>
      </c>
      <c r="J1831" s="15" t="s">
        <v>23</v>
      </c>
      <c r="K1831" s="13">
        <f t="shared" ref="K1831:L1831" si="133">K1813</f>
        <v>20.5</v>
      </c>
      <c r="L1831" s="13">
        <f t="shared" si="133"/>
        <v>1829.39</v>
      </c>
      <c r="M1831" s="198"/>
    </row>
    <row r="1832" spans="1:13" ht="15" customHeight="1" outlineLevel="1" x14ac:dyDescent="0.25">
      <c r="A1832" s="148"/>
      <c r="B1832" s="148"/>
      <c r="C1832" s="148"/>
      <c r="D1832" s="138"/>
      <c r="E1832" s="138"/>
      <c r="F1832" s="50">
        <v>43466</v>
      </c>
      <c r="G1832" s="50">
        <v>43646</v>
      </c>
      <c r="H1832" s="150"/>
      <c r="I1832" s="15" t="s">
        <v>23</v>
      </c>
      <c r="J1832" s="15" t="s">
        <v>23</v>
      </c>
      <c r="K1832" s="13">
        <f t="shared" ref="K1832:L1832" si="134">K1814</f>
        <v>20.09</v>
      </c>
      <c r="L1832" s="13">
        <f t="shared" si="134"/>
        <v>1964.33</v>
      </c>
      <c r="M1832" s="196" t="s">
        <v>421</v>
      </c>
    </row>
    <row r="1833" spans="1:13" ht="15" customHeight="1" outlineLevel="1" x14ac:dyDescent="0.25">
      <c r="A1833" s="148"/>
      <c r="B1833" s="148"/>
      <c r="C1833" s="148"/>
      <c r="D1833" s="138"/>
      <c r="E1833" s="138"/>
      <c r="F1833" s="50">
        <v>43647</v>
      </c>
      <c r="G1833" s="50">
        <v>43830</v>
      </c>
      <c r="H1833" s="150"/>
      <c r="I1833" s="15" t="s">
        <v>23</v>
      </c>
      <c r="J1833" s="15" t="s">
        <v>23</v>
      </c>
      <c r="K1833" s="13">
        <f t="shared" ref="K1833:L1833" si="135">K1815</f>
        <v>20.5</v>
      </c>
      <c r="L1833" s="13">
        <f t="shared" si="135"/>
        <v>2003.61</v>
      </c>
      <c r="M1833" s="198"/>
    </row>
    <row r="1834" spans="1:13" ht="15" customHeight="1" outlineLevel="1" x14ac:dyDescent="0.25">
      <c r="A1834" s="148"/>
      <c r="B1834" s="148"/>
      <c r="C1834" s="148"/>
      <c r="D1834" s="138"/>
      <c r="E1834" s="138"/>
      <c r="F1834" s="50">
        <v>43466</v>
      </c>
      <c r="G1834" s="50">
        <v>43646</v>
      </c>
      <c r="H1834" s="150"/>
      <c r="I1834" s="15" t="s">
        <v>23</v>
      </c>
      <c r="J1834" s="15" t="s">
        <v>23</v>
      </c>
      <c r="K1834" s="13">
        <f t="shared" ref="K1834:L1834" si="136">K1816</f>
        <v>20.09</v>
      </c>
      <c r="L1834" s="13">
        <f t="shared" si="136"/>
        <v>1672.33</v>
      </c>
      <c r="M1834" s="196" t="s">
        <v>422</v>
      </c>
    </row>
    <row r="1835" spans="1:13" ht="15" customHeight="1" outlineLevel="1" x14ac:dyDescent="0.25">
      <c r="A1835" s="148"/>
      <c r="B1835" s="148"/>
      <c r="C1835" s="148"/>
      <c r="D1835" s="138"/>
      <c r="E1835" s="138"/>
      <c r="F1835" s="50">
        <v>43647</v>
      </c>
      <c r="G1835" s="50">
        <v>43830</v>
      </c>
      <c r="H1835" s="150"/>
      <c r="I1835" s="15" t="s">
        <v>23</v>
      </c>
      <c r="J1835" s="15" t="s">
        <v>23</v>
      </c>
      <c r="K1835" s="13">
        <f t="shared" ref="K1835:L1835" si="137">K1817</f>
        <v>20.5</v>
      </c>
      <c r="L1835" s="13">
        <f t="shared" si="137"/>
        <v>1705.78</v>
      </c>
      <c r="M1835" s="198"/>
    </row>
    <row r="1836" spans="1:13" ht="15" customHeight="1" outlineLevel="1" x14ac:dyDescent="0.25">
      <c r="A1836" s="148"/>
      <c r="B1836" s="148"/>
      <c r="C1836" s="148"/>
      <c r="D1836" s="138"/>
      <c r="E1836" s="138"/>
      <c r="F1836" s="50">
        <v>43466</v>
      </c>
      <c r="G1836" s="50">
        <v>43646</v>
      </c>
      <c r="H1836" s="150"/>
      <c r="I1836" s="15" t="s">
        <v>23</v>
      </c>
      <c r="J1836" s="15" t="s">
        <v>23</v>
      </c>
      <c r="K1836" s="13">
        <f t="shared" ref="K1836:L1836" si="138">K1818</f>
        <v>20.09</v>
      </c>
      <c r="L1836" s="13">
        <f t="shared" si="138"/>
        <v>1793.52</v>
      </c>
      <c r="M1836" s="196" t="s">
        <v>423</v>
      </c>
    </row>
    <row r="1837" spans="1:13" ht="15" customHeight="1" outlineLevel="1" x14ac:dyDescent="0.25">
      <c r="A1837" s="148"/>
      <c r="B1837" s="148"/>
      <c r="C1837" s="148"/>
      <c r="D1837" s="138"/>
      <c r="E1837" s="138"/>
      <c r="F1837" s="50">
        <v>43647</v>
      </c>
      <c r="G1837" s="50">
        <v>43830</v>
      </c>
      <c r="H1837" s="150"/>
      <c r="I1837" s="15" t="s">
        <v>23</v>
      </c>
      <c r="J1837" s="15" t="s">
        <v>23</v>
      </c>
      <c r="K1837" s="13">
        <f t="shared" ref="K1837:L1837" si="139">K1819</f>
        <v>20.5</v>
      </c>
      <c r="L1837" s="13">
        <f t="shared" si="139"/>
        <v>1829.39</v>
      </c>
      <c r="M1837" s="198"/>
    </row>
    <row r="1838" spans="1:13" ht="15" customHeight="1" outlineLevel="1" x14ac:dyDescent="0.25">
      <c r="A1838" s="148"/>
      <c r="B1838" s="148"/>
      <c r="C1838" s="148"/>
      <c r="D1838" s="138"/>
      <c r="E1838" s="138"/>
      <c r="F1838" s="50">
        <v>43466</v>
      </c>
      <c r="G1838" s="50">
        <v>43646</v>
      </c>
      <c r="H1838" s="150"/>
      <c r="I1838" s="15" t="s">
        <v>23</v>
      </c>
      <c r="J1838" s="15" t="s">
        <v>23</v>
      </c>
      <c r="K1838" s="13">
        <f t="shared" ref="K1838:L1838" si="140">K1820</f>
        <v>20.09</v>
      </c>
      <c r="L1838" s="13">
        <f t="shared" si="140"/>
        <v>1875.04</v>
      </c>
      <c r="M1838" s="196" t="s">
        <v>424</v>
      </c>
    </row>
    <row r="1839" spans="1:13" ht="15" customHeight="1" outlineLevel="1" x14ac:dyDescent="0.25">
      <c r="A1839" s="148"/>
      <c r="B1839" s="148"/>
      <c r="C1839" s="148"/>
      <c r="D1839" s="138"/>
      <c r="E1839" s="138"/>
      <c r="F1839" s="50">
        <v>43647</v>
      </c>
      <c r="G1839" s="50">
        <v>43830</v>
      </c>
      <c r="H1839" s="150"/>
      <c r="I1839" s="15" t="s">
        <v>23</v>
      </c>
      <c r="J1839" s="15" t="s">
        <v>23</v>
      </c>
      <c r="K1839" s="13">
        <f t="shared" ref="K1839:L1839" si="141">K1821</f>
        <v>20.5</v>
      </c>
      <c r="L1839" s="13">
        <f t="shared" si="141"/>
        <v>1912.54</v>
      </c>
      <c r="M1839" s="198"/>
    </row>
    <row r="1840" spans="1:13" ht="15" customHeight="1" outlineLevel="1" x14ac:dyDescent="0.25">
      <c r="A1840" s="148"/>
      <c r="B1840" s="148"/>
      <c r="C1840" s="148"/>
      <c r="D1840" s="138"/>
      <c r="E1840" s="138"/>
      <c r="F1840" s="50">
        <v>43466</v>
      </c>
      <c r="G1840" s="50">
        <v>43646</v>
      </c>
      <c r="H1840" s="150"/>
      <c r="I1840" s="15" t="s">
        <v>23</v>
      </c>
      <c r="J1840" s="15" t="s">
        <v>23</v>
      </c>
      <c r="K1840" s="13">
        <f t="shared" ref="K1840:L1840" si="142">K1822</f>
        <v>20.09</v>
      </c>
      <c r="L1840" s="13">
        <f t="shared" si="142"/>
        <v>2028.73</v>
      </c>
      <c r="M1840" s="196" t="s">
        <v>425</v>
      </c>
    </row>
    <row r="1841" spans="1:13" ht="15" customHeight="1" outlineLevel="1" x14ac:dyDescent="0.25">
      <c r="A1841" s="148"/>
      <c r="B1841" s="148"/>
      <c r="C1841" s="148"/>
      <c r="D1841" s="138"/>
      <c r="E1841" s="138"/>
      <c r="F1841" s="50">
        <v>43647</v>
      </c>
      <c r="G1841" s="50">
        <v>43830</v>
      </c>
      <c r="H1841" s="150"/>
      <c r="I1841" s="15" t="s">
        <v>23</v>
      </c>
      <c r="J1841" s="15" t="s">
        <v>23</v>
      </c>
      <c r="K1841" s="13">
        <f t="shared" ref="K1841:L1841" si="143">K1823</f>
        <v>20.5</v>
      </c>
      <c r="L1841" s="13">
        <f t="shared" si="143"/>
        <v>2069.3000000000002</v>
      </c>
      <c r="M1841" s="198"/>
    </row>
    <row r="1842" spans="1:13" ht="15" customHeight="1" outlineLevel="1" x14ac:dyDescent="0.25">
      <c r="A1842" s="148"/>
      <c r="B1842" s="148"/>
      <c r="C1842" s="148"/>
      <c r="D1842" s="138"/>
      <c r="E1842" s="138"/>
      <c r="F1842" s="50">
        <v>43466</v>
      </c>
      <c r="G1842" s="50">
        <v>43646</v>
      </c>
      <c r="H1842" s="150"/>
      <c r="I1842" s="15" t="s">
        <v>23</v>
      </c>
      <c r="J1842" s="15" t="s">
        <v>23</v>
      </c>
      <c r="K1842" s="13">
        <f t="shared" ref="K1842:L1842" si="144">K1824</f>
        <v>20.09</v>
      </c>
      <c r="L1842" s="13">
        <f t="shared" si="144"/>
        <v>1718.79</v>
      </c>
      <c r="M1842" s="196" t="s">
        <v>426</v>
      </c>
    </row>
    <row r="1843" spans="1:13" ht="15" customHeight="1" outlineLevel="1" x14ac:dyDescent="0.25">
      <c r="A1843" s="148"/>
      <c r="B1843" s="148"/>
      <c r="C1843" s="148"/>
      <c r="D1843" s="138"/>
      <c r="E1843" s="138"/>
      <c r="F1843" s="50">
        <v>43647</v>
      </c>
      <c r="G1843" s="50">
        <v>43830</v>
      </c>
      <c r="H1843" s="150"/>
      <c r="I1843" s="15" t="s">
        <v>23</v>
      </c>
      <c r="J1843" s="15" t="s">
        <v>23</v>
      </c>
      <c r="K1843" s="13">
        <f t="shared" ref="K1843:L1843" si="145">K1825</f>
        <v>20.5</v>
      </c>
      <c r="L1843" s="13">
        <f t="shared" si="145"/>
        <v>1753.16</v>
      </c>
      <c r="M1843" s="198"/>
    </row>
    <row r="1844" spans="1:13" ht="15" customHeight="1" outlineLevel="1" x14ac:dyDescent="0.25">
      <c r="A1844" s="148"/>
      <c r="B1844" s="148"/>
      <c r="C1844" s="148"/>
      <c r="D1844" s="138"/>
      <c r="E1844" s="138"/>
      <c r="F1844" s="50">
        <v>43466</v>
      </c>
      <c r="G1844" s="50">
        <v>43646</v>
      </c>
      <c r="H1844" s="150"/>
      <c r="I1844" s="15" t="s">
        <v>23</v>
      </c>
      <c r="J1844" s="15" t="s">
        <v>23</v>
      </c>
      <c r="K1844" s="13">
        <f t="shared" ref="K1844:L1844" si="146">K1826</f>
        <v>20.09</v>
      </c>
      <c r="L1844" s="13">
        <f t="shared" si="146"/>
        <v>1875.04</v>
      </c>
      <c r="M1844" s="196" t="s">
        <v>427</v>
      </c>
    </row>
    <row r="1845" spans="1:13" ht="15" customHeight="1" outlineLevel="1" x14ac:dyDescent="0.25">
      <c r="A1845" s="147"/>
      <c r="B1845" s="147"/>
      <c r="C1845" s="148"/>
      <c r="D1845" s="141"/>
      <c r="E1845" s="141"/>
      <c r="F1845" s="50">
        <v>43647</v>
      </c>
      <c r="G1845" s="50">
        <v>43830</v>
      </c>
      <c r="H1845" s="151"/>
      <c r="I1845" s="15" t="s">
        <v>23</v>
      </c>
      <c r="J1845" s="15" t="s">
        <v>23</v>
      </c>
      <c r="K1845" s="13">
        <f t="shared" ref="K1845:L1845" si="147">K1827</f>
        <v>20.5</v>
      </c>
      <c r="L1845" s="13">
        <f t="shared" si="147"/>
        <v>1912.54</v>
      </c>
      <c r="M1845" s="198"/>
    </row>
    <row r="1846" spans="1:13" ht="15" customHeight="1" outlineLevel="1" x14ac:dyDescent="0.25">
      <c r="A1846" s="146" t="s">
        <v>62</v>
      </c>
      <c r="B1846" s="146" t="s">
        <v>392</v>
      </c>
      <c r="C1846" s="148"/>
      <c r="D1846" s="137">
        <f>D1810</f>
        <v>43453</v>
      </c>
      <c r="E1846" s="137" t="str">
        <f>E1810</f>
        <v>485-п</v>
      </c>
      <c r="F1846" s="12">
        <v>43466</v>
      </c>
      <c r="G1846" s="12">
        <v>43646</v>
      </c>
      <c r="H1846" s="149"/>
      <c r="I1846" s="66">
        <f>I1810</f>
        <v>26.13</v>
      </c>
      <c r="J1846" s="13">
        <f>J1810</f>
        <v>3039.24</v>
      </c>
      <c r="K1846" s="15" t="s">
        <v>23</v>
      </c>
      <c r="L1846" s="15" t="s">
        <v>23</v>
      </c>
      <c r="M1846" s="153"/>
    </row>
    <row r="1847" spans="1:13" ht="15" customHeight="1" outlineLevel="1" x14ac:dyDescent="0.25">
      <c r="A1847" s="148"/>
      <c r="B1847" s="148"/>
      <c r="C1847" s="148"/>
      <c r="D1847" s="141"/>
      <c r="E1847" s="141"/>
      <c r="F1847" s="12">
        <v>43647</v>
      </c>
      <c r="G1847" s="12">
        <v>43830</v>
      </c>
      <c r="H1847" s="151"/>
      <c r="I1847" s="66">
        <f>I1811</f>
        <v>26.7</v>
      </c>
      <c r="J1847" s="13">
        <f>J1811</f>
        <v>3417.41</v>
      </c>
      <c r="K1847" s="15" t="s">
        <v>23</v>
      </c>
      <c r="L1847" s="15" t="s">
        <v>23</v>
      </c>
      <c r="M1847" s="152"/>
    </row>
    <row r="1848" spans="1:13" ht="15" customHeight="1" outlineLevel="1" x14ac:dyDescent="0.25">
      <c r="A1848" s="148"/>
      <c r="B1848" s="148"/>
      <c r="C1848" s="148"/>
      <c r="D1848" s="137">
        <f>$D$1506</f>
        <v>43454</v>
      </c>
      <c r="E1848" s="137" t="str">
        <f>$E$1506</f>
        <v>677-п</v>
      </c>
      <c r="F1848" s="50">
        <v>43466</v>
      </c>
      <c r="G1848" s="50">
        <v>43646</v>
      </c>
      <c r="H1848" s="149"/>
      <c r="I1848" s="15" t="s">
        <v>23</v>
      </c>
      <c r="J1848" s="15" t="s">
        <v>23</v>
      </c>
      <c r="K1848" s="13">
        <f>K1812</f>
        <v>20.09</v>
      </c>
      <c r="L1848" s="13">
        <f>L1812</f>
        <v>1793.52</v>
      </c>
      <c r="M1848" s="196" t="s">
        <v>420</v>
      </c>
    </row>
    <row r="1849" spans="1:13" ht="15" customHeight="1" outlineLevel="1" x14ac:dyDescent="0.25">
      <c r="A1849" s="148"/>
      <c r="B1849" s="148"/>
      <c r="C1849" s="148"/>
      <c r="D1849" s="138"/>
      <c r="E1849" s="138"/>
      <c r="F1849" s="50">
        <v>43647</v>
      </c>
      <c r="G1849" s="50">
        <v>43830</v>
      </c>
      <c r="H1849" s="150"/>
      <c r="I1849" s="15" t="s">
        <v>23</v>
      </c>
      <c r="J1849" s="15" t="s">
        <v>23</v>
      </c>
      <c r="K1849" s="13">
        <f t="shared" ref="K1849:L1849" si="148">K1813</f>
        <v>20.5</v>
      </c>
      <c r="L1849" s="13">
        <f t="shared" si="148"/>
        <v>1829.39</v>
      </c>
      <c r="M1849" s="198"/>
    </row>
    <row r="1850" spans="1:13" ht="15" customHeight="1" outlineLevel="1" x14ac:dyDescent="0.25">
      <c r="A1850" s="148"/>
      <c r="B1850" s="148"/>
      <c r="C1850" s="148"/>
      <c r="D1850" s="138"/>
      <c r="E1850" s="138"/>
      <c r="F1850" s="50">
        <v>43466</v>
      </c>
      <c r="G1850" s="50">
        <v>43646</v>
      </c>
      <c r="H1850" s="150"/>
      <c r="I1850" s="15" t="s">
        <v>23</v>
      </c>
      <c r="J1850" s="15" t="s">
        <v>23</v>
      </c>
      <c r="K1850" s="13">
        <f t="shared" ref="K1850:L1850" si="149">K1814</f>
        <v>20.09</v>
      </c>
      <c r="L1850" s="13">
        <f t="shared" si="149"/>
        <v>1964.33</v>
      </c>
      <c r="M1850" s="196" t="s">
        <v>421</v>
      </c>
    </row>
    <row r="1851" spans="1:13" ht="15" customHeight="1" outlineLevel="1" x14ac:dyDescent="0.25">
      <c r="A1851" s="148"/>
      <c r="B1851" s="148"/>
      <c r="C1851" s="148"/>
      <c r="D1851" s="138"/>
      <c r="E1851" s="138"/>
      <c r="F1851" s="50">
        <v>43647</v>
      </c>
      <c r="G1851" s="50">
        <v>43830</v>
      </c>
      <c r="H1851" s="150"/>
      <c r="I1851" s="15" t="s">
        <v>23</v>
      </c>
      <c r="J1851" s="15" t="s">
        <v>23</v>
      </c>
      <c r="K1851" s="13">
        <f t="shared" ref="K1851:L1851" si="150">K1815</f>
        <v>20.5</v>
      </c>
      <c r="L1851" s="13">
        <f t="shared" si="150"/>
        <v>2003.61</v>
      </c>
      <c r="M1851" s="198"/>
    </row>
    <row r="1852" spans="1:13" ht="15" customHeight="1" outlineLevel="1" x14ac:dyDescent="0.25">
      <c r="A1852" s="148"/>
      <c r="B1852" s="148"/>
      <c r="C1852" s="148"/>
      <c r="D1852" s="138"/>
      <c r="E1852" s="138"/>
      <c r="F1852" s="50">
        <v>43466</v>
      </c>
      <c r="G1852" s="50">
        <v>43646</v>
      </c>
      <c r="H1852" s="150"/>
      <c r="I1852" s="15" t="s">
        <v>23</v>
      </c>
      <c r="J1852" s="15" t="s">
        <v>23</v>
      </c>
      <c r="K1852" s="13">
        <f t="shared" ref="K1852:L1852" si="151">K1816</f>
        <v>20.09</v>
      </c>
      <c r="L1852" s="13">
        <f t="shared" si="151"/>
        <v>1672.33</v>
      </c>
      <c r="M1852" s="196" t="s">
        <v>422</v>
      </c>
    </row>
    <row r="1853" spans="1:13" ht="15" customHeight="1" outlineLevel="1" x14ac:dyDescent="0.25">
      <c r="A1853" s="148"/>
      <c r="B1853" s="148"/>
      <c r="C1853" s="148"/>
      <c r="D1853" s="138"/>
      <c r="E1853" s="138"/>
      <c r="F1853" s="50">
        <v>43647</v>
      </c>
      <c r="G1853" s="50">
        <v>43830</v>
      </c>
      <c r="H1853" s="150"/>
      <c r="I1853" s="15" t="s">
        <v>23</v>
      </c>
      <c r="J1853" s="15" t="s">
        <v>23</v>
      </c>
      <c r="K1853" s="13">
        <f t="shared" ref="K1853:L1853" si="152">K1817</f>
        <v>20.5</v>
      </c>
      <c r="L1853" s="13">
        <f t="shared" si="152"/>
        <v>1705.78</v>
      </c>
      <c r="M1853" s="198"/>
    </row>
    <row r="1854" spans="1:13" ht="15" customHeight="1" outlineLevel="1" x14ac:dyDescent="0.25">
      <c r="A1854" s="148"/>
      <c r="B1854" s="148"/>
      <c r="C1854" s="148"/>
      <c r="D1854" s="138"/>
      <c r="E1854" s="138"/>
      <c r="F1854" s="50">
        <v>43466</v>
      </c>
      <c r="G1854" s="50">
        <v>43646</v>
      </c>
      <c r="H1854" s="150"/>
      <c r="I1854" s="15" t="s">
        <v>23</v>
      </c>
      <c r="J1854" s="15" t="s">
        <v>23</v>
      </c>
      <c r="K1854" s="13">
        <f t="shared" ref="K1854:L1854" si="153">K1818</f>
        <v>20.09</v>
      </c>
      <c r="L1854" s="13">
        <f t="shared" si="153"/>
        <v>1793.52</v>
      </c>
      <c r="M1854" s="196" t="s">
        <v>423</v>
      </c>
    </row>
    <row r="1855" spans="1:13" ht="15" customHeight="1" outlineLevel="1" x14ac:dyDescent="0.25">
      <c r="A1855" s="148"/>
      <c r="B1855" s="148"/>
      <c r="C1855" s="148"/>
      <c r="D1855" s="138"/>
      <c r="E1855" s="138"/>
      <c r="F1855" s="50">
        <v>43647</v>
      </c>
      <c r="G1855" s="50">
        <v>43830</v>
      </c>
      <c r="H1855" s="150"/>
      <c r="I1855" s="15" t="s">
        <v>23</v>
      </c>
      <c r="J1855" s="15" t="s">
        <v>23</v>
      </c>
      <c r="K1855" s="13">
        <f t="shared" ref="K1855:L1855" si="154">K1819</f>
        <v>20.5</v>
      </c>
      <c r="L1855" s="13">
        <f t="shared" si="154"/>
        <v>1829.39</v>
      </c>
      <c r="M1855" s="198"/>
    </row>
    <row r="1856" spans="1:13" ht="15" customHeight="1" outlineLevel="1" x14ac:dyDescent="0.25">
      <c r="A1856" s="148"/>
      <c r="B1856" s="148"/>
      <c r="C1856" s="148"/>
      <c r="D1856" s="138"/>
      <c r="E1856" s="138"/>
      <c r="F1856" s="50">
        <v>43466</v>
      </c>
      <c r="G1856" s="50">
        <v>43646</v>
      </c>
      <c r="H1856" s="150"/>
      <c r="I1856" s="15" t="s">
        <v>23</v>
      </c>
      <c r="J1856" s="15" t="s">
        <v>23</v>
      </c>
      <c r="K1856" s="13">
        <f t="shared" ref="K1856:L1856" si="155">K1820</f>
        <v>20.09</v>
      </c>
      <c r="L1856" s="13">
        <f t="shared" si="155"/>
        <v>1875.04</v>
      </c>
      <c r="M1856" s="196" t="s">
        <v>424</v>
      </c>
    </row>
    <row r="1857" spans="1:13" ht="15" customHeight="1" outlineLevel="1" x14ac:dyDescent="0.25">
      <c r="A1857" s="148"/>
      <c r="B1857" s="148"/>
      <c r="C1857" s="148"/>
      <c r="D1857" s="138"/>
      <c r="E1857" s="138"/>
      <c r="F1857" s="50">
        <v>43647</v>
      </c>
      <c r="G1857" s="50">
        <v>43830</v>
      </c>
      <c r="H1857" s="150"/>
      <c r="I1857" s="15" t="s">
        <v>23</v>
      </c>
      <c r="J1857" s="15" t="s">
        <v>23</v>
      </c>
      <c r="K1857" s="13">
        <f t="shared" ref="K1857:L1857" si="156">K1821</f>
        <v>20.5</v>
      </c>
      <c r="L1857" s="13">
        <f t="shared" si="156"/>
        <v>1912.54</v>
      </c>
      <c r="M1857" s="198"/>
    </row>
    <row r="1858" spans="1:13" ht="15" customHeight="1" outlineLevel="1" x14ac:dyDescent="0.25">
      <c r="A1858" s="148"/>
      <c r="B1858" s="148"/>
      <c r="C1858" s="148"/>
      <c r="D1858" s="138"/>
      <c r="E1858" s="138"/>
      <c r="F1858" s="50">
        <v>43466</v>
      </c>
      <c r="G1858" s="50">
        <v>43646</v>
      </c>
      <c r="H1858" s="150"/>
      <c r="I1858" s="15" t="s">
        <v>23</v>
      </c>
      <c r="J1858" s="15" t="s">
        <v>23</v>
      </c>
      <c r="K1858" s="13">
        <f t="shared" ref="K1858:L1858" si="157">K1822</f>
        <v>20.09</v>
      </c>
      <c r="L1858" s="13">
        <f t="shared" si="157"/>
        <v>2028.73</v>
      </c>
      <c r="M1858" s="196" t="s">
        <v>425</v>
      </c>
    </row>
    <row r="1859" spans="1:13" ht="15" customHeight="1" outlineLevel="1" x14ac:dyDescent="0.25">
      <c r="A1859" s="148"/>
      <c r="B1859" s="148"/>
      <c r="C1859" s="148"/>
      <c r="D1859" s="138"/>
      <c r="E1859" s="138"/>
      <c r="F1859" s="50">
        <v>43647</v>
      </c>
      <c r="G1859" s="50">
        <v>43830</v>
      </c>
      <c r="H1859" s="150"/>
      <c r="I1859" s="15" t="s">
        <v>23</v>
      </c>
      <c r="J1859" s="15" t="s">
        <v>23</v>
      </c>
      <c r="K1859" s="13">
        <f t="shared" ref="K1859:L1859" si="158">K1823</f>
        <v>20.5</v>
      </c>
      <c r="L1859" s="13">
        <f t="shared" si="158"/>
        <v>2069.3000000000002</v>
      </c>
      <c r="M1859" s="198"/>
    </row>
    <row r="1860" spans="1:13" ht="15" customHeight="1" outlineLevel="1" x14ac:dyDescent="0.25">
      <c r="A1860" s="148"/>
      <c r="B1860" s="148"/>
      <c r="C1860" s="148"/>
      <c r="D1860" s="138"/>
      <c r="E1860" s="138"/>
      <c r="F1860" s="50">
        <v>43466</v>
      </c>
      <c r="G1860" s="50">
        <v>43646</v>
      </c>
      <c r="H1860" s="150"/>
      <c r="I1860" s="15" t="s">
        <v>23</v>
      </c>
      <c r="J1860" s="15" t="s">
        <v>23</v>
      </c>
      <c r="K1860" s="13">
        <f t="shared" ref="K1860:L1860" si="159">K1824</f>
        <v>20.09</v>
      </c>
      <c r="L1860" s="13">
        <f t="shared" si="159"/>
        <v>1718.79</v>
      </c>
      <c r="M1860" s="196" t="s">
        <v>426</v>
      </c>
    </row>
    <row r="1861" spans="1:13" ht="15" customHeight="1" outlineLevel="1" x14ac:dyDescent="0.25">
      <c r="A1861" s="148"/>
      <c r="B1861" s="148"/>
      <c r="C1861" s="148"/>
      <c r="D1861" s="138"/>
      <c r="E1861" s="138"/>
      <c r="F1861" s="50">
        <v>43647</v>
      </c>
      <c r="G1861" s="50">
        <v>43830</v>
      </c>
      <c r="H1861" s="150"/>
      <c r="I1861" s="15" t="s">
        <v>23</v>
      </c>
      <c r="J1861" s="15" t="s">
        <v>23</v>
      </c>
      <c r="K1861" s="13">
        <f t="shared" ref="K1861:L1861" si="160">K1825</f>
        <v>20.5</v>
      </c>
      <c r="L1861" s="13">
        <f t="shared" si="160"/>
        <v>1753.16</v>
      </c>
      <c r="M1861" s="198"/>
    </row>
    <row r="1862" spans="1:13" ht="15" customHeight="1" outlineLevel="1" x14ac:dyDescent="0.25">
      <c r="A1862" s="148"/>
      <c r="B1862" s="148"/>
      <c r="C1862" s="148"/>
      <c r="D1862" s="138"/>
      <c r="E1862" s="138"/>
      <c r="F1862" s="50">
        <v>43466</v>
      </c>
      <c r="G1862" s="50">
        <v>43646</v>
      </c>
      <c r="H1862" s="150"/>
      <c r="I1862" s="15" t="s">
        <v>23</v>
      </c>
      <c r="J1862" s="15" t="s">
        <v>23</v>
      </c>
      <c r="K1862" s="13">
        <f t="shared" ref="K1862:L1862" si="161">K1826</f>
        <v>20.09</v>
      </c>
      <c r="L1862" s="13">
        <f t="shared" si="161"/>
        <v>1875.04</v>
      </c>
      <c r="M1862" s="196" t="s">
        <v>427</v>
      </c>
    </row>
    <row r="1863" spans="1:13" ht="15" customHeight="1" outlineLevel="1" x14ac:dyDescent="0.25">
      <c r="A1863" s="147"/>
      <c r="B1863" s="147"/>
      <c r="C1863" s="147"/>
      <c r="D1863" s="141"/>
      <c r="E1863" s="141"/>
      <c r="F1863" s="50">
        <v>43647</v>
      </c>
      <c r="G1863" s="50">
        <v>43830</v>
      </c>
      <c r="H1863" s="151"/>
      <c r="I1863" s="15" t="s">
        <v>23</v>
      </c>
      <c r="J1863" s="15" t="s">
        <v>23</v>
      </c>
      <c r="K1863" s="13">
        <f t="shared" ref="K1863:L1863" si="162">K1827</f>
        <v>20.5</v>
      </c>
      <c r="L1863" s="13">
        <f t="shared" si="162"/>
        <v>1912.54</v>
      </c>
      <c r="M1863" s="198"/>
    </row>
    <row r="1864" spans="1:13" ht="15" customHeight="1" outlineLevel="1" x14ac:dyDescent="0.25">
      <c r="A1864" s="146" t="s">
        <v>62</v>
      </c>
      <c r="B1864" s="146" t="s">
        <v>262</v>
      </c>
      <c r="C1864" s="146" t="s">
        <v>574</v>
      </c>
      <c r="D1864" s="137">
        <v>43451</v>
      </c>
      <c r="E1864" s="137" t="s">
        <v>484</v>
      </c>
      <c r="F1864" s="12">
        <v>43466</v>
      </c>
      <c r="G1864" s="12">
        <v>43646</v>
      </c>
      <c r="H1864" s="149"/>
      <c r="I1864" s="66">
        <v>16.04</v>
      </c>
      <c r="J1864" s="13">
        <v>1339.18</v>
      </c>
      <c r="K1864" s="15" t="s">
        <v>23</v>
      </c>
      <c r="L1864" s="15" t="s">
        <v>23</v>
      </c>
      <c r="M1864" s="153"/>
    </row>
    <row r="1865" spans="1:13" ht="15" customHeight="1" outlineLevel="1" x14ac:dyDescent="0.25">
      <c r="A1865" s="148"/>
      <c r="B1865" s="148"/>
      <c r="C1865" s="148"/>
      <c r="D1865" s="141"/>
      <c r="E1865" s="141"/>
      <c r="F1865" s="12">
        <v>43647</v>
      </c>
      <c r="G1865" s="12">
        <v>43830</v>
      </c>
      <c r="H1865" s="151"/>
      <c r="I1865" s="66">
        <v>16.36</v>
      </c>
      <c r="J1865" s="13">
        <v>1344.58</v>
      </c>
      <c r="K1865" s="15" t="s">
        <v>23</v>
      </c>
      <c r="L1865" s="15" t="s">
        <v>23</v>
      </c>
      <c r="M1865" s="152"/>
    </row>
    <row r="1866" spans="1:13" ht="15" customHeight="1" outlineLevel="1" x14ac:dyDescent="0.25">
      <c r="A1866" s="148"/>
      <c r="B1866" s="148"/>
      <c r="C1866" s="148"/>
      <c r="D1866" s="137">
        <f>$D$1506</f>
        <v>43454</v>
      </c>
      <c r="E1866" s="137" t="str">
        <f>$E$1506</f>
        <v>677-п</v>
      </c>
      <c r="F1866" s="50">
        <v>43466</v>
      </c>
      <c r="G1866" s="50">
        <v>43646</v>
      </c>
      <c r="H1866" s="149"/>
      <c r="I1866" s="15" t="s">
        <v>23</v>
      </c>
      <c r="J1866" s="15" t="s">
        <v>23</v>
      </c>
      <c r="K1866" s="13">
        <v>19.25</v>
      </c>
      <c r="L1866" s="13">
        <v>1326.46</v>
      </c>
      <c r="M1866" s="196" t="s">
        <v>420</v>
      </c>
    </row>
    <row r="1867" spans="1:13" ht="15" customHeight="1" outlineLevel="1" x14ac:dyDescent="0.25">
      <c r="A1867" s="148"/>
      <c r="B1867" s="148"/>
      <c r="C1867" s="148"/>
      <c r="D1867" s="138"/>
      <c r="E1867" s="138"/>
      <c r="F1867" s="50">
        <v>43647</v>
      </c>
      <c r="G1867" s="50">
        <v>43830</v>
      </c>
      <c r="H1867" s="150"/>
      <c r="I1867" s="15" t="s">
        <v>23</v>
      </c>
      <c r="J1867" s="15" t="s">
        <v>23</v>
      </c>
      <c r="K1867" s="13">
        <v>19.63</v>
      </c>
      <c r="L1867" s="13">
        <v>1352.99</v>
      </c>
      <c r="M1867" s="198"/>
    </row>
    <row r="1868" spans="1:13" ht="15" customHeight="1" outlineLevel="1" x14ac:dyDescent="0.25">
      <c r="A1868" s="148"/>
      <c r="B1868" s="148"/>
      <c r="C1868" s="148"/>
      <c r="D1868" s="138"/>
      <c r="E1868" s="138"/>
      <c r="F1868" s="50">
        <v>43466</v>
      </c>
      <c r="G1868" s="50">
        <v>43646</v>
      </c>
      <c r="H1868" s="150"/>
      <c r="I1868" s="15" t="s">
        <v>23</v>
      </c>
      <c r="J1868" s="15" t="s">
        <v>23</v>
      </c>
      <c r="K1868" s="13">
        <f>$K$1866</f>
        <v>19.25</v>
      </c>
      <c r="L1868" s="13">
        <v>1452.79</v>
      </c>
      <c r="M1868" s="196" t="s">
        <v>421</v>
      </c>
    </row>
    <row r="1869" spans="1:13" ht="15" customHeight="1" outlineLevel="1" x14ac:dyDescent="0.25">
      <c r="A1869" s="148"/>
      <c r="B1869" s="148"/>
      <c r="C1869" s="148"/>
      <c r="D1869" s="138"/>
      <c r="E1869" s="138"/>
      <c r="F1869" s="50">
        <v>43647</v>
      </c>
      <c r="G1869" s="50">
        <v>43830</v>
      </c>
      <c r="H1869" s="150"/>
      <c r="I1869" s="15" t="s">
        <v>23</v>
      </c>
      <c r="J1869" s="15" t="s">
        <v>23</v>
      </c>
      <c r="K1869" s="13">
        <f>$K$1867</f>
        <v>19.63</v>
      </c>
      <c r="L1869" s="13">
        <v>1481.85</v>
      </c>
      <c r="M1869" s="198"/>
    </row>
    <row r="1870" spans="1:13" ht="15" customHeight="1" outlineLevel="1" x14ac:dyDescent="0.25">
      <c r="A1870" s="148"/>
      <c r="B1870" s="148"/>
      <c r="C1870" s="148"/>
      <c r="D1870" s="138"/>
      <c r="E1870" s="138"/>
      <c r="F1870" s="50">
        <v>43466</v>
      </c>
      <c r="G1870" s="50">
        <v>43646</v>
      </c>
      <c r="H1870" s="150"/>
      <c r="I1870" s="15" t="s">
        <v>23</v>
      </c>
      <c r="J1870" s="15" t="s">
        <v>23</v>
      </c>
      <c r="K1870" s="13">
        <f t="shared" ref="K1870" si="163">$K$1866</f>
        <v>19.25</v>
      </c>
      <c r="L1870" s="13">
        <v>1236.83</v>
      </c>
      <c r="M1870" s="196" t="s">
        <v>422</v>
      </c>
    </row>
    <row r="1871" spans="1:13" ht="15" customHeight="1" outlineLevel="1" x14ac:dyDescent="0.25">
      <c r="A1871" s="148"/>
      <c r="B1871" s="148"/>
      <c r="C1871" s="148"/>
      <c r="D1871" s="138"/>
      <c r="E1871" s="138"/>
      <c r="F1871" s="50">
        <v>43647</v>
      </c>
      <c r="G1871" s="50">
        <v>43830</v>
      </c>
      <c r="H1871" s="150"/>
      <c r="I1871" s="15" t="s">
        <v>23</v>
      </c>
      <c r="J1871" s="15" t="s">
        <v>23</v>
      </c>
      <c r="K1871" s="13">
        <f t="shared" ref="K1871" si="164">$K$1867</f>
        <v>19.63</v>
      </c>
      <c r="L1871" s="13">
        <v>1261.57</v>
      </c>
      <c r="M1871" s="198"/>
    </row>
    <row r="1872" spans="1:13" ht="15" customHeight="1" outlineLevel="1" x14ac:dyDescent="0.25">
      <c r="A1872" s="148"/>
      <c r="B1872" s="148"/>
      <c r="C1872" s="148"/>
      <c r="D1872" s="138"/>
      <c r="E1872" s="138"/>
      <c r="F1872" s="50">
        <v>43466</v>
      </c>
      <c r="G1872" s="50">
        <v>43646</v>
      </c>
      <c r="H1872" s="150"/>
      <c r="I1872" s="15" t="s">
        <v>23</v>
      </c>
      <c r="J1872" s="15" t="s">
        <v>23</v>
      </c>
      <c r="K1872" s="13">
        <f t="shared" ref="K1872" si="165">$K$1866</f>
        <v>19.25</v>
      </c>
      <c r="L1872" s="13">
        <v>1326.46</v>
      </c>
      <c r="M1872" s="196" t="s">
        <v>423</v>
      </c>
    </row>
    <row r="1873" spans="1:13" ht="15" customHeight="1" outlineLevel="1" x14ac:dyDescent="0.25">
      <c r="A1873" s="148"/>
      <c r="B1873" s="148"/>
      <c r="C1873" s="148"/>
      <c r="D1873" s="138"/>
      <c r="E1873" s="138"/>
      <c r="F1873" s="50">
        <v>43647</v>
      </c>
      <c r="G1873" s="50">
        <v>43830</v>
      </c>
      <c r="H1873" s="150"/>
      <c r="I1873" s="15" t="s">
        <v>23</v>
      </c>
      <c r="J1873" s="15" t="s">
        <v>23</v>
      </c>
      <c r="K1873" s="13">
        <f t="shared" ref="K1873" si="166">$K$1867</f>
        <v>19.63</v>
      </c>
      <c r="L1873" s="13">
        <v>1352.99</v>
      </c>
      <c r="M1873" s="198"/>
    </row>
    <row r="1874" spans="1:13" ht="15" customHeight="1" outlineLevel="1" x14ac:dyDescent="0.25">
      <c r="A1874" s="148"/>
      <c r="B1874" s="148"/>
      <c r="C1874" s="148"/>
      <c r="D1874" s="138"/>
      <c r="E1874" s="138"/>
      <c r="F1874" s="50">
        <v>43466</v>
      </c>
      <c r="G1874" s="50">
        <v>43646</v>
      </c>
      <c r="H1874" s="150"/>
      <c r="I1874" s="15" t="s">
        <v>23</v>
      </c>
      <c r="J1874" s="15" t="s">
        <v>23</v>
      </c>
      <c r="K1874" s="13">
        <f t="shared" ref="K1874" si="167">$K$1866</f>
        <v>19.25</v>
      </c>
      <c r="L1874" s="13">
        <v>1386.75</v>
      </c>
      <c r="M1874" s="196" t="s">
        <v>424</v>
      </c>
    </row>
    <row r="1875" spans="1:13" ht="15" customHeight="1" outlineLevel="1" x14ac:dyDescent="0.25">
      <c r="A1875" s="148"/>
      <c r="B1875" s="148"/>
      <c r="C1875" s="148"/>
      <c r="D1875" s="138"/>
      <c r="E1875" s="138"/>
      <c r="F1875" s="50">
        <v>43647</v>
      </c>
      <c r="G1875" s="50">
        <v>43830</v>
      </c>
      <c r="H1875" s="150"/>
      <c r="I1875" s="15" t="s">
        <v>23</v>
      </c>
      <c r="J1875" s="15" t="s">
        <v>23</v>
      </c>
      <c r="K1875" s="13">
        <f t="shared" ref="K1875" si="168">$K$1867</f>
        <v>19.63</v>
      </c>
      <c r="L1875" s="13">
        <v>1414.49</v>
      </c>
      <c r="M1875" s="198"/>
    </row>
    <row r="1876" spans="1:13" ht="15" customHeight="1" outlineLevel="1" x14ac:dyDescent="0.25">
      <c r="A1876" s="148"/>
      <c r="B1876" s="148"/>
      <c r="C1876" s="148"/>
      <c r="D1876" s="138"/>
      <c r="E1876" s="138"/>
      <c r="F1876" s="50">
        <v>43466</v>
      </c>
      <c r="G1876" s="50">
        <v>43646</v>
      </c>
      <c r="H1876" s="150"/>
      <c r="I1876" s="15" t="s">
        <v>23</v>
      </c>
      <c r="J1876" s="15" t="s">
        <v>23</v>
      </c>
      <c r="K1876" s="13">
        <f t="shared" ref="K1876" si="169">$K$1866</f>
        <v>19.25</v>
      </c>
      <c r="L1876" s="13">
        <v>1500.42</v>
      </c>
      <c r="M1876" s="196" t="s">
        <v>425</v>
      </c>
    </row>
    <row r="1877" spans="1:13" ht="15" customHeight="1" outlineLevel="1" x14ac:dyDescent="0.25">
      <c r="A1877" s="148"/>
      <c r="B1877" s="148"/>
      <c r="C1877" s="148"/>
      <c r="D1877" s="138"/>
      <c r="E1877" s="138"/>
      <c r="F1877" s="50">
        <v>43647</v>
      </c>
      <c r="G1877" s="50">
        <v>43830</v>
      </c>
      <c r="H1877" s="150"/>
      <c r="I1877" s="15" t="s">
        <v>23</v>
      </c>
      <c r="J1877" s="15" t="s">
        <v>23</v>
      </c>
      <c r="K1877" s="13">
        <f t="shared" ref="K1877" si="170">$K$1867</f>
        <v>19.63</v>
      </c>
      <c r="L1877" s="13">
        <v>1530.43</v>
      </c>
      <c r="M1877" s="198"/>
    </row>
    <row r="1878" spans="1:13" ht="15" customHeight="1" outlineLevel="1" x14ac:dyDescent="0.25">
      <c r="A1878" s="148"/>
      <c r="B1878" s="148"/>
      <c r="C1878" s="148"/>
      <c r="D1878" s="138"/>
      <c r="E1878" s="138"/>
      <c r="F1878" s="50">
        <v>43466</v>
      </c>
      <c r="G1878" s="50">
        <v>43646</v>
      </c>
      <c r="H1878" s="150"/>
      <c r="I1878" s="15" t="s">
        <v>23</v>
      </c>
      <c r="J1878" s="15" t="s">
        <v>23</v>
      </c>
      <c r="K1878" s="13">
        <f t="shared" ref="K1878" si="171">$K$1866</f>
        <v>19.25</v>
      </c>
      <c r="L1878" s="13">
        <v>1271.19</v>
      </c>
      <c r="M1878" s="196" t="s">
        <v>426</v>
      </c>
    </row>
    <row r="1879" spans="1:13" ht="15" customHeight="1" outlineLevel="1" x14ac:dyDescent="0.25">
      <c r="A1879" s="148"/>
      <c r="B1879" s="148"/>
      <c r="C1879" s="148"/>
      <c r="D1879" s="138"/>
      <c r="E1879" s="138"/>
      <c r="F1879" s="50">
        <v>43647</v>
      </c>
      <c r="G1879" s="50">
        <v>43830</v>
      </c>
      <c r="H1879" s="150"/>
      <c r="I1879" s="15" t="s">
        <v>23</v>
      </c>
      <c r="J1879" s="15" t="s">
        <v>23</v>
      </c>
      <c r="K1879" s="13">
        <f t="shared" ref="K1879" si="172">$K$1867</f>
        <v>19.63</v>
      </c>
      <c r="L1879" s="13">
        <v>1296.6099999999999</v>
      </c>
      <c r="M1879" s="198"/>
    </row>
    <row r="1880" spans="1:13" ht="15" customHeight="1" outlineLevel="1" x14ac:dyDescent="0.25">
      <c r="A1880" s="148"/>
      <c r="B1880" s="148"/>
      <c r="C1880" s="148"/>
      <c r="D1880" s="138"/>
      <c r="E1880" s="138"/>
      <c r="F1880" s="50">
        <v>43466</v>
      </c>
      <c r="G1880" s="50">
        <v>43646</v>
      </c>
      <c r="H1880" s="150"/>
      <c r="I1880" s="15" t="s">
        <v>23</v>
      </c>
      <c r="J1880" s="15" t="s">
        <v>23</v>
      </c>
      <c r="K1880" s="13">
        <f t="shared" ref="K1880" si="173">$K$1866</f>
        <v>19.25</v>
      </c>
      <c r="L1880" s="13">
        <v>1386.75</v>
      </c>
      <c r="M1880" s="196" t="s">
        <v>427</v>
      </c>
    </row>
    <row r="1881" spans="1:13" ht="15" customHeight="1" outlineLevel="1" x14ac:dyDescent="0.25">
      <c r="A1881" s="147"/>
      <c r="B1881" s="147"/>
      <c r="C1881" s="147"/>
      <c r="D1881" s="141"/>
      <c r="E1881" s="141"/>
      <c r="F1881" s="50">
        <v>43647</v>
      </c>
      <c r="G1881" s="50">
        <v>43830</v>
      </c>
      <c r="H1881" s="151"/>
      <c r="I1881" s="15" t="s">
        <v>23</v>
      </c>
      <c r="J1881" s="15" t="s">
        <v>23</v>
      </c>
      <c r="K1881" s="13">
        <f t="shared" ref="K1881" si="174">$K$1867</f>
        <v>19.63</v>
      </c>
      <c r="L1881" s="13">
        <v>1414.49</v>
      </c>
      <c r="M1881" s="198"/>
    </row>
    <row r="1882" spans="1:13" ht="15" customHeight="1" outlineLevel="1" x14ac:dyDescent="0.25">
      <c r="A1882" s="146" t="s">
        <v>62</v>
      </c>
      <c r="B1882" s="146" t="s">
        <v>350</v>
      </c>
      <c r="C1882" s="146" t="s">
        <v>351</v>
      </c>
      <c r="D1882" s="137">
        <v>42717</v>
      </c>
      <c r="E1882" s="137" t="s">
        <v>352</v>
      </c>
      <c r="F1882" s="12">
        <v>43466</v>
      </c>
      <c r="G1882" s="12">
        <v>43646</v>
      </c>
      <c r="H1882" s="149" t="s">
        <v>577</v>
      </c>
      <c r="I1882" s="66">
        <v>19.95</v>
      </c>
      <c r="J1882" s="13">
        <v>2045.72</v>
      </c>
      <c r="K1882" s="15" t="s">
        <v>23</v>
      </c>
      <c r="L1882" s="15" t="s">
        <v>23</v>
      </c>
      <c r="M1882" s="153"/>
    </row>
    <row r="1883" spans="1:13" ht="15" customHeight="1" outlineLevel="1" x14ac:dyDescent="0.25">
      <c r="A1883" s="148"/>
      <c r="B1883" s="148"/>
      <c r="C1883" s="148"/>
      <c r="D1883" s="141"/>
      <c r="E1883" s="141"/>
      <c r="F1883" s="12">
        <v>43647</v>
      </c>
      <c r="G1883" s="12">
        <v>43830</v>
      </c>
      <c r="H1883" s="151"/>
      <c r="I1883" s="66">
        <v>22.52</v>
      </c>
      <c r="J1883" s="13">
        <v>2123.73</v>
      </c>
      <c r="K1883" s="15" t="s">
        <v>23</v>
      </c>
      <c r="L1883" s="15" t="s">
        <v>23</v>
      </c>
      <c r="M1883" s="152"/>
    </row>
    <row r="1884" spans="1:13" ht="15" customHeight="1" outlineLevel="1" x14ac:dyDescent="0.25">
      <c r="A1884" s="148"/>
      <c r="B1884" s="148"/>
      <c r="C1884" s="148"/>
      <c r="D1884" s="137">
        <f>$D$1506</f>
        <v>43454</v>
      </c>
      <c r="E1884" s="137" t="str">
        <f>$E$1506</f>
        <v>677-п</v>
      </c>
      <c r="F1884" s="50">
        <v>43466</v>
      </c>
      <c r="G1884" s="50">
        <v>43646</v>
      </c>
      <c r="H1884" s="149"/>
      <c r="I1884" s="15" t="s">
        <v>23</v>
      </c>
      <c r="J1884" s="15" t="s">
        <v>23</v>
      </c>
      <c r="K1884" s="13">
        <v>23.94</v>
      </c>
      <c r="L1884" s="13">
        <v>2131.61</v>
      </c>
      <c r="M1884" s="196" t="s">
        <v>420</v>
      </c>
    </row>
    <row r="1885" spans="1:13" ht="15" customHeight="1" outlineLevel="1" x14ac:dyDescent="0.25">
      <c r="A1885" s="148"/>
      <c r="B1885" s="148"/>
      <c r="C1885" s="148"/>
      <c r="D1885" s="138"/>
      <c r="E1885" s="138"/>
      <c r="F1885" s="50">
        <v>43647</v>
      </c>
      <c r="G1885" s="50">
        <v>43830</v>
      </c>
      <c r="H1885" s="150"/>
      <c r="I1885" s="15" t="s">
        <v>23</v>
      </c>
      <c r="J1885" s="15" t="s">
        <v>23</v>
      </c>
      <c r="K1885" s="13">
        <v>24.42</v>
      </c>
      <c r="L1885" s="13">
        <v>2174.25</v>
      </c>
      <c r="M1885" s="198"/>
    </row>
    <row r="1886" spans="1:13" ht="15" customHeight="1" outlineLevel="1" x14ac:dyDescent="0.25">
      <c r="A1886" s="148"/>
      <c r="B1886" s="148"/>
      <c r="C1886" s="148"/>
      <c r="D1886" s="138"/>
      <c r="E1886" s="138"/>
      <c r="F1886" s="50">
        <v>43466</v>
      </c>
      <c r="G1886" s="50">
        <v>43646</v>
      </c>
      <c r="H1886" s="150"/>
      <c r="I1886" s="15" t="s">
        <v>23</v>
      </c>
      <c r="J1886" s="15" t="s">
        <v>23</v>
      </c>
      <c r="K1886" s="13">
        <f>$K$1884</f>
        <v>23.94</v>
      </c>
      <c r="L1886" s="13">
        <v>2334.62</v>
      </c>
      <c r="M1886" s="196" t="s">
        <v>421</v>
      </c>
    </row>
    <row r="1887" spans="1:13" ht="15" customHeight="1" outlineLevel="1" x14ac:dyDescent="0.25">
      <c r="A1887" s="148"/>
      <c r="B1887" s="148"/>
      <c r="C1887" s="148"/>
      <c r="D1887" s="138"/>
      <c r="E1887" s="138"/>
      <c r="F1887" s="50">
        <v>43647</v>
      </c>
      <c r="G1887" s="50">
        <v>43830</v>
      </c>
      <c r="H1887" s="150"/>
      <c r="I1887" s="15" t="s">
        <v>23</v>
      </c>
      <c r="J1887" s="15" t="s">
        <v>23</v>
      </c>
      <c r="K1887" s="13">
        <f>$K$1885</f>
        <v>24.42</v>
      </c>
      <c r="L1887" s="13">
        <v>2381.3200000000002</v>
      </c>
      <c r="M1887" s="198"/>
    </row>
    <row r="1888" spans="1:13" ht="15" customHeight="1" outlineLevel="1" x14ac:dyDescent="0.25">
      <c r="A1888" s="148"/>
      <c r="B1888" s="148"/>
      <c r="C1888" s="148"/>
      <c r="D1888" s="138"/>
      <c r="E1888" s="138"/>
      <c r="F1888" s="50">
        <v>43466</v>
      </c>
      <c r="G1888" s="50">
        <v>43646</v>
      </c>
      <c r="H1888" s="150"/>
      <c r="I1888" s="15" t="s">
        <v>23</v>
      </c>
      <c r="J1888" s="15" t="s">
        <v>23</v>
      </c>
      <c r="K1888" s="13">
        <f t="shared" ref="K1888" si="175">$K$1884</f>
        <v>23.94</v>
      </c>
      <c r="L1888" s="13">
        <v>1987.59</v>
      </c>
      <c r="M1888" s="196" t="s">
        <v>422</v>
      </c>
    </row>
    <row r="1889" spans="1:20" ht="15" customHeight="1" outlineLevel="1" x14ac:dyDescent="0.25">
      <c r="A1889" s="148"/>
      <c r="B1889" s="148"/>
      <c r="C1889" s="148"/>
      <c r="D1889" s="138"/>
      <c r="E1889" s="138"/>
      <c r="F1889" s="50">
        <v>43647</v>
      </c>
      <c r="G1889" s="50">
        <v>43830</v>
      </c>
      <c r="H1889" s="150"/>
      <c r="I1889" s="15" t="s">
        <v>23</v>
      </c>
      <c r="J1889" s="15" t="s">
        <v>23</v>
      </c>
      <c r="K1889" s="13">
        <f t="shared" ref="K1889" si="176">$K$1885</f>
        <v>24.42</v>
      </c>
      <c r="L1889" s="13">
        <v>2027.34</v>
      </c>
      <c r="M1889" s="198"/>
    </row>
    <row r="1890" spans="1:20" ht="15" customHeight="1" outlineLevel="1" x14ac:dyDescent="0.25">
      <c r="A1890" s="148"/>
      <c r="B1890" s="148"/>
      <c r="C1890" s="148"/>
      <c r="D1890" s="138"/>
      <c r="E1890" s="138"/>
      <c r="F1890" s="50">
        <v>43466</v>
      </c>
      <c r="G1890" s="50">
        <v>43646</v>
      </c>
      <c r="H1890" s="150"/>
      <c r="I1890" s="15" t="s">
        <v>23</v>
      </c>
      <c r="J1890" s="15" t="s">
        <v>23</v>
      </c>
      <c r="K1890" s="13">
        <f t="shared" ref="K1890" si="177">$K$1884</f>
        <v>23.94</v>
      </c>
      <c r="L1890" s="13">
        <v>2131.61</v>
      </c>
      <c r="M1890" s="196" t="s">
        <v>423</v>
      </c>
    </row>
    <row r="1891" spans="1:20" ht="15" customHeight="1" outlineLevel="1" x14ac:dyDescent="0.25">
      <c r="A1891" s="148"/>
      <c r="B1891" s="148"/>
      <c r="C1891" s="148"/>
      <c r="D1891" s="138"/>
      <c r="E1891" s="138"/>
      <c r="F1891" s="50">
        <v>43647</v>
      </c>
      <c r="G1891" s="50">
        <v>43830</v>
      </c>
      <c r="H1891" s="150"/>
      <c r="I1891" s="15" t="s">
        <v>23</v>
      </c>
      <c r="J1891" s="15" t="s">
        <v>23</v>
      </c>
      <c r="K1891" s="13">
        <f t="shared" ref="K1891" si="178">$K$1885</f>
        <v>24.42</v>
      </c>
      <c r="L1891" s="13">
        <v>2174.25</v>
      </c>
      <c r="M1891" s="198"/>
    </row>
    <row r="1892" spans="1:20" ht="15" customHeight="1" outlineLevel="1" x14ac:dyDescent="0.25">
      <c r="A1892" s="148"/>
      <c r="B1892" s="148"/>
      <c r="C1892" s="148"/>
      <c r="D1892" s="138"/>
      <c r="E1892" s="138"/>
      <c r="F1892" s="50">
        <v>43466</v>
      </c>
      <c r="G1892" s="50">
        <v>43646</v>
      </c>
      <c r="H1892" s="150"/>
      <c r="I1892" s="15" t="s">
        <v>23</v>
      </c>
      <c r="J1892" s="15" t="s">
        <v>23</v>
      </c>
      <c r="K1892" s="13">
        <f t="shared" ref="K1892" si="179">$K$1884</f>
        <v>23.94</v>
      </c>
      <c r="L1892" s="13">
        <v>2228.5100000000002</v>
      </c>
      <c r="M1892" s="196" t="s">
        <v>424</v>
      </c>
    </row>
    <row r="1893" spans="1:20" ht="15" customHeight="1" outlineLevel="1" x14ac:dyDescent="0.25">
      <c r="A1893" s="148"/>
      <c r="B1893" s="148"/>
      <c r="C1893" s="148"/>
      <c r="D1893" s="138"/>
      <c r="E1893" s="138"/>
      <c r="F1893" s="50">
        <v>43647</v>
      </c>
      <c r="G1893" s="50">
        <v>43830</v>
      </c>
      <c r="H1893" s="150"/>
      <c r="I1893" s="15" t="s">
        <v>23</v>
      </c>
      <c r="J1893" s="15" t="s">
        <v>23</v>
      </c>
      <c r="K1893" s="13">
        <f t="shared" ref="K1893" si="180">$K$1885</f>
        <v>24.42</v>
      </c>
      <c r="L1893" s="13">
        <v>2273.08</v>
      </c>
      <c r="M1893" s="198"/>
    </row>
    <row r="1894" spans="1:20" ht="15" customHeight="1" outlineLevel="1" x14ac:dyDescent="0.25">
      <c r="A1894" s="148"/>
      <c r="B1894" s="148"/>
      <c r="C1894" s="148"/>
      <c r="D1894" s="138"/>
      <c r="E1894" s="138"/>
      <c r="F1894" s="50">
        <v>43466</v>
      </c>
      <c r="G1894" s="50">
        <v>43646</v>
      </c>
      <c r="H1894" s="150"/>
      <c r="I1894" s="15" t="s">
        <v>23</v>
      </c>
      <c r="J1894" s="15" t="s">
        <v>23</v>
      </c>
      <c r="K1894" s="13">
        <f t="shared" ref="K1894" si="181">$K$1884</f>
        <v>23.94</v>
      </c>
      <c r="L1894" s="13">
        <v>2411.17</v>
      </c>
      <c r="M1894" s="196" t="s">
        <v>425</v>
      </c>
    </row>
    <row r="1895" spans="1:20" ht="15" customHeight="1" outlineLevel="1" x14ac:dyDescent="0.25">
      <c r="A1895" s="148"/>
      <c r="B1895" s="148"/>
      <c r="C1895" s="148"/>
      <c r="D1895" s="138"/>
      <c r="E1895" s="138"/>
      <c r="F1895" s="50">
        <v>43647</v>
      </c>
      <c r="G1895" s="50">
        <v>43830</v>
      </c>
      <c r="H1895" s="150"/>
      <c r="I1895" s="15" t="s">
        <v>23</v>
      </c>
      <c r="J1895" s="15" t="s">
        <v>23</v>
      </c>
      <c r="K1895" s="13">
        <f t="shared" ref="K1895" si="182">$K$1885</f>
        <v>24.42</v>
      </c>
      <c r="L1895" s="13">
        <v>2459.39</v>
      </c>
      <c r="M1895" s="198"/>
    </row>
    <row r="1896" spans="1:20" ht="15" customHeight="1" outlineLevel="1" x14ac:dyDescent="0.25">
      <c r="A1896" s="148"/>
      <c r="B1896" s="148"/>
      <c r="C1896" s="148"/>
      <c r="D1896" s="138"/>
      <c r="E1896" s="138"/>
      <c r="F1896" s="50">
        <v>43466</v>
      </c>
      <c r="G1896" s="50">
        <v>43646</v>
      </c>
      <c r="H1896" s="150"/>
      <c r="I1896" s="15" t="s">
        <v>23</v>
      </c>
      <c r="J1896" s="15" t="s">
        <v>23</v>
      </c>
      <c r="K1896" s="13">
        <f t="shared" ref="K1896" si="183">$K$1884</f>
        <v>23.94</v>
      </c>
      <c r="L1896" s="13">
        <v>2042.8</v>
      </c>
      <c r="M1896" s="196" t="s">
        <v>426</v>
      </c>
    </row>
    <row r="1897" spans="1:20" ht="15" customHeight="1" outlineLevel="1" x14ac:dyDescent="0.25">
      <c r="A1897" s="148"/>
      <c r="B1897" s="148"/>
      <c r="C1897" s="148"/>
      <c r="D1897" s="138"/>
      <c r="E1897" s="138"/>
      <c r="F1897" s="50">
        <v>43647</v>
      </c>
      <c r="G1897" s="50">
        <v>43830</v>
      </c>
      <c r="H1897" s="150"/>
      <c r="I1897" s="15" t="s">
        <v>23</v>
      </c>
      <c r="J1897" s="15" t="s">
        <v>23</v>
      </c>
      <c r="K1897" s="13">
        <f t="shared" ref="K1897" si="184">$K$1885</f>
        <v>24.42</v>
      </c>
      <c r="L1897" s="13">
        <v>2083.65</v>
      </c>
      <c r="M1897" s="198"/>
    </row>
    <row r="1898" spans="1:20" ht="15" customHeight="1" outlineLevel="1" x14ac:dyDescent="0.25">
      <c r="A1898" s="148"/>
      <c r="B1898" s="148"/>
      <c r="C1898" s="148"/>
      <c r="D1898" s="138"/>
      <c r="E1898" s="138"/>
      <c r="F1898" s="50">
        <v>43466</v>
      </c>
      <c r="G1898" s="50">
        <v>43646</v>
      </c>
      <c r="H1898" s="150"/>
      <c r="I1898" s="15" t="s">
        <v>23</v>
      </c>
      <c r="J1898" s="15" t="s">
        <v>23</v>
      </c>
      <c r="K1898" s="13">
        <f t="shared" ref="K1898" si="185">$K$1884</f>
        <v>23.94</v>
      </c>
      <c r="L1898" s="13">
        <v>2228.5100000000002</v>
      </c>
      <c r="M1898" s="196" t="s">
        <v>427</v>
      </c>
    </row>
    <row r="1899" spans="1:20" s="10" customFormat="1" ht="28.5" customHeight="1" x14ac:dyDescent="0.25">
      <c r="A1899" s="147"/>
      <c r="B1899" s="147"/>
      <c r="C1899" s="147"/>
      <c r="D1899" s="141"/>
      <c r="E1899" s="141"/>
      <c r="F1899" s="50">
        <v>43647</v>
      </c>
      <c r="G1899" s="50">
        <v>43830</v>
      </c>
      <c r="H1899" s="151"/>
      <c r="I1899" s="15" t="s">
        <v>23</v>
      </c>
      <c r="J1899" s="15" t="s">
        <v>23</v>
      </c>
      <c r="K1899" s="13">
        <f t="shared" ref="K1899" si="186">$K$1885</f>
        <v>24.42</v>
      </c>
      <c r="L1899" s="13">
        <v>2273.08</v>
      </c>
      <c r="M1899" s="198"/>
      <c r="N1899" s="69"/>
      <c r="O1899" s="11"/>
      <c r="Q1899" s="64"/>
      <c r="R1899" s="64"/>
      <c r="S1899" s="65"/>
      <c r="T1899" s="11"/>
    </row>
    <row r="1900" spans="1:20" ht="15" customHeight="1" outlineLevel="1" x14ac:dyDescent="0.25">
      <c r="A1900" s="146" t="s">
        <v>62</v>
      </c>
      <c r="B1900" s="146" t="s">
        <v>575</v>
      </c>
      <c r="C1900" s="146" t="s">
        <v>281</v>
      </c>
      <c r="D1900" s="137">
        <v>43454</v>
      </c>
      <c r="E1900" s="137" t="s">
        <v>490</v>
      </c>
      <c r="F1900" s="12">
        <v>43466</v>
      </c>
      <c r="G1900" s="12">
        <v>43646</v>
      </c>
      <c r="H1900" s="149"/>
      <c r="I1900" s="66">
        <v>27.09</v>
      </c>
      <c r="J1900" s="13">
        <v>1160.81</v>
      </c>
      <c r="K1900" s="15" t="s">
        <v>23</v>
      </c>
      <c r="L1900" s="15" t="s">
        <v>23</v>
      </c>
      <c r="M1900" s="153"/>
    </row>
    <row r="1901" spans="1:20" ht="15" customHeight="1" outlineLevel="1" x14ac:dyDescent="0.25">
      <c r="A1901" s="148"/>
      <c r="B1901" s="148"/>
      <c r="C1901" s="148"/>
      <c r="D1901" s="141"/>
      <c r="E1901" s="141"/>
      <c r="F1901" s="12">
        <v>43647</v>
      </c>
      <c r="G1901" s="12">
        <v>43830</v>
      </c>
      <c r="H1901" s="151"/>
      <c r="I1901" s="66">
        <v>27.1</v>
      </c>
      <c r="J1901" s="13">
        <v>1160.81</v>
      </c>
      <c r="K1901" s="15" t="s">
        <v>23</v>
      </c>
      <c r="L1901" s="15" t="s">
        <v>23</v>
      </c>
      <c r="M1901" s="152"/>
    </row>
    <row r="1902" spans="1:20" ht="15" customHeight="1" outlineLevel="1" x14ac:dyDescent="0.25">
      <c r="A1902" s="148"/>
      <c r="B1902" s="148"/>
      <c r="C1902" s="148"/>
      <c r="D1902" s="137">
        <f>$D$1506</f>
        <v>43454</v>
      </c>
      <c r="E1902" s="137" t="str">
        <f>$E$1506</f>
        <v>677-п</v>
      </c>
      <c r="F1902" s="50">
        <v>43466</v>
      </c>
      <c r="G1902" s="50">
        <v>43646</v>
      </c>
      <c r="H1902" s="149"/>
      <c r="I1902" s="15" t="s">
        <v>23</v>
      </c>
      <c r="J1902" s="15" t="s">
        <v>23</v>
      </c>
      <c r="K1902" s="13">
        <v>29.03</v>
      </c>
      <c r="L1902" s="13">
        <v>719.23</v>
      </c>
      <c r="M1902" s="196" t="s">
        <v>420</v>
      </c>
    </row>
    <row r="1903" spans="1:20" ht="15" customHeight="1" outlineLevel="1" x14ac:dyDescent="0.25">
      <c r="A1903" s="148"/>
      <c r="B1903" s="148"/>
      <c r="C1903" s="148"/>
      <c r="D1903" s="138"/>
      <c r="E1903" s="138"/>
      <c r="F1903" s="50">
        <v>43647</v>
      </c>
      <c r="G1903" s="50">
        <v>43830</v>
      </c>
      <c r="H1903" s="150"/>
      <c r="I1903" s="15" t="s">
        <v>23</v>
      </c>
      <c r="J1903" s="15" t="s">
        <v>23</v>
      </c>
      <c r="K1903" s="13">
        <v>29.61</v>
      </c>
      <c r="L1903" s="13">
        <v>733.62</v>
      </c>
      <c r="M1903" s="198"/>
    </row>
    <row r="1904" spans="1:20" ht="15" customHeight="1" outlineLevel="1" x14ac:dyDescent="0.25">
      <c r="A1904" s="148"/>
      <c r="B1904" s="148"/>
      <c r="C1904" s="148"/>
      <c r="D1904" s="138"/>
      <c r="E1904" s="138"/>
      <c r="F1904" s="50">
        <v>43466</v>
      </c>
      <c r="G1904" s="50">
        <v>43646</v>
      </c>
      <c r="H1904" s="150"/>
      <c r="I1904" s="15" t="s">
        <v>23</v>
      </c>
      <c r="J1904" s="15" t="s">
        <v>23</v>
      </c>
      <c r="K1904" s="13">
        <f>$K$1902</f>
        <v>29.03</v>
      </c>
      <c r="L1904" s="13">
        <v>787.73</v>
      </c>
      <c r="M1904" s="196" t="s">
        <v>421</v>
      </c>
    </row>
    <row r="1905" spans="1:13" ht="15" customHeight="1" outlineLevel="1" x14ac:dyDescent="0.25">
      <c r="A1905" s="148"/>
      <c r="B1905" s="148"/>
      <c r="C1905" s="148"/>
      <c r="D1905" s="138"/>
      <c r="E1905" s="138"/>
      <c r="F1905" s="50">
        <v>43647</v>
      </c>
      <c r="G1905" s="50">
        <v>43830</v>
      </c>
      <c r="H1905" s="150"/>
      <c r="I1905" s="15" t="s">
        <v>23</v>
      </c>
      <c r="J1905" s="15" t="s">
        <v>23</v>
      </c>
      <c r="K1905" s="13">
        <f>$K$1903</f>
        <v>29.61</v>
      </c>
      <c r="L1905" s="13">
        <v>803.49</v>
      </c>
      <c r="M1905" s="198"/>
    </row>
    <row r="1906" spans="1:13" ht="15" customHeight="1" outlineLevel="1" x14ac:dyDescent="0.25">
      <c r="A1906" s="148"/>
      <c r="B1906" s="148"/>
      <c r="C1906" s="148"/>
      <c r="D1906" s="138"/>
      <c r="E1906" s="138"/>
      <c r="F1906" s="50">
        <v>43466</v>
      </c>
      <c r="G1906" s="50">
        <v>43646</v>
      </c>
      <c r="H1906" s="150"/>
      <c r="I1906" s="15" t="s">
        <v>23</v>
      </c>
      <c r="J1906" s="15" t="s">
        <v>23</v>
      </c>
      <c r="K1906" s="13">
        <f t="shared" ref="K1906" si="187">$K$1902</f>
        <v>29.03</v>
      </c>
      <c r="L1906" s="13">
        <v>670.64</v>
      </c>
      <c r="M1906" s="196" t="s">
        <v>422</v>
      </c>
    </row>
    <row r="1907" spans="1:13" ht="15" customHeight="1" outlineLevel="1" x14ac:dyDescent="0.25">
      <c r="A1907" s="148"/>
      <c r="B1907" s="148"/>
      <c r="C1907" s="148"/>
      <c r="D1907" s="138"/>
      <c r="E1907" s="138"/>
      <c r="F1907" s="50">
        <v>43647</v>
      </c>
      <c r="G1907" s="50">
        <v>43830</v>
      </c>
      <c r="H1907" s="150"/>
      <c r="I1907" s="15" t="s">
        <v>23</v>
      </c>
      <c r="J1907" s="15" t="s">
        <v>23</v>
      </c>
      <c r="K1907" s="13">
        <f t="shared" ref="K1907" si="188">$K$1903</f>
        <v>29.61</v>
      </c>
      <c r="L1907" s="13">
        <v>684.05</v>
      </c>
      <c r="M1907" s="198"/>
    </row>
    <row r="1908" spans="1:13" ht="15" customHeight="1" outlineLevel="1" x14ac:dyDescent="0.25">
      <c r="A1908" s="148"/>
      <c r="B1908" s="148"/>
      <c r="C1908" s="148"/>
      <c r="D1908" s="138"/>
      <c r="E1908" s="138"/>
      <c r="F1908" s="50">
        <v>43466</v>
      </c>
      <c r="G1908" s="50">
        <v>43646</v>
      </c>
      <c r="H1908" s="150"/>
      <c r="I1908" s="15" t="s">
        <v>23</v>
      </c>
      <c r="J1908" s="15" t="s">
        <v>23</v>
      </c>
      <c r="K1908" s="13">
        <f t="shared" ref="K1908" si="189">$K$1902</f>
        <v>29.03</v>
      </c>
      <c r="L1908" s="13">
        <v>719.23</v>
      </c>
      <c r="M1908" s="196" t="s">
        <v>423</v>
      </c>
    </row>
    <row r="1909" spans="1:13" ht="15" customHeight="1" outlineLevel="1" x14ac:dyDescent="0.25">
      <c r="A1909" s="148"/>
      <c r="B1909" s="148"/>
      <c r="C1909" s="148"/>
      <c r="D1909" s="138"/>
      <c r="E1909" s="138"/>
      <c r="F1909" s="50">
        <v>43647</v>
      </c>
      <c r="G1909" s="50">
        <v>43830</v>
      </c>
      <c r="H1909" s="150"/>
      <c r="I1909" s="15" t="s">
        <v>23</v>
      </c>
      <c r="J1909" s="15" t="s">
        <v>23</v>
      </c>
      <c r="K1909" s="13">
        <f t="shared" ref="K1909" si="190">$K$1903</f>
        <v>29.61</v>
      </c>
      <c r="L1909" s="13">
        <v>733.62</v>
      </c>
      <c r="M1909" s="198"/>
    </row>
    <row r="1910" spans="1:13" ht="15" customHeight="1" outlineLevel="1" x14ac:dyDescent="0.25">
      <c r="A1910" s="148"/>
      <c r="B1910" s="148"/>
      <c r="C1910" s="148"/>
      <c r="D1910" s="138"/>
      <c r="E1910" s="138"/>
      <c r="F1910" s="50">
        <v>43466</v>
      </c>
      <c r="G1910" s="50">
        <v>43646</v>
      </c>
      <c r="H1910" s="150"/>
      <c r="I1910" s="15" t="s">
        <v>23</v>
      </c>
      <c r="J1910" s="15" t="s">
        <v>23</v>
      </c>
      <c r="K1910" s="13">
        <f t="shared" ref="K1910" si="191">$K$1902</f>
        <v>29.03</v>
      </c>
      <c r="L1910" s="13">
        <v>751.93</v>
      </c>
      <c r="M1910" s="196" t="s">
        <v>424</v>
      </c>
    </row>
    <row r="1911" spans="1:13" ht="15" customHeight="1" outlineLevel="1" x14ac:dyDescent="0.25">
      <c r="A1911" s="148"/>
      <c r="B1911" s="148"/>
      <c r="C1911" s="148"/>
      <c r="D1911" s="138"/>
      <c r="E1911" s="138"/>
      <c r="F1911" s="50">
        <v>43647</v>
      </c>
      <c r="G1911" s="50">
        <v>43830</v>
      </c>
      <c r="H1911" s="150"/>
      <c r="I1911" s="15" t="s">
        <v>23</v>
      </c>
      <c r="J1911" s="15" t="s">
        <v>23</v>
      </c>
      <c r="K1911" s="13">
        <f t="shared" ref="K1911" si="192">$K$1903</f>
        <v>29.61</v>
      </c>
      <c r="L1911" s="13">
        <v>766.96</v>
      </c>
      <c r="M1911" s="198"/>
    </row>
    <row r="1912" spans="1:13" ht="15" customHeight="1" outlineLevel="1" x14ac:dyDescent="0.25">
      <c r="A1912" s="148"/>
      <c r="B1912" s="148"/>
      <c r="C1912" s="148"/>
      <c r="D1912" s="138"/>
      <c r="E1912" s="138"/>
      <c r="F1912" s="50">
        <v>43466</v>
      </c>
      <c r="G1912" s="50">
        <v>43646</v>
      </c>
      <c r="H1912" s="150"/>
      <c r="I1912" s="15" t="s">
        <v>23</v>
      </c>
      <c r="J1912" s="15" t="s">
        <v>23</v>
      </c>
      <c r="K1912" s="13">
        <f t="shared" ref="K1912" si="193">$K$1902</f>
        <v>29.03</v>
      </c>
      <c r="L1912" s="13">
        <v>813.56</v>
      </c>
      <c r="M1912" s="196" t="s">
        <v>425</v>
      </c>
    </row>
    <row r="1913" spans="1:13" ht="15" customHeight="1" outlineLevel="1" x14ac:dyDescent="0.25">
      <c r="A1913" s="148"/>
      <c r="B1913" s="148"/>
      <c r="C1913" s="148"/>
      <c r="D1913" s="138"/>
      <c r="E1913" s="138"/>
      <c r="F1913" s="50">
        <v>43647</v>
      </c>
      <c r="G1913" s="50">
        <v>43830</v>
      </c>
      <c r="H1913" s="150"/>
      <c r="I1913" s="15" t="s">
        <v>23</v>
      </c>
      <c r="J1913" s="15" t="s">
        <v>23</v>
      </c>
      <c r="K1913" s="13">
        <f t="shared" ref="K1913" si="194">$K$1903</f>
        <v>29.61</v>
      </c>
      <c r="L1913" s="13">
        <v>829.83</v>
      </c>
      <c r="M1913" s="198"/>
    </row>
    <row r="1914" spans="1:13" ht="15" customHeight="1" outlineLevel="1" x14ac:dyDescent="0.25">
      <c r="A1914" s="148"/>
      <c r="B1914" s="148"/>
      <c r="C1914" s="148"/>
      <c r="D1914" s="138"/>
      <c r="E1914" s="138"/>
      <c r="F1914" s="50">
        <v>43466</v>
      </c>
      <c r="G1914" s="50">
        <v>43646</v>
      </c>
      <c r="H1914" s="150"/>
      <c r="I1914" s="15" t="s">
        <v>23</v>
      </c>
      <c r="J1914" s="15" t="s">
        <v>23</v>
      </c>
      <c r="K1914" s="13">
        <f t="shared" ref="K1914" si="195">$K$1902</f>
        <v>29.03</v>
      </c>
      <c r="L1914" s="13">
        <v>689.27</v>
      </c>
      <c r="M1914" s="196" t="s">
        <v>426</v>
      </c>
    </row>
    <row r="1915" spans="1:13" ht="15" customHeight="1" outlineLevel="1" x14ac:dyDescent="0.25">
      <c r="A1915" s="148"/>
      <c r="B1915" s="148"/>
      <c r="C1915" s="148"/>
      <c r="D1915" s="138"/>
      <c r="E1915" s="138"/>
      <c r="F1915" s="50">
        <v>43647</v>
      </c>
      <c r="G1915" s="50">
        <v>43830</v>
      </c>
      <c r="H1915" s="150"/>
      <c r="I1915" s="15" t="s">
        <v>23</v>
      </c>
      <c r="J1915" s="15" t="s">
        <v>23</v>
      </c>
      <c r="K1915" s="13">
        <f t="shared" ref="K1915" si="196">$K$1903</f>
        <v>29.61</v>
      </c>
      <c r="L1915" s="13">
        <v>703.05</v>
      </c>
      <c r="M1915" s="198"/>
    </row>
    <row r="1916" spans="1:13" ht="15" customHeight="1" outlineLevel="1" x14ac:dyDescent="0.25">
      <c r="A1916" s="148"/>
      <c r="B1916" s="148"/>
      <c r="C1916" s="148"/>
      <c r="D1916" s="138"/>
      <c r="E1916" s="138"/>
      <c r="F1916" s="50">
        <v>43466</v>
      </c>
      <c r="G1916" s="50">
        <v>43646</v>
      </c>
      <c r="H1916" s="150"/>
      <c r="I1916" s="15" t="s">
        <v>23</v>
      </c>
      <c r="J1916" s="15" t="s">
        <v>23</v>
      </c>
      <c r="K1916" s="13">
        <f t="shared" ref="K1916" si="197">$K$1902</f>
        <v>29.03</v>
      </c>
      <c r="L1916" s="13">
        <v>751.93</v>
      </c>
      <c r="M1916" s="196" t="s">
        <v>427</v>
      </c>
    </row>
    <row r="1917" spans="1:13" ht="15" customHeight="1" outlineLevel="1" x14ac:dyDescent="0.25">
      <c r="A1917" s="147"/>
      <c r="B1917" s="147"/>
      <c r="C1917" s="147"/>
      <c r="D1917" s="141"/>
      <c r="E1917" s="141"/>
      <c r="F1917" s="50">
        <v>43647</v>
      </c>
      <c r="G1917" s="50">
        <v>43830</v>
      </c>
      <c r="H1917" s="151"/>
      <c r="I1917" s="15" t="s">
        <v>23</v>
      </c>
      <c r="J1917" s="15" t="s">
        <v>23</v>
      </c>
      <c r="K1917" s="13">
        <f t="shared" ref="K1917" si="198">$K$1903</f>
        <v>29.61</v>
      </c>
      <c r="L1917" s="13">
        <v>766.96</v>
      </c>
      <c r="M1917" s="198"/>
    </row>
    <row r="1918" spans="1:13" ht="15" customHeight="1" outlineLevel="1" x14ac:dyDescent="0.25">
      <c r="A1918" s="146" t="s">
        <v>62</v>
      </c>
      <c r="B1918" s="146" t="s">
        <v>575</v>
      </c>
      <c r="C1918" s="146" t="s">
        <v>397</v>
      </c>
      <c r="D1918" s="137">
        <v>43087</v>
      </c>
      <c r="E1918" s="137" t="s">
        <v>443</v>
      </c>
      <c r="F1918" s="12">
        <v>43466</v>
      </c>
      <c r="G1918" s="12">
        <v>43646</v>
      </c>
      <c r="H1918" s="149" t="s">
        <v>491</v>
      </c>
      <c r="I1918" s="66">
        <v>32.9</v>
      </c>
      <c r="J1918" s="13">
        <v>1760.99</v>
      </c>
      <c r="K1918" s="15" t="s">
        <v>23</v>
      </c>
      <c r="L1918" s="15" t="s">
        <v>23</v>
      </c>
      <c r="M1918" s="153"/>
    </row>
    <row r="1919" spans="1:13" ht="15" customHeight="1" outlineLevel="1" x14ac:dyDescent="0.25">
      <c r="A1919" s="148"/>
      <c r="B1919" s="148"/>
      <c r="C1919" s="148"/>
      <c r="D1919" s="141"/>
      <c r="E1919" s="141"/>
      <c r="F1919" s="12">
        <v>43647</v>
      </c>
      <c r="G1919" s="12">
        <v>43830</v>
      </c>
      <c r="H1919" s="151"/>
      <c r="I1919" s="66">
        <v>35.549999999999997</v>
      </c>
      <c r="J1919" s="13">
        <v>1838.3</v>
      </c>
      <c r="K1919" s="15" t="s">
        <v>23</v>
      </c>
      <c r="L1919" s="15" t="s">
        <v>23</v>
      </c>
      <c r="M1919" s="152"/>
    </row>
    <row r="1920" spans="1:13" ht="15" customHeight="1" outlineLevel="1" x14ac:dyDescent="0.25">
      <c r="A1920" s="148"/>
      <c r="B1920" s="148"/>
      <c r="C1920" s="148"/>
      <c r="D1920" s="137">
        <f>$D$1506</f>
        <v>43454</v>
      </c>
      <c r="E1920" s="137" t="str">
        <f>$E$1506</f>
        <v>677-п</v>
      </c>
      <c r="F1920" s="50">
        <v>43466</v>
      </c>
      <c r="G1920" s="50">
        <v>43646</v>
      </c>
      <c r="H1920" s="149"/>
      <c r="I1920" s="15" t="s">
        <v>23</v>
      </c>
      <c r="J1920" s="15" t="s">
        <v>23</v>
      </c>
      <c r="K1920" s="13">
        <v>32.9</v>
      </c>
      <c r="L1920" s="13">
        <v>1551.01</v>
      </c>
      <c r="M1920" s="196" t="s">
        <v>420</v>
      </c>
    </row>
    <row r="1921" spans="1:13" ht="15" customHeight="1" outlineLevel="1" x14ac:dyDescent="0.25">
      <c r="A1921" s="148"/>
      <c r="B1921" s="148"/>
      <c r="C1921" s="148"/>
      <c r="D1921" s="138"/>
      <c r="E1921" s="138"/>
      <c r="F1921" s="50">
        <v>43647</v>
      </c>
      <c r="G1921" s="50">
        <v>43830</v>
      </c>
      <c r="H1921" s="150"/>
      <c r="I1921" s="15" t="s">
        <v>23</v>
      </c>
      <c r="J1921" s="15" t="s">
        <v>23</v>
      </c>
      <c r="K1921" s="13">
        <v>33.56</v>
      </c>
      <c r="L1921" s="13">
        <v>1582.03</v>
      </c>
      <c r="M1921" s="198"/>
    </row>
    <row r="1922" spans="1:13" ht="15" customHeight="1" outlineLevel="1" x14ac:dyDescent="0.25">
      <c r="A1922" s="148"/>
      <c r="B1922" s="148"/>
      <c r="C1922" s="148"/>
      <c r="D1922" s="138"/>
      <c r="E1922" s="138"/>
      <c r="F1922" s="50">
        <v>43466</v>
      </c>
      <c r="G1922" s="50">
        <v>43646</v>
      </c>
      <c r="H1922" s="150"/>
      <c r="I1922" s="15" t="s">
        <v>23</v>
      </c>
      <c r="J1922" s="15" t="s">
        <v>23</v>
      </c>
      <c r="K1922" s="13">
        <f>$K$1920</f>
        <v>32.9</v>
      </c>
      <c r="L1922" s="13">
        <v>1698.73</v>
      </c>
      <c r="M1922" s="196" t="s">
        <v>421</v>
      </c>
    </row>
    <row r="1923" spans="1:13" ht="15" customHeight="1" outlineLevel="1" x14ac:dyDescent="0.25">
      <c r="A1923" s="148"/>
      <c r="B1923" s="148"/>
      <c r="C1923" s="148"/>
      <c r="D1923" s="138"/>
      <c r="E1923" s="138"/>
      <c r="F1923" s="50">
        <v>43647</v>
      </c>
      <c r="G1923" s="50">
        <v>43830</v>
      </c>
      <c r="H1923" s="150"/>
      <c r="I1923" s="15" t="s">
        <v>23</v>
      </c>
      <c r="J1923" s="15" t="s">
        <v>23</v>
      </c>
      <c r="K1923" s="13">
        <f>$K$1921</f>
        <v>33.56</v>
      </c>
      <c r="L1923" s="13">
        <v>1732.7</v>
      </c>
      <c r="M1923" s="198"/>
    </row>
    <row r="1924" spans="1:13" ht="15" customHeight="1" outlineLevel="1" x14ac:dyDescent="0.25">
      <c r="A1924" s="148"/>
      <c r="B1924" s="148"/>
      <c r="C1924" s="148"/>
      <c r="D1924" s="138"/>
      <c r="E1924" s="138"/>
      <c r="F1924" s="50">
        <v>43466</v>
      </c>
      <c r="G1924" s="50">
        <v>43646</v>
      </c>
      <c r="H1924" s="150"/>
      <c r="I1924" s="15" t="s">
        <v>23</v>
      </c>
      <c r="J1924" s="15" t="s">
        <v>23</v>
      </c>
      <c r="K1924" s="13">
        <f t="shared" ref="K1924" si="199">$K$1920</f>
        <v>32.9</v>
      </c>
      <c r="L1924" s="13">
        <v>1446.21</v>
      </c>
      <c r="M1924" s="196" t="s">
        <v>422</v>
      </c>
    </row>
    <row r="1925" spans="1:13" ht="15" customHeight="1" outlineLevel="1" x14ac:dyDescent="0.25">
      <c r="A1925" s="148"/>
      <c r="B1925" s="148"/>
      <c r="C1925" s="148"/>
      <c r="D1925" s="138"/>
      <c r="E1925" s="138"/>
      <c r="F1925" s="50">
        <v>43647</v>
      </c>
      <c r="G1925" s="50">
        <v>43830</v>
      </c>
      <c r="H1925" s="150"/>
      <c r="I1925" s="15" t="s">
        <v>23</v>
      </c>
      <c r="J1925" s="15" t="s">
        <v>23</v>
      </c>
      <c r="K1925" s="13">
        <f t="shared" ref="K1925" si="200">$K$1921</f>
        <v>33.56</v>
      </c>
      <c r="L1925" s="13">
        <v>1475.14</v>
      </c>
      <c r="M1925" s="198"/>
    </row>
    <row r="1926" spans="1:13" ht="15" customHeight="1" outlineLevel="1" x14ac:dyDescent="0.25">
      <c r="A1926" s="148"/>
      <c r="B1926" s="148"/>
      <c r="C1926" s="148"/>
      <c r="D1926" s="138"/>
      <c r="E1926" s="138"/>
      <c r="F1926" s="50">
        <v>43466</v>
      </c>
      <c r="G1926" s="50">
        <v>43646</v>
      </c>
      <c r="H1926" s="150"/>
      <c r="I1926" s="15" t="s">
        <v>23</v>
      </c>
      <c r="J1926" s="15" t="s">
        <v>23</v>
      </c>
      <c r="K1926" s="13">
        <f t="shared" ref="K1926" si="201">$K$1920</f>
        <v>32.9</v>
      </c>
      <c r="L1926" s="13">
        <v>1551.01</v>
      </c>
      <c r="M1926" s="196" t="s">
        <v>423</v>
      </c>
    </row>
    <row r="1927" spans="1:13" ht="15" customHeight="1" outlineLevel="1" x14ac:dyDescent="0.25">
      <c r="A1927" s="148"/>
      <c r="B1927" s="148"/>
      <c r="C1927" s="148"/>
      <c r="D1927" s="138"/>
      <c r="E1927" s="138"/>
      <c r="F1927" s="50">
        <v>43647</v>
      </c>
      <c r="G1927" s="50">
        <v>43830</v>
      </c>
      <c r="H1927" s="150"/>
      <c r="I1927" s="15" t="s">
        <v>23</v>
      </c>
      <c r="J1927" s="15" t="s">
        <v>23</v>
      </c>
      <c r="K1927" s="13">
        <f t="shared" ref="K1927" si="202">$K$1921</f>
        <v>33.56</v>
      </c>
      <c r="L1927" s="13">
        <v>1582.03</v>
      </c>
      <c r="M1927" s="198"/>
    </row>
    <row r="1928" spans="1:13" ht="15" customHeight="1" outlineLevel="1" x14ac:dyDescent="0.25">
      <c r="A1928" s="148"/>
      <c r="B1928" s="148"/>
      <c r="C1928" s="148"/>
      <c r="D1928" s="138"/>
      <c r="E1928" s="138"/>
      <c r="F1928" s="50">
        <v>43466</v>
      </c>
      <c r="G1928" s="50">
        <v>43646</v>
      </c>
      <c r="H1928" s="150"/>
      <c r="I1928" s="15" t="s">
        <v>23</v>
      </c>
      <c r="J1928" s="15" t="s">
        <v>23</v>
      </c>
      <c r="K1928" s="13">
        <f t="shared" ref="K1928" si="203">$K$1920</f>
        <v>32.9</v>
      </c>
      <c r="L1928" s="13">
        <v>1621.51</v>
      </c>
      <c r="M1928" s="196" t="s">
        <v>424</v>
      </c>
    </row>
    <row r="1929" spans="1:13" ht="15" customHeight="1" outlineLevel="1" x14ac:dyDescent="0.25">
      <c r="A1929" s="148"/>
      <c r="B1929" s="148"/>
      <c r="C1929" s="148"/>
      <c r="D1929" s="138"/>
      <c r="E1929" s="138"/>
      <c r="F1929" s="50">
        <v>43647</v>
      </c>
      <c r="G1929" s="50">
        <v>43830</v>
      </c>
      <c r="H1929" s="150"/>
      <c r="I1929" s="15" t="s">
        <v>23</v>
      </c>
      <c r="J1929" s="15" t="s">
        <v>23</v>
      </c>
      <c r="K1929" s="13">
        <f t="shared" ref="K1929" si="204">$K$1921</f>
        <v>33.56</v>
      </c>
      <c r="L1929" s="13">
        <v>1653.94</v>
      </c>
      <c r="M1929" s="198"/>
    </row>
    <row r="1930" spans="1:13" ht="15" customHeight="1" outlineLevel="1" x14ac:dyDescent="0.25">
      <c r="A1930" s="148"/>
      <c r="B1930" s="148"/>
      <c r="C1930" s="148"/>
      <c r="D1930" s="138"/>
      <c r="E1930" s="138"/>
      <c r="F1930" s="50">
        <v>43466</v>
      </c>
      <c r="G1930" s="50">
        <v>43646</v>
      </c>
      <c r="H1930" s="150"/>
      <c r="I1930" s="15" t="s">
        <v>23</v>
      </c>
      <c r="J1930" s="15" t="s">
        <v>23</v>
      </c>
      <c r="K1930" s="13">
        <f t="shared" ref="K1930" si="205">$K$1920</f>
        <v>32.9</v>
      </c>
      <c r="L1930" s="13">
        <v>1754.42</v>
      </c>
      <c r="M1930" s="196" t="s">
        <v>425</v>
      </c>
    </row>
    <row r="1931" spans="1:13" ht="15" customHeight="1" outlineLevel="1" x14ac:dyDescent="0.25">
      <c r="A1931" s="148"/>
      <c r="B1931" s="148"/>
      <c r="C1931" s="148"/>
      <c r="D1931" s="138"/>
      <c r="E1931" s="138"/>
      <c r="F1931" s="50">
        <v>43647</v>
      </c>
      <c r="G1931" s="50">
        <v>43830</v>
      </c>
      <c r="H1931" s="150"/>
      <c r="I1931" s="15" t="s">
        <v>23</v>
      </c>
      <c r="J1931" s="15" t="s">
        <v>23</v>
      </c>
      <c r="K1931" s="13">
        <f t="shared" ref="K1931" si="206">$K$1921</f>
        <v>33.56</v>
      </c>
      <c r="L1931" s="13">
        <v>1789.51</v>
      </c>
      <c r="M1931" s="198"/>
    </row>
    <row r="1932" spans="1:13" ht="15" customHeight="1" outlineLevel="1" x14ac:dyDescent="0.25">
      <c r="A1932" s="148"/>
      <c r="B1932" s="148"/>
      <c r="C1932" s="148"/>
      <c r="D1932" s="138"/>
      <c r="E1932" s="138"/>
      <c r="F1932" s="50">
        <v>43466</v>
      </c>
      <c r="G1932" s="50">
        <v>43646</v>
      </c>
      <c r="H1932" s="150"/>
      <c r="I1932" s="15" t="s">
        <v>23</v>
      </c>
      <c r="J1932" s="15" t="s">
        <v>23</v>
      </c>
      <c r="K1932" s="13">
        <f t="shared" ref="K1932" si="207">$K$1920</f>
        <v>32.9</v>
      </c>
      <c r="L1932" s="13">
        <v>1486.38</v>
      </c>
      <c r="M1932" s="196" t="s">
        <v>426</v>
      </c>
    </row>
    <row r="1933" spans="1:13" ht="15" customHeight="1" outlineLevel="1" x14ac:dyDescent="0.25">
      <c r="A1933" s="148"/>
      <c r="B1933" s="148"/>
      <c r="C1933" s="148"/>
      <c r="D1933" s="138"/>
      <c r="E1933" s="138"/>
      <c r="F1933" s="50">
        <v>43647</v>
      </c>
      <c r="G1933" s="50">
        <v>43830</v>
      </c>
      <c r="H1933" s="150"/>
      <c r="I1933" s="15" t="s">
        <v>23</v>
      </c>
      <c r="J1933" s="15" t="s">
        <v>23</v>
      </c>
      <c r="K1933" s="13">
        <f t="shared" ref="K1933" si="208">$K$1921</f>
        <v>33.56</v>
      </c>
      <c r="L1933" s="13">
        <v>1516.11</v>
      </c>
      <c r="M1933" s="198"/>
    </row>
    <row r="1934" spans="1:13" ht="15" customHeight="1" outlineLevel="1" x14ac:dyDescent="0.25">
      <c r="A1934" s="148"/>
      <c r="B1934" s="148"/>
      <c r="C1934" s="148"/>
      <c r="D1934" s="138"/>
      <c r="E1934" s="138"/>
      <c r="F1934" s="50">
        <v>43466</v>
      </c>
      <c r="G1934" s="50">
        <v>43646</v>
      </c>
      <c r="H1934" s="150"/>
      <c r="I1934" s="15" t="s">
        <v>23</v>
      </c>
      <c r="J1934" s="15" t="s">
        <v>23</v>
      </c>
      <c r="K1934" s="13">
        <f t="shared" ref="K1934" si="209">$K$1920</f>
        <v>32.9</v>
      </c>
      <c r="L1934" s="13">
        <v>1621.51</v>
      </c>
      <c r="M1934" s="196" t="s">
        <v>427</v>
      </c>
    </row>
    <row r="1935" spans="1:13" ht="15" customHeight="1" outlineLevel="1" x14ac:dyDescent="0.25">
      <c r="A1935" s="147"/>
      <c r="B1935" s="147"/>
      <c r="C1935" s="147"/>
      <c r="D1935" s="141"/>
      <c r="E1935" s="141"/>
      <c r="F1935" s="50">
        <v>43647</v>
      </c>
      <c r="G1935" s="50">
        <v>43830</v>
      </c>
      <c r="H1935" s="151"/>
      <c r="I1935" s="15" t="s">
        <v>23</v>
      </c>
      <c r="J1935" s="15" t="s">
        <v>23</v>
      </c>
      <c r="K1935" s="13">
        <f t="shared" ref="K1935" si="210">$K$1921</f>
        <v>33.56</v>
      </c>
      <c r="L1935" s="13">
        <v>1653.94</v>
      </c>
      <c r="M1935" s="198"/>
    </row>
    <row r="1936" spans="1:13" ht="15" customHeight="1" outlineLevel="1" x14ac:dyDescent="0.25">
      <c r="A1936" s="146" t="s">
        <v>62</v>
      </c>
      <c r="B1936" s="146" t="s">
        <v>267</v>
      </c>
      <c r="C1936" s="146" t="s">
        <v>270</v>
      </c>
      <c r="D1936" s="156">
        <v>43451</v>
      </c>
      <c r="E1936" s="156" t="s">
        <v>493</v>
      </c>
      <c r="F1936" s="51">
        <v>43466</v>
      </c>
      <c r="G1936" s="51">
        <v>43646</v>
      </c>
      <c r="H1936" s="168"/>
      <c r="I1936" s="66">
        <v>15.86</v>
      </c>
      <c r="J1936" s="13">
        <v>1419.47</v>
      </c>
      <c r="K1936" s="15" t="s">
        <v>23</v>
      </c>
      <c r="L1936" s="15" t="s">
        <v>23</v>
      </c>
      <c r="M1936" s="183"/>
    </row>
    <row r="1937" spans="1:13" ht="15" customHeight="1" outlineLevel="1" x14ac:dyDescent="0.25">
      <c r="A1937" s="147"/>
      <c r="B1937" s="147"/>
      <c r="C1937" s="147"/>
      <c r="D1937" s="156"/>
      <c r="E1937" s="156"/>
      <c r="F1937" s="51">
        <v>43647</v>
      </c>
      <c r="G1937" s="51">
        <v>43830</v>
      </c>
      <c r="H1937" s="168"/>
      <c r="I1937" s="66">
        <v>16.59</v>
      </c>
      <c r="J1937" s="13">
        <v>1428.71</v>
      </c>
      <c r="K1937" s="15" t="s">
        <v>23</v>
      </c>
      <c r="L1937" s="15" t="s">
        <v>23</v>
      </c>
      <c r="M1937" s="183"/>
    </row>
    <row r="1938" spans="1:13" ht="15" customHeight="1" outlineLevel="1" x14ac:dyDescent="0.25">
      <c r="A1938" s="59">
        <v>7</v>
      </c>
      <c r="B1938" s="7" t="s">
        <v>150</v>
      </c>
      <c r="C1938" s="60"/>
      <c r="D1938" s="61"/>
      <c r="E1938" s="61"/>
      <c r="F1938" s="61"/>
      <c r="G1938" s="61"/>
      <c r="H1938" s="61"/>
      <c r="I1938" s="61"/>
      <c r="J1938" s="61"/>
      <c r="K1938" s="62"/>
      <c r="L1938" s="62"/>
      <c r="M1938" s="63"/>
    </row>
    <row r="1939" spans="1:13" ht="15" customHeight="1" outlineLevel="1" x14ac:dyDescent="0.25">
      <c r="A1939" s="146" t="s">
        <v>177</v>
      </c>
      <c r="B1939" s="146" t="s">
        <v>178</v>
      </c>
      <c r="C1939" s="146" t="s">
        <v>179</v>
      </c>
      <c r="D1939" s="137">
        <v>43453</v>
      </c>
      <c r="E1939" s="137" t="s">
        <v>622</v>
      </c>
      <c r="F1939" s="12">
        <v>43466</v>
      </c>
      <c r="G1939" s="12">
        <v>43646</v>
      </c>
      <c r="H1939" s="149"/>
      <c r="I1939" s="66">
        <v>40.08</v>
      </c>
      <c r="J1939" s="13">
        <v>874.34</v>
      </c>
      <c r="K1939" s="15" t="s">
        <v>23</v>
      </c>
      <c r="L1939" s="15" t="s">
        <v>23</v>
      </c>
      <c r="M1939" s="153"/>
    </row>
    <row r="1940" spans="1:13" ht="15" customHeight="1" outlineLevel="1" x14ac:dyDescent="0.25">
      <c r="A1940" s="148"/>
      <c r="B1940" s="148"/>
      <c r="C1940" s="148"/>
      <c r="D1940" s="141"/>
      <c r="E1940" s="141"/>
      <c r="F1940" s="12">
        <v>43647</v>
      </c>
      <c r="G1940" s="12">
        <v>43830</v>
      </c>
      <c r="H1940" s="151"/>
      <c r="I1940" s="66">
        <v>41.26</v>
      </c>
      <c r="J1940" s="13">
        <v>1055.53</v>
      </c>
      <c r="K1940" s="15" t="s">
        <v>23</v>
      </c>
      <c r="L1940" s="15" t="s">
        <v>23</v>
      </c>
      <c r="M1940" s="152"/>
    </row>
    <row r="1941" spans="1:13" ht="15" customHeight="1" outlineLevel="1" x14ac:dyDescent="0.25">
      <c r="A1941" s="148"/>
      <c r="B1941" s="148"/>
      <c r="C1941" s="148"/>
      <c r="D1941" s="137">
        <v>43454</v>
      </c>
      <c r="E1941" s="137" t="s">
        <v>741</v>
      </c>
      <c r="F1941" s="50">
        <v>43466</v>
      </c>
      <c r="G1941" s="50">
        <v>43646</v>
      </c>
      <c r="H1941" s="149"/>
      <c r="I1941" s="15" t="s">
        <v>23</v>
      </c>
      <c r="J1941" s="15" t="s">
        <v>23</v>
      </c>
      <c r="K1941" s="13">
        <v>19.329999999999998</v>
      </c>
      <c r="L1941" s="13">
        <v>868.78</v>
      </c>
      <c r="M1941" s="196" t="s">
        <v>420</v>
      </c>
    </row>
    <row r="1942" spans="1:13" ht="15" customHeight="1" outlineLevel="1" x14ac:dyDescent="0.25">
      <c r="A1942" s="148"/>
      <c r="B1942" s="148"/>
      <c r="C1942" s="148"/>
      <c r="D1942" s="138"/>
      <c r="E1942" s="138"/>
      <c r="F1942" s="50">
        <v>43647</v>
      </c>
      <c r="G1942" s="50">
        <v>43830</v>
      </c>
      <c r="H1942" s="150"/>
      <c r="I1942" s="15" t="s">
        <v>23</v>
      </c>
      <c r="J1942" s="15" t="s">
        <v>23</v>
      </c>
      <c r="K1942" s="13">
        <v>19.72</v>
      </c>
      <c r="L1942" s="13">
        <v>886.231884057971</v>
      </c>
      <c r="M1942" s="198"/>
    </row>
    <row r="1943" spans="1:13" ht="15" customHeight="1" outlineLevel="1" x14ac:dyDescent="0.25">
      <c r="A1943" s="148"/>
      <c r="B1943" s="148"/>
      <c r="C1943" s="148"/>
      <c r="D1943" s="138"/>
      <c r="E1943" s="138"/>
      <c r="F1943" s="50">
        <v>43466</v>
      </c>
      <c r="G1943" s="50">
        <v>43646</v>
      </c>
      <c r="H1943" s="150"/>
      <c r="I1943" s="15" t="s">
        <v>23</v>
      </c>
      <c r="J1943" s="15" t="s">
        <v>23</v>
      </c>
      <c r="K1943" s="13">
        <v>19.329999999999998</v>
      </c>
      <c r="L1943" s="13">
        <v>951.52</v>
      </c>
      <c r="M1943" s="196" t="s">
        <v>421</v>
      </c>
    </row>
    <row r="1944" spans="1:13" ht="15" customHeight="1" outlineLevel="1" x14ac:dyDescent="0.25">
      <c r="A1944" s="148"/>
      <c r="B1944" s="148"/>
      <c r="C1944" s="148"/>
      <c r="D1944" s="138"/>
      <c r="E1944" s="138"/>
      <c r="F1944" s="50">
        <v>43647</v>
      </c>
      <c r="G1944" s="50">
        <v>43830</v>
      </c>
      <c r="H1944" s="150"/>
      <c r="I1944" s="15" t="s">
        <v>23</v>
      </c>
      <c r="J1944" s="15" t="s">
        <v>23</v>
      </c>
      <c r="K1944" s="13">
        <v>19.72</v>
      </c>
      <c r="L1944" s="13">
        <v>970.63492063492072</v>
      </c>
      <c r="M1944" s="198"/>
    </row>
    <row r="1945" spans="1:13" ht="15" customHeight="1" outlineLevel="1" x14ac:dyDescent="0.25">
      <c r="A1945" s="148"/>
      <c r="B1945" s="148"/>
      <c r="C1945" s="148"/>
      <c r="D1945" s="138"/>
      <c r="E1945" s="138"/>
      <c r="F1945" s="50">
        <v>43466</v>
      </c>
      <c r="G1945" s="50">
        <v>43646</v>
      </c>
      <c r="H1945" s="150"/>
      <c r="I1945" s="15" t="s">
        <v>23</v>
      </c>
      <c r="J1945" s="15" t="s">
        <v>23</v>
      </c>
      <c r="K1945" s="13">
        <v>19.329999999999998</v>
      </c>
      <c r="L1945" s="13">
        <v>810.07</v>
      </c>
      <c r="M1945" s="196" t="s">
        <v>422</v>
      </c>
    </row>
    <row r="1946" spans="1:13" ht="15" customHeight="1" outlineLevel="1" x14ac:dyDescent="0.25">
      <c r="A1946" s="148"/>
      <c r="B1946" s="148"/>
      <c r="C1946" s="148"/>
      <c r="D1946" s="138"/>
      <c r="E1946" s="138"/>
      <c r="F1946" s="50">
        <v>43647</v>
      </c>
      <c r="G1946" s="50">
        <v>43830</v>
      </c>
      <c r="H1946" s="150"/>
      <c r="I1946" s="15" t="s">
        <v>23</v>
      </c>
      <c r="J1946" s="15" t="s">
        <v>23</v>
      </c>
      <c r="K1946" s="13">
        <v>19.72</v>
      </c>
      <c r="L1946" s="13">
        <v>826.35135135135147</v>
      </c>
      <c r="M1946" s="198"/>
    </row>
    <row r="1947" spans="1:13" ht="15" customHeight="1" outlineLevel="1" x14ac:dyDescent="0.25">
      <c r="A1947" s="148"/>
      <c r="B1947" s="148"/>
      <c r="C1947" s="148"/>
      <c r="D1947" s="138"/>
      <c r="E1947" s="138"/>
      <c r="F1947" s="50">
        <v>43466</v>
      </c>
      <c r="G1947" s="50">
        <v>43646</v>
      </c>
      <c r="H1947" s="150"/>
      <c r="I1947" s="15" t="s">
        <v>23</v>
      </c>
      <c r="J1947" s="15" t="s">
        <v>23</v>
      </c>
      <c r="K1947" s="13">
        <v>19.329999999999998</v>
      </c>
      <c r="L1947" s="13">
        <v>868.78</v>
      </c>
      <c r="M1947" s="196" t="s">
        <v>423</v>
      </c>
    </row>
    <row r="1948" spans="1:13" ht="15" customHeight="1" outlineLevel="1" x14ac:dyDescent="0.25">
      <c r="A1948" s="148"/>
      <c r="B1948" s="148"/>
      <c r="C1948" s="148"/>
      <c r="D1948" s="138"/>
      <c r="E1948" s="138"/>
      <c r="F1948" s="50">
        <v>43647</v>
      </c>
      <c r="G1948" s="50">
        <v>43830</v>
      </c>
      <c r="H1948" s="150"/>
      <c r="I1948" s="15" t="s">
        <v>23</v>
      </c>
      <c r="J1948" s="15" t="s">
        <v>23</v>
      </c>
      <c r="K1948" s="13">
        <v>19.72</v>
      </c>
      <c r="L1948" s="13">
        <v>886.231884057971</v>
      </c>
      <c r="M1948" s="198"/>
    </row>
    <row r="1949" spans="1:13" ht="15" customHeight="1" outlineLevel="1" x14ac:dyDescent="0.25">
      <c r="A1949" s="148"/>
      <c r="B1949" s="148"/>
      <c r="C1949" s="148"/>
      <c r="D1949" s="138"/>
      <c r="E1949" s="138"/>
      <c r="F1949" s="50">
        <v>43466</v>
      </c>
      <c r="G1949" s="50">
        <v>43646</v>
      </c>
      <c r="H1949" s="150"/>
      <c r="I1949" s="15" t="s">
        <v>23</v>
      </c>
      <c r="J1949" s="15" t="s">
        <v>23</v>
      </c>
      <c r="K1949" s="13">
        <v>19.329999999999998</v>
      </c>
      <c r="L1949" s="13">
        <v>908.27</v>
      </c>
      <c r="M1949" s="196" t="s">
        <v>424</v>
      </c>
    </row>
    <row r="1950" spans="1:13" ht="15" customHeight="1" outlineLevel="1" x14ac:dyDescent="0.25">
      <c r="A1950" s="148"/>
      <c r="B1950" s="148"/>
      <c r="C1950" s="148"/>
      <c r="D1950" s="138"/>
      <c r="E1950" s="138"/>
      <c r="F1950" s="50">
        <v>43647</v>
      </c>
      <c r="G1950" s="50">
        <v>43830</v>
      </c>
      <c r="H1950" s="150"/>
      <c r="I1950" s="15" t="s">
        <v>23</v>
      </c>
      <c r="J1950" s="15" t="s">
        <v>23</v>
      </c>
      <c r="K1950" s="13">
        <v>19.72</v>
      </c>
      <c r="L1950" s="13">
        <v>926.5151515151515</v>
      </c>
      <c r="M1950" s="198"/>
    </row>
    <row r="1951" spans="1:13" ht="15" customHeight="1" outlineLevel="1" x14ac:dyDescent="0.25">
      <c r="A1951" s="148"/>
      <c r="B1951" s="148"/>
      <c r="C1951" s="148"/>
      <c r="D1951" s="138"/>
      <c r="E1951" s="138"/>
      <c r="F1951" s="50">
        <v>43466</v>
      </c>
      <c r="G1951" s="50">
        <v>43646</v>
      </c>
      <c r="H1951" s="150"/>
      <c r="I1951" s="15" t="s">
        <v>23</v>
      </c>
      <c r="J1951" s="15" t="s">
        <v>23</v>
      </c>
      <c r="K1951" s="13">
        <v>19.329999999999998</v>
      </c>
      <c r="L1951" s="13">
        <v>982.71</v>
      </c>
      <c r="M1951" s="196" t="s">
        <v>425</v>
      </c>
    </row>
    <row r="1952" spans="1:13" ht="15" customHeight="1" outlineLevel="1" x14ac:dyDescent="0.25">
      <c r="A1952" s="148"/>
      <c r="B1952" s="148"/>
      <c r="C1952" s="148"/>
      <c r="D1952" s="138"/>
      <c r="E1952" s="138"/>
      <c r="F1952" s="50">
        <v>43647</v>
      </c>
      <c r="G1952" s="50">
        <v>43830</v>
      </c>
      <c r="H1952" s="150"/>
      <c r="I1952" s="15" t="s">
        <v>23</v>
      </c>
      <c r="J1952" s="15" t="s">
        <v>23</v>
      </c>
      <c r="K1952" s="13">
        <v>19.72</v>
      </c>
      <c r="L1952" s="13">
        <v>1002.4590163934428</v>
      </c>
      <c r="M1952" s="198"/>
    </row>
    <row r="1953" spans="1:13" ht="15" customHeight="1" outlineLevel="1" x14ac:dyDescent="0.25">
      <c r="A1953" s="148"/>
      <c r="B1953" s="148"/>
      <c r="C1953" s="148"/>
      <c r="D1953" s="138"/>
      <c r="E1953" s="138"/>
      <c r="F1953" s="50">
        <v>43466</v>
      </c>
      <c r="G1953" s="50">
        <v>43646</v>
      </c>
      <c r="H1953" s="150"/>
      <c r="I1953" s="15" t="s">
        <v>23</v>
      </c>
      <c r="J1953" s="15" t="s">
        <v>23</v>
      </c>
      <c r="K1953" s="13">
        <v>19.329999999999998</v>
      </c>
      <c r="L1953" s="13">
        <v>832.58</v>
      </c>
      <c r="M1953" s="196" t="s">
        <v>426</v>
      </c>
    </row>
    <row r="1954" spans="1:13" ht="15" customHeight="1" outlineLevel="1" x14ac:dyDescent="0.25">
      <c r="A1954" s="148"/>
      <c r="B1954" s="148"/>
      <c r="C1954" s="148"/>
      <c r="D1954" s="138"/>
      <c r="E1954" s="138"/>
      <c r="F1954" s="50">
        <v>43647</v>
      </c>
      <c r="G1954" s="50">
        <v>43830</v>
      </c>
      <c r="H1954" s="150"/>
      <c r="I1954" s="15" t="s">
        <v>23</v>
      </c>
      <c r="J1954" s="15" t="s">
        <v>23</v>
      </c>
      <c r="K1954" s="13">
        <v>19.72</v>
      </c>
      <c r="L1954" s="13">
        <v>849.30555555555566</v>
      </c>
      <c r="M1954" s="198"/>
    </row>
    <row r="1955" spans="1:13" ht="15" customHeight="1" outlineLevel="1" x14ac:dyDescent="0.25">
      <c r="A1955" s="148"/>
      <c r="B1955" s="148"/>
      <c r="C1955" s="148"/>
      <c r="D1955" s="138"/>
      <c r="E1955" s="138"/>
      <c r="F1955" s="50">
        <v>43466</v>
      </c>
      <c r="G1955" s="50">
        <v>43646</v>
      </c>
      <c r="H1955" s="150"/>
      <c r="I1955" s="15" t="s">
        <v>23</v>
      </c>
      <c r="J1955" s="15" t="s">
        <v>23</v>
      </c>
      <c r="K1955" s="13">
        <v>19.329999999999998</v>
      </c>
      <c r="L1955" s="13">
        <v>908.27</v>
      </c>
      <c r="M1955" s="196" t="s">
        <v>427</v>
      </c>
    </row>
    <row r="1956" spans="1:13" ht="15" customHeight="1" outlineLevel="1" x14ac:dyDescent="0.25">
      <c r="A1956" s="147"/>
      <c r="B1956" s="147"/>
      <c r="C1956" s="147"/>
      <c r="D1956" s="141"/>
      <c r="E1956" s="141"/>
      <c r="F1956" s="50">
        <v>43647</v>
      </c>
      <c r="G1956" s="50">
        <v>43830</v>
      </c>
      <c r="H1956" s="151"/>
      <c r="I1956" s="15" t="s">
        <v>23</v>
      </c>
      <c r="J1956" s="15" t="s">
        <v>23</v>
      </c>
      <c r="K1956" s="13">
        <v>19.72</v>
      </c>
      <c r="L1956" s="13">
        <v>926.5151515151515</v>
      </c>
      <c r="M1956" s="198"/>
    </row>
    <row r="1957" spans="1:13" ht="15" customHeight="1" outlineLevel="1" x14ac:dyDescent="0.25">
      <c r="A1957" s="146" t="s">
        <v>177</v>
      </c>
      <c r="B1957" s="146" t="s">
        <v>384</v>
      </c>
      <c r="C1957" s="146" t="s">
        <v>179</v>
      </c>
      <c r="D1957" s="137">
        <v>43453</v>
      </c>
      <c r="E1957" s="137" t="s">
        <v>622</v>
      </c>
      <c r="F1957" s="12">
        <v>43466</v>
      </c>
      <c r="G1957" s="12">
        <v>43646</v>
      </c>
      <c r="H1957" s="149"/>
      <c r="I1957" s="66">
        <v>40.08</v>
      </c>
      <c r="J1957" s="13">
        <v>874.34</v>
      </c>
      <c r="K1957" s="15" t="s">
        <v>23</v>
      </c>
      <c r="L1957" s="15" t="s">
        <v>23</v>
      </c>
      <c r="M1957" s="153"/>
    </row>
    <row r="1958" spans="1:13" ht="15" customHeight="1" outlineLevel="1" x14ac:dyDescent="0.25">
      <c r="A1958" s="148"/>
      <c r="B1958" s="148"/>
      <c r="C1958" s="148"/>
      <c r="D1958" s="141"/>
      <c r="E1958" s="141"/>
      <c r="F1958" s="12">
        <v>43647</v>
      </c>
      <c r="G1958" s="12">
        <v>43830</v>
      </c>
      <c r="H1958" s="151"/>
      <c r="I1958" s="66">
        <v>41.26</v>
      </c>
      <c r="J1958" s="13">
        <v>1055.53</v>
      </c>
      <c r="K1958" s="15" t="s">
        <v>23</v>
      </c>
      <c r="L1958" s="15" t="s">
        <v>23</v>
      </c>
      <c r="M1958" s="152"/>
    </row>
    <row r="1959" spans="1:13" ht="15" customHeight="1" outlineLevel="1" x14ac:dyDescent="0.25">
      <c r="A1959" s="148"/>
      <c r="B1959" s="148"/>
      <c r="C1959" s="148"/>
      <c r="D1959" s="137">
        <v>43454</v>
      </c>
      <c r="E1959" s="137" t="s">
        <v>741</v>
      </c>
      <c r="F1959" s="50">
        <v>43466</v>
      </c>
      <c r="G1959" s="50">
        <v>43646</v>
      </c>
      <c r="H1959" s="149"/>
      <c r="I1959" s="15" t="s">
        <v>23</v>
      </c>
      <c r="J1959" s="15" t="s">
        <v>23</v>
      </c>
      <c r="K1959" s="13">
        <v>19</v>
      </c>
      <c r="L1959" s="13">
        <v>854.14</v>
      </c>
      <c r="M1959" s="196" t="s">
        <v>420</v>
      </c>
    </row>
    <row r="1960" spans="1:13" ht="15" customHeight="1" outlineLevel="1" x14ac:dyDescent="0.25">
      <c r="A1960" s="148"/>
      <c r="B1960" s="148"/>
      <c r="C1960" s="148"/>
      <c r="D1960" s="138"/>
      <c r="E1960" s="138"/>
      <c r="F1960" s="50">
        <v>43647</v>
      </c>
      <c r="G1960" s="50">
        <v>43830</v>
      </c>
      <c r="H1960" s="150"/>
      <c r="I1960" s="15" t="s">
        <v>23</v>
      </c>
      <c r="J1960" s="15" t="s">
        <v>23</v>
      </c>
      <c r="K1960" s="13">
        <v>19.38</v>
      </c>
      <c r="L1960" s="13">
        <v>871.15942028985501</v>
      </c>
      <c r="M1960" s="198"/>
    </row>
    <row r="1961" spans="1:13" ht="15" customHeight="1" outlineLevel="1" x14ac:dyDescent="0.25">
      <c r="A1961" s="148"/>
      <c r="B1961" s="148"/>
      <c r="C1961" s="148"/>
      <c r="D1961" s="138"/>
      <c r="E1961" s="138"/>
      <c r="F1961" s="50">
        <v>43466</v>
      </c>
      <c r="G1961" s="50">
        <v>43646</v>
      </c>
      <c r="H1961" s="150"/>
      <c r="I1961" s="15" t="s">
        <v>23</v>
      </c>
      <c r="J1961" s="15" t="s">
        <v>23</v>
      </c>
      <c r="K1961" s="13">
        <v>19</v>
      </c>
      <c r="L1961" s="13">
        <v>935.43</v>
      </c>
      <c r="M1961" s="196" t="s">
        <v>421</v>
      </c>
    </row>
    <row r="1962" spans="1:13" ht="15" customHeight="1" outlineLevel="1" x14ac:dyDescent="0.25">
      <c r="A1962" s="148"/>
      <c r="B1962" s="148"/>
      <c r="C1962" s="148"/>
      <c r="D1962" s="138"/>
      <c r="E1962" s="138"/>
      <c r="F1962" s="50">
        <v>43647</v>
      </c>
      <c r="G1962" s="50">
        <v>43830</v>
      </c>
      <c r="H1962" s="150"/>
      <c r="I1962" s="15" t="s">
        <v>23</v>
      </c>
      <c r="J1962" s="15" t="s">
        <v>23</v>
      </c>
      <c r="K1962" s="13">
        <v>19.38</v>
      </c>
      <c r="L1962" s="13">
        <v>954.1269841269841</v>
      </c>
      <c r="M1962" s="198"/>
    </row>
    <row r="1963" spans="1:13" ht="15" customHeight="1" outlineLevel="1" x14ac:dyDescent="0.25">
      <c r="A1963" s="148"/>
      <c r="B1963" s="148"/>
      <c r="C1963" s="148"/>
      <c r="D1963" s="138"/>
      <c r="E1963" s="138"/>
      <c r="F1963" s="50">
        <v>43466</v>
      </c>
      <c r="G1963" s="50">
        <v>43646</v>
      </c>
      <c r="H1963" s="150"/>
      <c r="I1963" s="15" t="s">
        <v>23</v>
      </c>
      <c r="J1963" s="15" t="s">
        <v>23</v>
      </c>
      <c r="K1963" s="13">
        <v>19</v>
      </c>
      <c r="L1963" s="13">
        <v>796.38</v>
      </c>
      <c r="M1963" s="196" t="s">
        <v>422</v>
      </c>
    </row>
    <row r="1964" spans="1:13" ht="15" customHeight="1" outlineLevel="1" x14ac:dyDescent="0.25">
      <c r="A1964" s="148"/>
      <c r="B1964" s="148"/>
      <c r="C1964" s="148"/>
      <c r="D1964" s="138"/>
      <c r="E1964" s="138"/>
      <c r="F1964" s="50">
        <v>43647</v>
      </c>
      <c r="G1964" s="50">
        <v>43830</v>
      </c>
      <c r="H1964" s="150"/>
      <c r="I1964" s="15" t="s">
        <v>23</v>
      </c>
      <c r="J1964" s="15" t="s">
        <v>23</v>
      </c>
      <c r="K1964" s="13">
        <v>19.38</v>
      </c>
      <c r="L1964" s="13">
        <v>812.29729729729729</v>
      </c>
      <c r="M1964" s="198"/>
    </row>
    <row r="1965" spans="1:13" ht="15" customHeight="1" outlineLevel="1" x14ac:dyDescent="0.25">
      <c r="A1965" s="148"/>
      <c r="B1965" s="148"/>
      <c r="C1965" s="148"/>
      <c r="D1965" s="138"/>
      <c r="E1965" s="138"/>
      <c r="F1965" s="50">
        <v>43466</v>
      </c>
      <c r="G1965" s="50">
        <v>43646</v>
      </c>
      <c r="H1965" s="150"/>
      <c r="I1965" s="15" t="s">
        <v>23</v>
      </c>
      <c r="J1965" s="15" t="s">
        <v>23</v>
      </c>
      <c r="K1965" s="13">
        <v>19</v>
      </c>
      <c r="L1965" s="13">
        <v>854.09</v>
      </c>
      <c r="M1965" s="196" t="s">
        <v>423</v>
      </c>
    </row>
    <row r="1966" spans="1:13" ht="15" customHeight="1" outlineLevel="1" x14ac:dyDescent="0.25">
      <c r="A1966" s="148"/>
      <c r="B1966" s="148"/>
      <c r="C1966" s="148"/>
      <c r="D1966" s="138"/>
      <c r="E1966" s="138"/>
      <c r="F1966" s="50">
        <v>43647</v>
      </c>
      <c r="G1966" s="50">
        <v>43830</v>
      </c>
      <c r="H1966" s="150"/>
      <c r="I1966" s="15" t="s">
        <v>23</v>
      </c>
      <c r="J1966" s="15" t="s">
        <v>23</v>
      </c>
      <c r="K1966" s="13">
        <v>19.38</v>
      </c>
      <c r="L1966" s="13">
        <v>871.15942028985501</v>
      </c>
      <c r="M1966" s="198"/>
    </row>
    <row r="1967" spans="1:13" ht="15" customHeight="1" outlineLevel="1" x14ac:dyDescent="0.25">
      <c r="A1967" s="148"/>
      <c r="B1967" s="148"/>
      <c r="C1967" s="148"/>
      <c r="D1967" s="138"/>
      <c r="E1967" s="138"/>
      <c r="F1967" s="50">
        <v>43466</v>
      </c>
      <c r="G1967" s="50">
        <v>43646</v>
      </c>
      <c r="H1967" s="150"/>
      <c r="I1967" s="15" t="s">
        <v>23</v>
      </c>
      <c r="J1967" s="15" t="s">
        <v>23</v>
      </c>
      <c r="K1967" s="13">
        <v>19</v>
      </c>
      <c r="L1967" s="13">
        <v>892.91</v>
      </c>
      <c r="M1967" s="196" t="s">
        <v>424</v>
      </c>
    </row>
    <row r="1968" spans="1:13" ht="15" customHeight="1" outlineLevel="1" x14ac:dyDescent="0.25">
      <c r="A1968" s="148"/>
      <c r="B1968" s="148"/>
      <c r="C1968" s="148"/>
      <c r="D1968" s="138"/>
      <c r="E1968" s="138"/>
      <c r="F1968" s="50">
        <v>43647</v>
      </c>
      <c r="G1968" s="50">
        <v>43830</v>
      </c>
      <c r="H1968" s="150"/>
      <c r="I1968" s="15" t="s">
        <v>23</v>
      </c>
      <c r="J1968" s="15" t="s">
        <v>23</v>
      </c>
      <c r="K1968" s="13">
        <v>19.38</v>
      </c>
      <c r="L1968" s="13">
        <v>910.75757575757575</v>
      </c>
      <c r="M1968" s="198"/>
    </row>
    <row r="1969" spans="1:13" ht="15" customHeight="1" outlineLevel="1" x14ac:dyDescent="0.25">
      <c r="A1969" s="148"/>
      <c r="B1969" s="148"/>
      <c r="C1969" s="148"/>
      <c r="D1969" s="138"/>
      <c r="E1969" s="138"/>
      <c r="F1969" s="50">
        <v>43466</v>
      </c>
      <c r="G1969" s="50">
        <v>43646</v>
      </c>
      <c r="H1969" s="150"/>
      <c r="I1969" s="15" t="s">
        <v>23</v>
      </c>
      <c r="J1969" s="15" t="s">
        <v>23</v>
      </c>
      <c r="K1969" s="13">
        <v>19</v>
      </c>
      <c r="L1969" s="13">
        <v>966.1</v>
      </c>
      <c r="M1969" s="196" t="s">
        <v>425</v>
      </c>
    </row>
    <row r="1970" spans="1:13" ht="15" customHeight="1" outlineLevel="1" x14ac:dyDescent="0.25">
      <c r="A1970" s="148"/>
      <c r="B1970" s="148"/>
      <c r="C1970" s="148"/>
      <c r="D1970" s="138"/>
      <c r="E1970" s="138"/>
      <c r="F1970" s="50">
        <v>43647</v>
      </c>
      <c r="G1970" s="50">
        <v>43830</v>
      </c>
      <c r="H1970" s="150"/>
      <c r="I1970" s="15" t="s">
        <v>23</v>
      </c>
      <c r="J1970" s="15" t="s">
        <v>23</v>
      </c>
      <c r="K1970" s="13">
        <v>19.38</v>
      </c>
      <c r="L1970" s="13">
        <v>985.40983606557381</v>
      </c>
      <c r="M1970" s="198"/>
    </row>
    <row r="1971" spans="1:13" ht="15" customHeight="1" outlineLevel="1" x14ac:dyDescent="0.25">
      <c r="A1971" s="148"/>
      <c r="B1971" s="148"/>
      <c r="C1971" s="148"/>
      <c r="D1971" s="138"/>
      <c r="E1971" s="138"/>
      <c r="F1971" s="50">
        <v>43466</v>
      </c>
      <c r="G1971" s="50">
        <v>43646</v>
      </c>
      <c r="H1971" s="150"/>
      <c r="I1971" s="15" t="s">
        <v>23</v>
      </c>
      <c r="J1971" s="15" t="s">
        <v>23</v>
      </c>
      <c r="K1971" s="13">
        <v>19</v>
      </c>
      <c r="L1971" s="13">
        <v>818.5</v>
      </c>
      <c r="M1971" s="196" t="s">
        <v>426</v>
      </c>
    </row>
    <row r="1972" spans="1:13" ht="15" customHeight="1" outlineLevel="1" x14ac:dyDescent="0.25">
      <c r="A1972" s="148"/>
      <c r="B1972" s="148"/>
      <c r="C1972" s="148"/>
      <c r="D1972" s="138"/>
      <c r="E1972" s="138"/>
      <c r="F1972" s="50">
        <v>43647</v>
      </c>
      <c r="G1972" s="50">
        <v>43830</v>
      </c>
      <c r="H1972" s="150"/>
      <c r="I1972" s="15" t="s">
        <v>23</v>
      </c>
      <c r="J1972" s="15" t="s">
        <v>23</v>
      </c>
      <c r="K1972" s="13">
        <v>19.38</v>
      </c>
      <c r="L1972" s="13">
        <v>834.8611111111112</v>
      </c>
      <c r="M1972" s="198"/>
    </row>
    <row r="1973" spans="1:13" ht="15" customHeight="1" outlineLevel="1" x14ac:dyDescent="0.25">
      <c r="A1973" s="148"/>
      <c r="B1973" s="148"/>
      <c r="C1973" s="148"/>
      <c r="D1973" s="138"/>
      <c r="E1973" s="138"/>
      <c r="F1973" s="50">
        <v>43466</v>
      </c>
      <c r="G1973" s="50">
        <v>43646</v>
      </c>
      <c r="H1973" s="150"/>
      <c r="I1973" s="15" t="s">
        <v>23</v>
      </c>
      <c r="J1973" s="15" t="s">
        <v>23</v>
      </c>
      <c r="K1973" s="13">
        <v>19</v>
      </c>
      <c r="L1973" s="13">
        <v>892.91</v>
      </c>
      <c r="M1973" s="196" t="s">
        <v>427</v>
      </c>
    </row>
    <row r="1974" spans="1:13" ht="15" customHeight="1" outlineLevel="1" x14ac:dyDescent="0.25">
      <c r="A1974" s="147"/>
      <c r="B1974" s="147"/>
      <c r="C1974" s="147"/>
      <c r="D1974" s="141"/>
      <c r="E1974" s="141"/>
      <c r="F1974" s="50">
        <v>43647</v>
      </c>
      <c r="G1974" s="50">
        <v>43830</v>
      </c>
      <c r="H1974" s="151"/>
      <c r="I1974" s="15" t="s">
        <v>23</v>
      </c>
      <c r="J1974" s="15" t="s">
        <v>23</v>
      </c>
      <c r="K1974" s="13">
        <v>19.38</v>
      </c>
      <c r="L1974" s="13">
        <v>910.75757575757575</v>
      </c>
      <c r="M1974" s="198"/>
    </row>
    <row r="1975" spans="1:13" ht="15" customHeight="1" outlineLevel="1" x14ac:dyDescent="0.25">
      <c r="A1975" s="146" t="s">
        <v>177</v>
      </c>
      <c r="B1975" s="146" t="s">
        <v>383</v>
      </c>
      <c r="C1975" s="146" t="s">
        <v>179</v>
      </c>
      <c r="D1975" s="137">
        <v>43453</v>
      </c>
      <c r="E1975" s="137" t="s">
        <v>622</v>
      </c>
      <c r="F1975" s="12">
        <v>43466</v>
      </c>
      <c r="G1975" s="12">
        <v>43646</v>
      </c>
      <c r="H1975" s="149"/>
      <c r="I1975" s="66">
        <v>40.08</v>
      </c>
      <c r="J1975" s="13">
        <v>874.34</v>
      </c>
      <c r="K1975" s="15" t="s">
        <v>23</v>
      </c>
      <c r="L1975" s="15" t="s">
        <v>23</v>
      </c>
      <c r="M1975" s="153"/>
    </row>
    <row r="1976" spans="1:13" ht="15" customHeight="1" outlineLevel="1" x14ac:dyDescent="0.25">
      <c r="A1976" s="148"/>
      <c r="B1976" s="148"/>
      <c r="C1976" s="148"/>
      <c r="D1976" s="141"/>
      <c r="E1976" s="141"/>
      <c r="F1976" s="12">
        <v>43647</v>
      </c>
      <c r="G1976" s="12">
        <v>43830</v>
      </c>
      <c r="H1976" s="151"/>
      <c r="I1976" s="66">
        <v>41.26</v>
      </c>
      <c r="J1976" s="13">
        <v>1055.53</v>
      </c>
      <c r="K1976" s="15" t="s">
        <v>23</v>
      </c>
      <c r="L1976" s="15" t="s">
        <v>23</v>
      </c>
      <c r="M1976" s="152"/>
    </row>
    <row r="1977" spans="1:13" ht="15" customHeight="1" outlineLevel="1" x14ac:dyDescent="0.25">
      <c r="A1977" s="148"/>
      <c r="B1977" s="148"/>
      <c r="C1977" s="148"/>
      <c r="D1977" s="137">
        <v>43454</v>
      </c>
      <c r="E1977" s="137" t="s">
        <v>741</v>
      </c>
      <c r="F1977" s="50">
        <v>43466</v>
      </c>
      <c r="G1977" s="50">
        <v>43646</v>
      </c>
      <c r="H1977" s="149"/>
      <c r="I1977" s="15" t="s">
        <v>23</v>
      </c>
      <c r="J1977" s="15" t="s">
        <v>23</v>
      </c>
      <c r="K1977" s="13">
        <v>19</v>
      </c>
      <c r="L1977" s="13">
        <v>854.14</v>
      </c>
      <c r="M1977" s="196" t="s">
        <v>420</v>
      </c>
    </row>
    <row r="1978" spans="1:13" ht="15" customHeight="1" outlineLevel="1" x14ac:dyDescent="0.25">
      <c r="A1978" s="148"/>
      <c r="B1978" s="148"/>
      <c r="C1978" s="148"/>
      <c r="D1978" s="138"/>
      <c r="E1978" s="138"/>
      <c r="F1978" s="50">
        <v>43647</v>
      </c>
      <c r="G1978" s="50">
        <v>43830</v>
      </c>
      <c r="H1978" s="150"/>
      <c r="I1978" s="15" t="s">
        <v>23</v>
      </c>
      <c r="J1978" s="15" t="s">
        <v>23</v>
      </c>
      <c r="K1978" s="13">
        <v>19.38</v>
      </c>
      <c r="L1978" s="13">
        <v>871.15942028985501</v>
      </c>
      <c r="M1978" s="198"/>
    </row>
    <row r="1979" spans="1:13" ht="15" customHeight="1" outlineLevel="1" x14ac:dyDescent="0.25">
      <c r="A1979" s="148"/>
      <c r="B1979" s="148"/>
      <c r="C1979" s="148"/>
      <c r="D1979" s="138"/>
      <c r="E1979" s="138"/>
      <c r="F1979" s="50">
        <v>43466</v>
      </c>
      <c r="G1979" s="50">
        <v>43646</v>
      </c>
      <c r="H1979" s="150"/>
      <c r="I1979" s="15" t="s">
        <v>23</v>
      </c>
      <c r="J1979" s="15" t="s">
        <v>23</v>
      </c>
      <c r="K1979" s="13">
        <v>19</v>
      </c>
      <c r="L1979" s="13">
        <v>935.43</v>
      </c>
      <c r="M1979" s="196" t="s">
        <v>421</v>
      </c>
    </row>
    <row r="1980" spans="1:13" ht="15" customHeight="1" outlineLevel="1" x14ac:dyDescent="0.25">
      <c r="A1980" s="148"/>
      <c r="B1980" s="148"/>
      <c r="C1980" s="148"/>
      <c r="D1980" s="138"/>
      <c r="E1980" s="138"/>
      <c r="F1980" s="50">
        <v>43647</v>
      </c>
      <c r="G1980" s="50">
        <v>43830</v>
      </c>
      <c r="H1980" s="150"/>
      <c r="I1980" s="15" t="s">
        <v>23</v>
      </c>
      <c r="J1980" s="15" t="s">
        <v>23</v>
      </c>
      <c r="K1980" s="13">
        <v>19.38</v>
      </c>
      <c r="L1980" s="13">
        <v>954.1269841269841</v>
      </c>
      <c r="M1980" s="198"/>
    </row>
    <row r="1981" spans="1:13" ht="15" customHeight="1" outlineLevel="1" x14ac:dyDescent="0.25">
      <c r="A1981" s="148"/>
      <c r="B1981" s="148"/>
      <c r="C1981" s="148"/>
      <c r="D1981" s="138"/>
      <c r="E1981" s="138"/>
      <c r="F1981" s="50">
        <v>43466</v>
      </c>
      <c r="G1981" s="50">
        <v>43646</v>
      </c>
      <c r="H1981" s="150"/>
      <c r="I1981" s="15" t="s">
        <v>23</v>
      </c>
      <c r="J1981" s="15" t="s">
        <v>23</v>
      </c>
      <c r="K1981" s="13">
        <v>19</v>
      </c>
      <c r="L1981" s="13">
        <v>796.38</v>
      </c>
      <c r="M1981" s="196" t="s">
        <v>422</v>
      </c>
    </row>
    <row r="1982" spans="1:13" ht="15" customHeight="1" outlineLevel="1" x14ac:dyDescent="0.25">
      <c r="A1982" s="148"/>
      <c r="B1982" s="148"/>
      <c r="C1982" s="148"/>
      <c r="D1982" s="138"/>
      <c r="E1982" s="138"/>
      <c r="F1982" s="50">
        <v>43647</v>
      </c>
      <c r="G1982" s="50">
        <v>43830</v>
      </c>
      <c r="H1982" s="150"/>
      <c r="I1982" s="15" t="s">
        <v>23</v>
      </c>
      <c r="J1982" s="15" t="s">
        <v>23</v>
      </c>
      <c r="K1982" s="13">
        <v>19.38</v>
      </c>
      <c r="L1982" s="13">
        <v>812.29729729729729</v>
      </c>
      <c r="M1982" s="198"/>
    </row>
    <row r="1983" spans="1:13" ht="15" customHeight="1" outlineLevel="1" x14ac:dyDescent="0.25">
      <c r="A1983" s="148"/>
      <c r="B1983" s="148"/>
      <c r="C1983" s="148"/>
      <c r="D1983" s="138"/>
      <c r="E1983" s="138"/>
      <c r="F1983" s="50">
        <v>43466</v>
      </c>
      <c r="G1983" s="50">
        <v>43646</v>
      </c>
      <c r="H1983" s="150"/>
      <c r="I1983" s="15" t="s">
        <v>23</v>
      </c>
      <c r="J1983" s="15" t="s">
        <v>23</v>
      </c>
      <c r="K1983" s="13">
        <v>19</v>
      </c>
      <c r="L1983" s="13">
        <v>854.09</v>
      </c>
      <c r="M1983" s="196" t="s">
        <v>423</v>
      </c>
    </row>
    <row r="1984" spans="1:13" ht="15" customHeight="1" outlineLevel="1" x14ac:dyDescent="0.25">
      <c r="A1984" s="148"/>
      <c r="B1984" s="148"/>
      <c r="C1984" s="148"/>
      <c r="D1984" s="138"/>
      <c r="E1984" s="138"/>
      <c r="F1984" s="50">
        <v>43647</v>
      </c>
      <c r="G1984" s="50">
        <v>43830</v>
      </c>
      <c r="H1984" s="150"/>
      <c r="I1984" s="15" t="s">
        <v>23</v>
      </c>
      <c r="J1984" s="15" t="s">
        <v>23</v>
      </c>
      <c r="K1984" s="13">
        <v>19.38</v>
      </c>
      <c r="L1984" s="13">
        <v>871.15942028985501</v>
      </c>
      <c r="M1984" s="198"/>
    </row>
    <row r="1985" spans="1:13" ht="15" customHeight="1" outlineLevel="1" x14ac:dyDescent="0.25">
      <c r="A1985" s="148"/>
      <c r="B1985" s="148"/>
      <c r="C1985" s="148"/>
      <c r="D1985" s="138"/>
      <c r="E1985" s="138"/>
      <c r="F1985" s="50">
        <v>43466</v>
      </c>
      <c r="G1985" s="50">
        <v>43646</v>
      </c>
      <c r="H1985" s="150"/>
      <c r="I1985" s="15" t="s">
        <v>23</v>
      </c>
      <c r="J1985" s="15" t="s">
        <v>23</v>
      </c>
      <c r="K1985" s="13">
        <v>19</v>
      </c>
      <c r="L1985" s="13">
        <v>892.91</v>
      </c>
      <c r="M1985" s="196" t="s">
        <v>424</v>
      </c>
    </row>
    <row r="1986" spans="1:13" ht="15" customHeight="1" outlineLevel="1" x14ac:dyDescent="0.25">
      <c r="A1986" s="148"/>
      <c r="B1986" s="148"/>
      <c r="C1986" s="148"/>
      <c r="D1986" s="138"/>
      <c r="E1986" s="138"/>
      <c r="F1986" s="50">
        <v>43647</v>
      </c>
      <c r="G1986" s="50">
        <v>43830</v>
      </c>
      <c r="H1986" s="150"/>
      <c r="I1986" s="15" t="s">
        <v>23</v>
      </c>
      <c r="J1986" s="15" t="s">
        <v>23</v>
      </c>
      <c r="K1986" s="13">
        <v>19.38</v>
      </c>
      <c r="L1986" s="13">
        <v>910.75757575757575</v>
      </c>
      <c r="M1986" s="198"/>
    </row>
    <row r="1987" spans="1:13" ht="15" customHeight="1" outlineLevel="1" x14ac:dyDescent="0.25">
      <c r="A1987" s="148"/>
      <c r="B1987" s="148"/>
      <c r="C1987" s="148"/>
      <c r="D1987" s="138"/>
      <c r="E1987" s="138"/>
      <c r="F1987" s="50">
        <v>43466</v>
      </c>
      <c r="G1987" s="50">
        <v>43646</v>
      </c>
      <c r="H1987" s="150"/>
      <c r="I1987" s="15" t="s">
        <v>23</v>
      </c>
      <c r="J1987" s="15" t="s">
        <v>23</v>
      </c>
      <c r="K1987" s="13">
        <v>19</v>
      </c>
      <c r="L1987" s="13">
        <v>966.1</v>
      </c>
      <c r="M1987" s="196" t="s">
        <v>425</v>
      </c>
    </row>
    <row r="1988" spans="1:13" ht="15" customHeight="1" outlineLevel="1" x14ac:dyDescent="0.25">
      <c r="A1988" s="148"/>
      <c r="B1988" s="148"/>
      <c r="C1988" s="148"/>
      <c r="D1988" s="138"/>
      <c r="E1988" s="138"/>
      <c r="F1988" s="50">
        <v>43647</v>
      </c>
      <c r="G1988" s="50">
        <v>43830</v>
      </c>
      <c r="H1988" s="150"/>
      <c r="I1988" s="15" t="s">
        <v>23</v>
      </c>
      <c r="J1988" s="15" t="s">
        <v>23</v>
      </c>
      <c r="K1988" s="13">
        <v>19.38</v>
      </c>
      <c r="L1988" s="13">
        <v>985.40983606557381</v>
      </c>
      <c r="M1988" s="198"/>
    </row>
    <row r="1989" spans="1:13" ht="15" customHeight="1" outlineLevel="1" x14ac:dyDescent="0.25">
      <c r="A1989" s="148"/>
      <c r="B1989" s="148"/>
      <c r="C1989" s="148"/>
      <c r="D1989" s="138"/>
      <c r="E1989" s="138"/>
      <c r="F1989" s="50">
        <v>43466</v>
      </c>
      <c r="G1989" s="50">
        <v>43646</v>
      </c>
      <c r="H1989" s="150"/>
      <c r="I1989" s="15" t="s">
        <v>23</v>
      </c>
      <c r="J1989" s="15" t="s">
        <v>23</v>
      </c>
      <c r="K1989" s="13">
        <v>19</v>
      </c>
      <c r="L1989" s="13">
        <v>818.5</v>
      </c>
      <c r="M1989" s="196" t="s">
        <v>426</v>
      </c>
    </row>
    <row r="1990" spans="1:13" ht="15" customHeight="1" outlineLevel="1" x14ac:dyDescent="0.25">
      <c r="A1990" s="148"/>
      <c r="B1990" s="148"/>
      <c r="C1990" s="148"/>
      <c r="D1990" s="138"/>
      <c r="E1990" s="138"/>
      <c r="F1990" s="50">
        <v>43647</v>
      </c>
      <c r="G1990" s="50">
        <v>43830</v>
      </c>
      <c r="H1990" s="150"/>
      <c r="I1990" s="15" t="s">
        <v>23</v>
      </c>
      <c r="J1990" s="15" t="s">
        <v>23</v>
      </c>
      <c r="K1990" s="13">
        <v>19.38</v>
      </c>
      <c r="L1990" s="13">
        <v>834.8611111111112</v>
      </c>
      <c r="M1990" s="198"/>
    </row>
    <row r="1991" spans="1:13" ht="15" customHeight="1" outlineLevel="1" x14ac:dyDescent="0.25">
      <c r="A1991" s="148"/>
      <c r="B1991" s="148"/>
      <c r="C1991" s="148"/>
      <c r="D1991" s="138"/>
      <c r="E1991" s="138"/>
      <c r="F1991" s="50">
        <v>43466</v>
      </c>
      <c r="G1991" s="50">
        <v>43646</v>
      </c>
      <c r="H1991" s="150"/>
      <c r="I1991" s="15" t="s">
        <v>23</v>
      </c>
      <c r="J1991" s="15" t="s">
        <v>23</v>
      </c>
      <c r="K1991" s="13">
        <v>19</v>
      </c>
      <c r="L1991" s="13">
        <v>892.91</v>
      </c>
      <c r="M1991" s="196" t="s">
        <v>427</v>
      </c>
    </row>
    <row r="1992" spans="1:13" ht="15" customHeight="1" outlineLevel="1" x14ac:dyDescent="0.25">
      <c r="A1992" s="147"/>
      <c r="B1992" s="147"/>
      <c r="C1992" s="147"/>
      <c r="D1992" s="141"/>
      <c r="E1992" s="141"/>
      <c r="F1992" s="50">
        <v>43647</v>
      </c>
      <c r="G1992" s="50">
        <v>43830</v>
      </c>
      <c r="H1992" s="151"/>
      <c r="I1992" s="15" t="s">
        <v>23</v>
      </c>
      <c r="J1992" s="15" t="s">
        <v>23</v>
      </c>
      <c r="K1992" s="13">
        <v>19.38</v>
      </c>
      <c r="L1992" s="13">
        <v>910.75757575757575</v>
      </c>
      <c r="M1992" s="198"/>
    </row>
    <row r="1993" spans="1:13" ht="15" customHeight="1" outlineLevel="1" x14ac:dyDescent="0.25">
      <c r="A1993" s="146" t="s">
        <v>177</v>
      </c>
      <c r="B1993" s="146" t="s">
        <v>193</v>
      </c>
      <c r="C1993" s="146" t="s">
        <v>179</v>
      </c>
      <c r="D1993" s="137">
        <v>43453</v>
      </c>
      <c r="E1993" s="137" t="s">
        <v>622</v>
      </c>
      <c r="F1993" s="12">
        <v>43466</v>
      </c>
      <c r="G1993" s="12">
        <v>43646</v>
      </c>
      <c r="H1993" s="149"/>
      <c r="I1993" s="66">
        <v>40.08</v>
      </c>
      <c r="J1993" s="13">
        <v>874.34</v>
      </c>
      <c r="K1993" s="15" t="s">
        <v>23</v>
      </c>
      <c r="L1993" s="15" t="s">
        <v>23</v>
      </c>
      <c r="M1993" s="153"/>
    </row>
    <row r="1994" spans="1:13" ht="15" customHeight="1" outlineLevel="1" x14ac:dyDescent="0.25">
      <c r="A1994" s="148"/>
      <c r="B1994" s="148"/>
      <c r="C1994" s="148"/>
      <c r="D1994" s="141"/>
      <c r="E1994" s="141"/>
      <c r="F1994" s="12">
        <v>43647</v>
      </c>
      <c r="G1994" s="12">
        <v>43830</v>
      </c>
      <c r="H1994" s="151"/>
      <c r="I1994" s="66">
        <v>41.26</v>
      </c>
      <c r="J1994" s="13">
        <v>1055.53</v>
      </c>
      <c r="K1994" s="15" t="s">
        <v>23</v>
      </c>
      <c r="L1994" s="15" t="s">
        <v>23</v>
      </c>
      <c r="M1994" s="152"/>
    </row>
    <row r="1995" spans="1:13" ht="15" customHeight="1" outlineLevel="1" x14ac:dyDescent="0.25">
      <c r="A1995" s="148"/>
      <c r="B1995" s="148"/>
      <c r="C1995" s="148"/>
      <c r="D1995" s="137">
        <v>43454</v>
      </c>
      <c r="E1995" s="137" t="s">
        <v>741</v>
      </c>
      <c r="F1995" s="50">
        <v>43466</v>
      </c>
      <c r="G1995" s="50">
        <v>43646</v>
      </c>
      <c r="H1995" s="149"/>
      <c r="I1995" s="15" t="s">
        <v>23</v>
      </c>
      <c r="J1995" s="15" t="s">
        <v>23</v>
      </c>
      <c r="K1995" s="13">
        <v>19</v>
      </c>
      <c r="L1995" s="13">
        <v>854.14</v>
      </c>
      <c r="M1995" s="196" t="s">
        <v>420</v>
      </c>
    </row>
    <row r="1996" spans="1:13" ht="15" customHeight="1" outlineLevel="1" x14ac:dyDescent="0.25">
      <c r="A1996" s="148"/>
      <c r="B1996" s="148"/>
      <c r="C1996" s="148"/>
      <c r="D1996" s="138"/>
      <c r="E1996" s="138"/>
      <c r="F1996" s="50">
        <v>43647</v>
      </c>
      <c r="G1996" s="50">
        <v>43830</v>
      </c>
      <c r="H1996" s="150"/>
      <c r="I1996" s="15" t="s">
        <v>23</v>
      </c>
      <c r="J1996" s="15" t="s">
        <v>23</v>
      </c>
      <c r="K1996" s="13">
        <v>19.38</v>
      </c>
      <c r="L1996" s="13">
        <v>871.15942028985501</v>
      </c>
      <c r="M1996" s="198"/>
    </row>
    <row r="1997" spans="1:13" ht="15" customHeight="1" outlineLevel="1" x14ac:dyDescent="0.25">
      <c r="A1997" s="148"/>
      <c r="B1997" s="148"/>
      <c r="C1997" s="148"/>
      <c r="D1997" s="138"/>
      <c r="E1997" s="138"/>
      <c r="F1997" s="50">
        <v>43466</v>
      </c>
      <c r="G1997" s="50">
        <v>43646</v>
      </c>
      <c r="H1997" s="150"/>
      <c r="I1997" s="15" t="s">
        <v>23</v>
      </c>
      <c r="J1997" s="15" t="s">
        <v>23</v>
      </c>
      <c r="K1997" s="13">
        <v>19</v>
      </c>
      <c r="L1997" s="13">
        <v>935.43</v>
      </c>
      <c r="M1997" s="196" t="s">
        <v>421</v>
      </c>
    </row>
    <row r="1998" spans="1:13" ht="15" customHeight="1" outlineLevel="1" x14ac:dyDescent="0.25">
      <c r="A1998" s="148"/>
      <c r="B1998" s="148"/>
      <c r="C1998" s="148"/>
      <c r="D1998" s="138"/>
      <c r="E1998" s="138"/>
      <c r="F1998" s="50">
        <v>43647</v>
      </c>
      <c r="G1998" s="50">
        <v>43830</v>
      </c>
      <c r="H1998" s="150"/>
      <c r="I1998" s="15" t="s">
        <v>23</v>
      </c>
      <c r="J1998" s="15" t="s">
        <v>23</v>
      </c>
      <c r="K1998" s="13">
        <v>19.38</v>
      </c>
      <c r="L1998" s="13">
        <v>954.1269841269841</v>
      </c>
      <c r="M1998" s="198"/>
    </row>
    <row r="1999" spans="1:13" ht="15" customHeight="1" outlineLevel="1" x14ac:dyDescent="0.25">
      <c r="A1999" s="148"/>
      <c r="B1999" s="148"/>
      <c r="C1999" s="148"/>
      <c r="D1999" s="138"/>
      <c r="E1999" s="138"/>
      <c r="F1999" s="50">
        <v>43466</v>
      </c>
      <c r="G1999" s="50">
        <v>43646</v>
      </c>
      <c r="H1999" s="150"/>
      <c r="I1999" s="15" t="s">
        <v>23</v>
      </c>
      <c r="J1999" s="15" t="s">
        <v>23</v>
      </c>
      <c r="K1999" s="13">
        <v>19</v>
      </c>
      <c r="L1999" s="13">
        <v>796.38</v>
      </c>
      <c r="M1999" s="196" t="s">
        <v>422</v>
      </c>
    </row>
    <row r="2000" spans="1:13" ht="15" customHeight="1" outlineLevel="1" x14ac:dyDescent="0.25">
      <c r="A2000" s="148"/>
      <c r="B2000" s="148"/>
      <c r="C2000" s="148"/>
      <c r="D2000" s="138"/>
      <c r="E2000" s="138"/>
      <c r="F2000" s="50">
        <v>43647</v>
      </c>
      <c r="G2000" s="50">
        <v>43830</v>
      </c>
      <c r="H2000" s="150"/>
      <c r="I2000" s="15" t="s">
        <v>23</v>
      </c>
      <c r="J2000" s="15" t="s">
        <v>23</v>
      </c>
      <c r="K2000" s="13">
        <v>19.38</v>
      </c>
      <c r="L2000" s="13">
        <v>812.29729729729729</v>
      </c>
      <c r="M2000" s="198"/>
    </row>
    <row r="2001" spans="1:20" ht="15" customHeight="1" outlineLevel="1" x14ac:dyDescent="0.25">
      <c r="A2001" s="148"/>
      <c r="B2001" s="148"/>
      <c r="C2001" s="148"/>
      <c r="D2001" s="138"/>
      <c r="E2001" s="138"/>
      <c r="F2001" s="50">
        <v>43466</v>
      </c>
      <c r="G2001" s="50">
        <v>43646</v>
      </c>
      <c r="H2001" s="150"/>
      <c r="I2001" s="15" t="s">
        <v>23</v>
      </c>
      <c r="J2001" s="15" t="s">
        <v>23</v>
      </c>
      <c r="K2001" s="13">
        <v>19</v>
      </c>
      <c r="L2001" s="13">
        <v>854.09</v>
      </c>
      <c r="M2001" s="196" t="s">
        <v>423</v>
      </c>
    </row>
    <row r="2002" spans="1:20" ht="15" customHeight="1" outlineLevel="1" x14ac:dyDescent="0.25">
      <c r="A2002" s="148"/>
      <c r="B2002" s="148"/>
      <c r="C2002" s="148"/>
      <c r="D2002" s="138"/>
      <c r="E2002" s="138"/>
      <c r="F2002" s="50">
        <v>43647</v>
      </c>
      <c r="G2002" s="50">
        <v>43830</v>
      </c>
      <c r="H2002" s="150"/>
      <c r="I2002" s="15" t="s">
        <v>23</v>
      </c>
      <c r="J2002" s="15" t="s">
        <v>23</v>
      </c>
      <c r="K2002" s="13">
        <v>19.38</v>
      </c>
      <c r="L2002" s="13">
        <v>871.15942028985501</v>
      </c>
      <c r="M2002" s="198"/>
    </row>
    <row r="2003" spans="1:20" ht="15" customHeight="1" outlineLevel="1" x14ac:dyDescent="0.25">
      <c r="A2003" s="148"/>
      <c r="B2003" s="148"/>
      <c r="C2003" s="148"/>
      <c r="D2003" s="138"/>
      <c r="E2003" s="138"/>
      <c r="F2003" s="50">
        <v>43466</v>
      </c>
      <c r="G2003" s="50">
        <v>43646</v>
      </c>
      <c r="H2003" s="150"/>
      <c r="I2003" s="15" t="s">
        <v>23</v>
      </c>
      <c r="J2003" s="15" t="s">
        <v>23</v>
      </c>
      <c r="K2003" s="13">
        <v>19</v>
      </c>
      <c r="L2003" s="13">
        <v>892.91</v>
      </c>
      <c r="M2003" s="196" t="s">
        <v>424</v>
      </c>
    </row>
    <row r="2004" spans="1:20" ht="15" customHeight="1" outlineLevel="1" x14ac:dyDescent="0.25">
      <c r="A2004" s="148"/>
      <c r="B2004" s="148"/>
      <c r="C2004" s="148"/>
      <c r="D2004" s="138"/>
      <c r="E2004" s="138"/>
      <c r="F2004" s="50">
        <v>43647</v>
      </c>
      <c r="G2004" s="50">
        <v>43830</v>
      </c>
      <c r="H2004" s="150"/>
      <c r="I2004" s="15" t="s">
        <v>23</v>
      </c>
      <c r="J2004" s="15" t="s">
        <v>23</v>
      </c>
      <c r="K2004" s="13">
        <v>19.38</v>
      </c>
      <c r="L2004" s="13">
        <v>910.75757575757575</v>
      </c>
      <c r="M2004" s="198"/>
    </row>
    <row r="2005" spans="1:20" ht="15" customHeight="1" outlineLevel="1" x14ac:dyDescent="0.25">
      <c r="A2005" s="148"/>
      <c r="B2005" s="148"/>
      <c r="C2005" s="148"/>
      <c r="D2005" s="138"/>
      <c r="E2005" s="138"/>
      <c r="F2005" s="50">
        <v>43466</v>
      </c>
      <c r="G2005" s="50">
        <v>43646</v>
      </c>
      <c r="H2005" s="150"/>
      <c r="I2005" s="15" t="s">
        <v>23</v>
      </c>
      <c r="J2005" s="15" t="s">
        <v>23</v>
      </c>
      <c r="K2005" s="13">
        <v>19</v>
      </c>
      <c r="L2005" s="13">
        <v>966.1</v>
      </c>
      <c r="M2005" s="196" t="s">
        <v>425</v>
      </c>
    </row>
    <row r="2006" spans="1:20" ht="15" customHeight="1" outlineLevel="1" x14ac:dyDescent="0.25">
      <c r="A2006" s="148"/>
      <c r="B2006" s="148"/>
      <c r="C2006" s="148"/>
      <c r="D2006" s="138"/>
      <c r="E2006" s="138"/>
      <c r="F2006" s="50">
        <v>43647</v>
      </c>
      <c r="G2006" s="50">
        <v>43830</v>
      </c>
      <c r="H2006" s="150"/>
      <c r="I2006" s="15" t="s">
        <v>23</v>
      </c>
      <c r="J2006" s="15" t="s">
        <v>23</v>
      </c>
      <c r="K2006" s="13">
        <v>19.38</v>
      </c>
      <c r="L2006" s="13">
        <v>985.40983606557381</v>
      </c>
      <c r="M2006" s="198"/>
    </row>
    <row r="2007" spans="1:20" ht="15" customHeight="1" outlineLevel="1" x14ac:dyDescent="0.25">
      <c r="A2007" s="148"/>
      <c r="B2007" s="148"/>
      <c r="C2007" s="148"/>
      <c r="D2007" s="138"/>
      <c r="E2007" s="138"/>
      <c r="F2007" s="50">
        <v>43466</v>
      </c>
      <c r="G2007" s="50">
        <v>43646</v>
      </c>
      <c r="H2007" s="150"/>
      <c r="I2007" s="15" t="s">
        <v>23</v>
      </c>
      <c r="J2007" s="15" t="s">
        <v>23</v>
      </c>
      <c r="K2007" s="13">
        <v>19</v>
      </c>
      <c r="L2007" s="13">
        <v>818.5</v>
      </c>
      <c r="M2007" s="196" t="s">
        <v>426</v>
      </c>
    </row>
    <row r="2008" spans="1:20" s="10" customFormat="1" ht="28.5" customHeight="1" x14ac:dyDescent="0.25">
      <c r="A2008" s="148"/>
      <c r="B2008" s="148"/>
      <c r="C2008" s="148"/>
      <c r="D2008" s="138"/>
      <c r="E2008" s="138"/>
      <c r="F2008" s="50">
        <v>43647</v>
      </c>
      <c r="G2008" s="50">
        <v>43830</v>
      </c>
      <c r="H2008" s="150"/>
      <c r="I2008" s="15" t="s">
        <v>23</v>
      </c>
      <c r="J2008" s="15" t="s">
        <v>23</v>
      </c>
      <c r="K2008" s="13">
        <v>19.38</v>
      </c>
      <c r="L2008" s="13">
        <v>834.8611111111112</v>
      </c>
      <c r="M2008" s="198"/>
      <c r="N2008" s="69"/>
      <c r="O2008" s="11"/>
      <c r="Q2008" s="64"/>
      <c r="R2008" s="64"/>
      <c r="S2008" s="65"/>
      <c r="T2008" s="11"/>
    </row>
    <row r="2009" spans="1:20" ht="15" customHeight="1" outlineLevel="1" x14ac:dyDescent="0.25">
      <c r="A2009" s="148"/>
      <c r="B2009" s="148"/>
      <c r="C2009" s="148"/>
      <c r="D2009" s="138"/>
      <c r="E2009" s="138"/>
      <c r="F2009" s="50">
        <v>43466</v>
      </c>
      <c r="G2009" s="50">
        <v>43646</v>
      </c>
      <c r="H2009" s="150"/>
      <c r="I2009" s="15" t="s">
        <v>23</v>
      </c>
      <c r="J2009" s="15" t="s">
        <v>23</v>
      </c>
      <c r="K2009" s="13">
        <v>19</v>
      </c>
      <c r="L2009" s="13">
        <v>892.91</v>
      </c>
      <c r="M2009" s="196" t="s">
        <v>427</v>
      </c>
    </row>
    <row r="2010" spans="1:20" ht="15" customHeight="1" outlineLevel="1" x14ac:dyDescent="0.25">
      <c r="A2010" s="147"/>
      <c r="B2010" s="147"/>
      <c r="C2010" s="147"/>
      <c r="D2010" s="141"/>
      <c r="E2010" s="141"/>
      <c r="F2010" s="50">
        <v>43647</v>
      </c>
      <c r="G2010" s="50">
        <v>43830</v>
      </c>
      <c r="H2010" s="151"/>
      <c r="I2010" s="15" t="s">
        <v>23</v>
      </c>
      <c r="J2010" s="15" t="s">
        <v>23</v>
      </c>
      <c r="K2010" s="13">
        <v>19.38</v>
      </c>
      <c r="L2010" s="13">
        <v>910.75757575757575</v>
      </c>
      <c r="M2010" s="198"/>
    </row>
    <row r="2011" spans="1:20" ht="15" customHeight="1" outlineLevel="1" x14ac:dyDescent="0.25">
      <c r="A2011" s="146" t="s">
        <v>177</v>
      </c>
      <c r="B2011" s="146" t="s">
        <v>180</v>
      </c>
      <c r="C2011" s="146" t="s">
        <v>179</v>
      </c>
      <c r="D2011" s="137">
        <v>43453</v>
      </c>
      <c r="E2011" s="137" t="s">
        <v>622</v>
      </c>
      <c r="F2011" s="12">
        <v>43466</v>
      </c>
      <c r="G2011" s="12">
        <v>43646</v>
      </c>
      <c r="H2011" s="149"/>
      <c r="I2011" s="66">
        <v>40.08</v>
      </c>
      <c r="J2011" s="13">
        <v>874.34</v>
      </c>
      <c r="K2011" s="15" t="s">
        <v>23</v>
      </c>
      <c r="L2011" s="15" t="s">
        <v>23</v>
      </c>
      <c r="M2011" s="153"/>
    </row>
    <row r="2012" spans="1:20" ht="15" customHeight="1" outlineLevel="1" x14ac:dyDescent="0.25">
      <c r="A2012" s="148"/>
      <c r="B2012" s="148"/>
      <c r="C2012" s="148"/>
      <c r="D2012" s="141"/>
      <c r="E2012" s="141"/>
      <c r="F2012" s="12">
        <v>43647</v>
      </c>
      <c r="G2012" s="12">
        <v>43830</v>
      </c>
      <c r="H2012" s="151"/>
      <c r="I2012" s="66">
        <v>41.26</v>
      </c>
      <c r="J2012" s="13">
        <v>1055.53</v>
      </c>
      <c r="K2012" s="15" t="s">
        <v>23</v>
      </c>
      <c r="L2012" s="15" t="s">
        <v>23</v>
      </c>
      <c r="M2012" s="152"/>
    </row>
    <row r="2013" spans="1:20" ht="15" customHeight="1" outlineLevel="1" x14ac:dyDescent="0.25">
      <c r="A2013" s="148"/>
      <c r="B2013" s="148"/>
      <c r="C2013" s="148"/>
      <c r="D2013" s="137">
        <v>43454</v>
      </c>
      <c r="E2013" s="137" t="s">
        <v>741</v>
      </c>
      <c r="F2013" s="50">
        <v>43466</v>
      </c>
      <c r="G2013" s="50">
        <v>43646</v>
      </c>
      <c r="H2013" s="149"/>
      <c r="I2013" s="15" t="s">
        <v>23</v>
      </c>
      <c r="J2013" s="15" t="s">
        <v>23</v>
      </c>
      <c r="K2013" s="13">
        <v>19</v>
      </c>
      <c r="L2013" s="13">
        <v>854.14</v>
      </c>
      <c r="M2013" s="196" t="s">
        <v>420</v>
      </c>
    </row>
    <row r="2014" spans="1:20" ht="15" customHeight="1" outlineLevel="1" x14ac:dyDescent="0.25">
      <c r="A2014" s="148"/>
      <c r="B2014" s="148"/>
      <c r="C2014" s="148"/>
      <c r="D2014" s="138"/>
      <c r="E2014" s="138"/>
      <c r="F2014" s="50">
        <v>43647</v>
      </c>
      <c r="G2014" s="50">
        <v>43830</v>
      </c>
      <c r="H2014" s="150"/>
      <c r="I2014" s="15" t="s">
        <v>23</v>
      </c>
      <c r="J2014" s="15" t="s">
        <v>23</v>
      </c>
      <c r="K2014" s="13">
        <v>19.38</v>
      </c>
      <c r="L2014" s="13">
        <v>871.15942028985501</v>
      </c>
      <c r="M2014" s="198"/>
    </row>
    <row r="2015" spans="1:20" ht="15" customHeight="1" outlineLevel="1" x14ac:dyDescent="0.25">
      <c r="A2015" s="148"/>
      <c r="B2015" s="148"/>
      <c r="C2015" s="148"/>
      <c r="D2015" s="138"/>
      <c r="E2015" s="138"/>
      <c r="F2015" s="50">
        <v>43466</v>
      </c>
      <c r="G2015" s="50">
        <v>43646</v>
      </c>
      <c r="H2015" s="150"/>
      <c r="I2015" s="15" t="s">
        <v>23</v>
      </c>
      <c r="J2015" s="15" t="s">
        <v>23</v>
      </c>
      <c r="K2015" s="13">
        <v>19</v>
      </c>
      <c r="L2015" s="13">
        <v>935.43</v>
      </c>
      <c r="M2015" s="196" t="s">
        <v>421</v>
      </c>
    </row>
    <row r="2016" spans="1:20" ht="15" customHeight="1" outlineLevel="1" x14ac:dyDescent="0.25">
      <c r="A2016" s="148"/>
      <c r="B2016" s="148"/>
      <c r="C2016" s="148"/>
      <c r="D2016" s="138"/>
      <c r="E2016" s="138"/>
      <c r="F2016" s="50">
        <v>43647</v>
      </c>
      <c r="G2016" s="50">
        <v>43830</v>
      </c>
      <c r="H2016" s="150"/>
      <c r="I2016" s="15" t="s">
        <v>23</v>
      </c>
      <c r="J2016" s="15" t="s">
        <v>23</v>
      </c>
      <c r="K2016" s="13">
        <v>19.38</v>
      </c>
      <c r="L2016" s="13">
        <v>954.1269841269841</v>
      </c>
      <c r="M2016" s="198"/>
    </row>
    <row r="2017" spans="1:13" ht="15" customHeight="1" outlineLevel="1" x14ac:dyDescent="0.25">
      <c r="A2017" s="148"/>
      <c r="B2017" s="148"/>
      <c r="C2017" s="148"/>
      <c r="D2017" s="138"/>
      <c r="E2017" s="138"/>
      <c r="F2017" s="50">
        <v>43466</v>
      </c>
      <c r="G2017" s="50">
        <v>43646</v>
      </c>
      <c r="H2017" s="150"/>
      <c r="I2017" s="15" t="s">
        <v>23</v>
      </c>
      <c r="J2017" s="15" t="s">
        <v>23</v>
      </c>
      <c r="K2017" s="13">
        <v>19</v>
      </c>
      <c r="L2017" s="13">
        <v>796.38</v>
      </c>
      <c r="M2017" s="196" t="s">
        <v>422</v>
      </c>
    </row>
    <row r="2018" spans="1:13" ht="15" customHeight="1" outlineLevel="1" x14ac:dyDescent="0.25">
      <c r="A2018" s="148"/>
      <c r="B2018" s="148"/>
      <c r="C2018" s="148"/>
      <c r="D2018" s="138"/>
      <c r="E2018" s="138"/>
      <c r="F2018" s="50">
        <v>43647</v>
      </c>
      <c r="G2018" s="50">
        <v>43830</v>
      </c>
      <c r="H2018" s="150"/>
      <c r="I2018" s="15" t="s">
        <v>23</v>
      </c>
      <c r="J2018" s="15" t="s">
        <v>23</v>
      </c>
      <c r="K2018" s="13">
        <v>19.38</v>
      </c>
      <c r="L2018" s="13">
        <v>812.29729729729729</v>
      </c>
      <c r="M2018" s="198"/>
    </row>
    <row r="2019" spans="1:13" ht="15" customHeight="1" outlineLevel="1" x14ac:dyDescent="0.25">
      <c r="A2019" s="148"/>
      <c r="B2019" s="148"/>
      <c r="C2019" s="148"/>
      <c r="D2019" s="138"/>
      <c r="E2019" s="138"/>
      <c r="F2019" s="50">
        <v>43466</v>
      </c>
      <c r="G2019" s="50">
        <v>43646</v>
      </c>
      <c r="H2019" s="150"/>
      <c r="I2019" s="15" t="s">
        <v>23</v>
      </c>
      <c r="J2019" s="15" t="s">
        <v>23</v>
      </c>
      <c r="K2019" s="13">
        <v>19</v>
      </c>
      <c r="L2019" s="13">
        <v>854.09</v>
      </c>
      <c r="M2019" s="196" t="s">
        <v>423</v>
      </c>
    </row>
    <row r="2020" spans="1:13" ht="15" customHeight="1" outlineLevel="1" x14ac:dyDescent="0.25">
      <c r="A2020" s="148"/>
      <c r="B2020" s="148"/>
      <c r="C2020" s="148"/>
      <c r="D2020" s="138"/>
      <c r="E2020" s="138"/>
      <c r="F2020" s="50">
        <v>43647</v>
      </c>
      <c r="G2020" s="50">
        <v>43830</v>
      </c>
      <c r="H2020" s="150"/>
      <c r="I2020" s="15" t="s">
        <v>23</v>
      </c>
      <c r="J2020" s="15" t="s">
        <v>23</v>
      </c>
      <c r="K2020" s="13">
        <v>19.38</v>
      </c>
      <c r="L2020" s="13">
        <v>871.15942028985501</v>
      </c>
      <c r="M2020" s="198"/>
    </row>
    <row r="2021" spans="1:13" ht="15" customHeight="1" outlineLevel="1" x14ac:dyDescent="0.25">
      <c r="A2021" s="148"/>
      <c r="B2021" s="148"/>
      <c r="C2021" s="148"/>
      <c r="D2021" s="138"/>
      <c r="E2021" s="138"/>
      <c r="F2021" s="50">
        <v>43466</v>
      </c>
      <c r="G2021" s="50">
        <v>43646</v>
      </c>
      <c r="H2021" s="150"/>
      <c r="I2021" s="15" t="s">
        <v>23</v>
      </c>
      <c r="J2021" s="15" t="s">
        <v>23</v>
      </c>
      <c r="K2021" s="13">
        <v>19</v>
      </c>
      <c r="L2021" s="13">
        <v>892.91</v>
      </c>
      <c r="M2021" s="196" t="s">
        <v>424</v>
      </c>
    </row>
    <row r="2022" spans="1:13" ht="15" customHeight="1" outlineLevel="1" x14ac:dyDescent="0.25">
      <c r="A2022" s="148"/>
      <c r="B2022" s="148"/>
      <c r="C2022" s="148"/>
      <c r="D2022" s="138"/>
      <c r="E2022" s="138"/>
      <c r="F2022" s="50">
        <v>43647</v>
      </c>
      <c r="G2022" s="50">
        <v>43830</v>
      </c>
      <c r="H2022" s="150"/>
      <c r="I2022" s="15" t="s">
        <v>23</v>
      </c>
      <c r="J2022" s="15" t="s">
        <v>23</v>
      </c>
      <c r="K2022" s="13">
        <v>19.38</v>
      </c>
      <c r="L2022" s="13">
        <v>910.75757575757575</v>
      </c>
      <c r="M2022" s="198"/>
    </row>
    <row r="2023" spans="1:13" ht="15" customHeight="1" outlineLevel="1" x14ac:dyDescent="0.25">
      <c r="A2023" s="148"/>
      <c r="B2023" s="148"/>
      <c r="C2023" s="148"/>
      <c r="D2023" s="138"/>
      <c r="E2023" s="138"/>
      <c r="F2023" s="50">
        <v>43466</v>
      </c>
      <c r="G2023" s="50">
        <v>43646</v>
      </c>
      <c r="H2023" s="150"/>
      <c r="I2023" s="15" t="s">
        <v>23</v>
      </c>
      <c r="J2023" s="15" t="s">
        <v>23</v>
      </c>
      <c r="K2023" s="13">
        <v>19</v>
      </c>
      <c r="L2023" s="13">
        <v>966.1</v>
      </c>
      <c r="M2023" s="196" t="s">
        <v>425</v>
      </c>
    </row>
    <row r="2024" spans="1:13" ht="15" customHeight="1" outlineLevel="1" x14ac:dyDescent="0.25">
      <c r="A2024" s="148"/>
      <c r="B2024" s="148"/>
      <c r="C2024" s="148"/>
      <c r="D2024" s="138"/>
      <c r="E2024" s="138"/>
      <c r="F2024" s="50">
        <v>43647</v>
      </c>
      <c r="G2024" s="50">
        <v>43830</v>
      </c>
      <c r="H2024" s="150"/>
      <c r="I2024" s="15" t="s">
        <v>23</v>
      </c>
      <c r="J2024" s="15" t="s">
        <v>23</v>
      </c>
      <c r="K2024" s="13">
        <v>19.38</v>
      </c>
      <c r="L2024" s="13">
        <v>985.40983606557381</v>
      </c>
      <c r="M2024" s="198"/>
    </row>
    <row r="2025" spans="1:13" ht="15" customHeight="1" outlineLevel="1" x14ac:dyDescent="0.25">
      <c r="A2025" s="148"/>
      <c r="B2025" s="148"/>
      <c r="C2025" s="148"/>
      <c r="D2025" s="138"/>
      <c r="E2025" s="138"/>
      <c r="F2025" s="50">
        <v>43466</v>
      </c>
      <c r="G2025" s="50">
        <v>43646</v>
      </c>
      <c r="H2025" s="150"/>
      <c r="I2025" s="15" t="s">
        <v>23</v>
      </c>
      <c r="J2025" s="15" t="s">
        <v>23</v>
      </c>
      <c r="K2025" s="13">
        <v>19</v>
      </c>
      <c r="L2025" s="13">
        <v>818.5</v>
      </c>
      <c r="M2025" s="196" t="s">
        <v>426</v>
      </c>
    </row>
    <row r="2026" spans="1:13" ht="15" customHeight="1" outlineLevel="1" x14ac:dyDescent="0.25">
      <c r="A2026" s="148"/>
      <c r="B2026" s="148"/>
      <c r="C2026" s="148"/>
      <c r="D2026" s="138"/>
      <c r="E2026" s="138"/>
      <c r="F2026" s="50">
        <v>43647</v>
      </c>
      <c r="G2026" s="50">
        <v>43830</v>
      </c>
      <c r="H2026" s="150"/>
      <c r="I2026" s="15" t="s">
        <v>23</v>
      </c>
      <c r="J2026" s="15" t="s">
        <v>23</v>
      </c>
      <c r="K2026" s="13">
        <v>19.38</v>
      </c>
      <c r="L2026" s="13">
        <v>834.8611111111112</v>
      </c>
      <c r="M2026" s="198"/>
    </row>
    <row r="2027" spans="1:13" ht="15" customHeight="1" outlineLevel="1" x14ac:dyDescent="0.25">
      <c r="A2027" s="148"/>
      <c r="B2027" s="148"/>
      <c r="C2027" s="148"/>
      <c r="D2027" s="138"/>
      <c r="E2027" s="138"/>
      <c r="F2027" s="50">
        <v>43466</v>
      </c>
      <c r="G2027" s="50">
        <v>43646</v>
      </c>
      <c r="H2027" s="150"/>
      <c r="I2027" s="15" t="s">
        <v>23</v>
      </c>
      <c r="J2027" s="15" t="s">
        <v>23</v>
      </c>
      <c r="K2027" s="13">
        <v>19</v>
      </c>
      <c r="L2027" s="13">
        <v>892.91</v>
      </c>
      <c r="M2027" s="196" t="s">
        <v>427</v>
      </c>
    </row>
    <row r="2028" spans="1:13" ht="15" customHeight="1" outlineLevel="1" x14ac:dyDescent="0.25">
      <c r="A2028" s="147"/>
      <c r="B2028" s="147"/>
      <c r="C2028" s="147"/>
      <c r="D2028" s="141"/>
      <c r="E2028" s="141"/>
      <c r="F2028" s="50">
        <v>43647</v>
      </c>
      <c r="G2028" s="50">
        <v>43830</v>
      </c>
      <c r="H2028" s="151"/>
      <c r="I2028" s="15" t="s">
        <v>23</v>
      </c>
      <c r="J2028" s="15" t="s">
        <v>23</v>
      </c>
      <c r="K2028" s="13">
        <v>19.38</v>
      </c>
      <c r="L2028" s="13">
        <v>910.75757575757575</v>
      </c>
      <c r="M2028" s="198"/>
    </row>
    <row r="2029" spans="1:13" ht="15" customHeight="1" outlineLevel="1" x14ac:dyDescent="0.25">
      <c r="A2029" s="146" t="s">
        <v>177</v>
      </c>
      <c r="B2029" s="146" t="s">
        <v>382</v>
      </c>
      <c r="C2029" s="146" t="s">
        <v>179</v>
      </c>
      <c r="D2029" s="137">
        <v>43453</v>
      </c>
      <c r="E2029" s="137" t="s">
        <v>622</v>
      </c>
      <c r="F2029" s="12">
        <v>43466</v>
      </c>
      <c r="G2029" s="12">
        <v>43646</v>
      </c>
      <c r="H2029" s="149"/>
      <c r="I2029" s="66">
        <v>40.08</v>
      </c>
      <c r="J2029" s="13">
        <v>874.34</v>
      </c>
      <c r="K2029" s="15" t="s">
        <v>23</v>
      </c>
      <c r="L2029" s="15" t="s">
        <v>23</v>
      </c>
      <c r="M2029" s="153"/>
    </row>
    <row r="2030" spans="1:13" ht="15" customHeight="1" outlineLevel="1" x14ac:dyDescent="0.25">
      <c r="A2030" s="148"/>
      <c r="B2030" s="148"/>
      <c r="C2030" s="148"/>
      <c r="D2030" s="141"/>
      <c r="E2030" s="141"/>
      <c r="F2030" s="12">
        <v>43647</v>
      </c>
      <c r="G2030" s="12">
        <v>43830</v>
      </c>
      <c r="H2030" s="151"/>
      <c r="I2030" s="66">
        <v>41.26</v>
      </c>
      <c r="J2030" s="13">
        <v>1055.53</v>
      </c>
      <c r="K2030" s="15" t="s">
        <v>23</v>
      </c>
      <c r="L2030" s="15" t="s">
        <v>23</v>
      </c>
      <c r="M2030" s="152"/>
    </row>
    <row r="2031" spans="1:13" ht="15" customHeight="1" outlineLevel="1" x14ac:dyDescent="0.25">
      <c r="A2031" s="148"/>
      <c r="B2031" s="148"/>
      <c r="C2031" s="148"/>
      <c r="D2031" s="137">
        <v>43454</v>
      </c>
      <c r="E2031" s="137" t="s">
        <v>741</v>
      </c>
      <c r="F2031" s="50">
        <v>43466</v>
      </c>
      <c r="G2031" s="50">
        <v>43646</v>
      </c>
      <c r="H2031" s="149"/>
      <c r="I2031" s="15" t="s">
        <v>23</v>
      </c>
      <c r="J2031" s="15" t="s">
        <v>23</v>
      </c>
      <c r="K2031" s="13">
        <v>19</v>
      </c>
      <c r="L2031" s="13">
        <v>854.14</v>
      </c>
      <c r="M2031" s="196" t="s">
        <v>420</v>
      </c>
    </row>
    <row r="2032" spans="1:13" ht="15" customHeight="1" outlineLevel="1" x14ac:dyDescent="0.25">
      <c r="A2032" s="148"/>
      <c r="B2032" s="148"/>
      <c r="C2032" s="148"/>
      <c r="D2032" s="138"/>
      <c r="E2032" s="138"/>
      <c r="F2032" s="50">
        <v>43647</v>
      </c>
      <c r="G2032" s="50">
        <v>43830</v>
      </c>
      <c r="H2032" s="150"/>
      <c r="I2032" s="15" t="s">
        <v>23</v>
      </c>
      <c r="J2032" s="15" t="s">
        <v>23</v>
      </c>
      <c r="K2032" s="13">
        <v>19.38</v>
      </c>
      <c r="L2032" s="13">
        <v>871.15942028985501</v>
      </c>
      <c r="M2032" s="198"/>
    </row>
    <row r="2033" spans="1:13" ht="15" customHeight="1" outlineLevel="1" x14ac:dyDescent="0.25">
      <c r="A2033" s="148"/>
      <c r="B2033" s="148"/>
      <c r="C2033" s="148"/>
      <c r="D2033" s="138"/>
      <c r="E2033" s="138"/>
      <c r="F2033" s="50">
        <v>43466</v>
      </c>
      <c r="G2033" s="50">
        <v>43646</v>
      </c>
      <c r="H2033" s="150"/>
      <c r="I2033" s="15" t="s">
        <v>23</v>
      </c>
      <c r="J2033" s="15" t="s">
        <v>23</v>
      </c>
      <c r="K2033" s="13">
        <v>19</v>
      </c>
      <c r="L2033" s="13">
        <v>935.43</v>
      </c>
      <c r="M2033" s="196" t="s">
        <v>421</v>
      </c>
    </row>
    <row r="2034" spans="1:13" ht="15" customHeight="1" outlineLevel="1" x14ac:dyDescent="0.25">
      <c r="A2034" s="148"/>
      <c r="B2034" s="148"/>
      <c r="C2034" s="148"/>
      <c r="D2034" s="138"/>
      <c r="E2034" s="138"/>
      <c r="F2034" s="50">
        <v>43647</v>
      </c>
      <c r="G2034" s="50">
        <v>43830</v>
      </c>
      <c r="H2034" s="150"/>
      <c r="I2034" s="15" t="s">
        <v>23</v>
      </c>
      <c r="J2034" s="15" t="s">
        <v>23</v>
      </c>
      <c r="K2034" s="13">
        <v>19.38</v>
      </c>
      <c r="L2034" s="13">
        <v>954.1269841269841</v>
      </c>
      <c r="M2034" s="198"/>
    </row>
    <row r="2035" spans="1:13" ht="15" customHeight="1" outlineLevel="1" x14ac:dyDescent="0.25">
      <c r="A2035" s="148"/>
      <c r="B2035" s="148"/>
      <c r="C2035" s="148"/>
      <c r="D2035" s="138"/>
      <c r="E2035" s="138"/>
      <c r="F2035" s="50">
        <v>43466</v>
      </c>
      <c r="G2035" s="50">
        <v>43646</v>
      </c>
      <c r="H2035" s="150"/>
      <c r="I2035" s="15" t="s">
        <v>23</v>
      </c>
      <c r="J2035" s="15" t="s">
        <v>23</v>
      </c>
      <c r="K2035" s="13">
        <v>19</v>
      </c>
      <c r="L2035" s="13">
        <v>796.38</v>
      </c>
      <c r="M2035" s="196" t="s">
        <v>422</v>
      </c>
    </row>
    <row r="2036" spans="1:13" ht="15" customHeight="1" outlineLevel="1" x14ac:dyDescent="0.25">
      <c r="A2036" s="148"/>
      <c r="B2036" s="148"/>
      <c r="C2036" s="148"/>
      <c r="D2036" s="138"/>
      <c r="E2036" s="138"/>
      <c r="F2036" s="50">
        <v>43647</v>
      </c>
      <c r="G2036" s="50">
        <v>43830</v>
      </c>
      <c r="H2036" s="150"/>
      <c r="I2036" s="15" t="s">
        <v>23</v>
      </c>
      <c r="J2036" s="15" t="s">
        <v>23</v>
      </c>
      <c r="K2036" s="13">
        <v>19.38</v>
      </c>
      <c r="L2036" s="13">
        <v>812.29729729729729</v>
      </c>
      <c r="M2036" s="198"/>
    </row>
    <row r="2037" spans="1:13" ht="15" customHeight="1" outlineLevel="1" x14ac:dyDescent="0.25">
      <c r="A2037" s="148"/>
      <c r="B2037" s="148"/>
      <c r="C2037" s="148"/>
      <c r="D2037" s="138"/>
      <c r="E2037" s="138"/>
      <c r="F2037" s="50">
        <v>43466</v>
      </c>
      <c r="G2037" s="50">
        <v>43646</v>
      </c>
      <c r="H2037" s="150"/>
      <c r="I2037" s="15" t="s">
        <v>23</v>
      </c>
      <c r="J2037" s="15" t="s">
        <v>23</v>
      </c>
      <c r="K2037" s="13">
        <v>19</v>
      </c>
      <c r="L2037" s="13">
        <v>854.09</v>
      </c>
      <c r="M2037" s="196" t="s">
        <v>423</v>
      </c>
    </row>
    <row r="2038" spans="1:13" ht="15" customHeight="1" outlineLevel="1" x14ac:dyDescent="0.25">
      <c r="A2038" s="148"/>
      <c r="B2038" s="148"/>
      <c r="C2038" s="148"/>
      <c r="D2038" s="138"/>
      <c r="E2038" s="138"/>
      <c r="F2038" s="50">
        <v>43647</v>
      </c>
      <c r="G2038" s="50">
        <v>43830</v>
      </c>
      <c r="H2038" s="150"/>
      <c r="I2038" s="15" t="s">
        <v>23</v>
      </c>
      <c r="J2038" s="15" t="s">
        <v>23</v>
      </c>
      <c r="K2038" s="13">
        <v>19.38</v>
      </c>
      <c r="L2038" s="13">
        <v>871.15942028985501</v>
      </c>
      <c r="M2038" s="198"/>
    </row>
    <row r="2039" spans="1:13" ht="15" customHeight="1" outlineLevel="1" x14ac:dyDescent="0.25">
      <c r="A2039" s="148"/>
      <c r="B2039" s="148"/>
      <c r="C2039" s="148"/>
      <c r="D2039" s="138"/>
      <c r="E2039" s="138"/>
      <c r="F2039" s="50">
        <v>43466</v>
      </c>
      <c r="G2039" s="50">
        <v>43646</v>
      </c>
      <c r="H2039" s="150"/>
      <c r="I2039" s="15" t="s">
        <v>23</v>
      </c>
      <c r="J2039" s="15" t="s">
        <v>23</v>
      </c>
      <c r="K2039" s="13">
        <v>19</v>
      </c>
      <c r="L2039" s="13">
        <v>892.91</v>
      </c>
      <c r="M2039" s="196" t="s">
        <v>424</v>
      </c>
    </row>
    <row r="2040" spans="1:13" ht="15" customHeight="1" outlineLevel="1" x14ac:dyDescent="0.25">
      <c r="A2040" s="148"/>
      <c r="B2040" s="148"/>
      <c r="C2040" s="148"/>
      <c r="D2040" s="138"/>
      <c r="E2040" s="138"/>
      <c r="F2040" s="50">
        <v>43647</v>
      </c>
      <c r="G2040" s="50">
        <v>43830</v>
      </c>
      <c r="H2040" s="150"/>
      <c r="I2040" s="15" t="s">
        <v>23</v>
      </c>
      <c r="J2040" s="15" t="s">
        <v>23</v>
      </c>
      <c r="K2040" s="13">
        <v>19.38</v>
      </c>
      <c r="L2040" s="13">
        <v>910.75757575757575</v>
      </c>
      <c r="M2040" s="198"/>
    </row>
    <row r="2041" spans="1:13" ht="15" customHeight="1" outlineLevel="1" x14ac:dyDescent="0.25">
      <c r="A2041" s="148"/>
      <c r="B2041" s="148"/>
      <c r="C2041" s="148"/>
      <c r="D2041" s="138"/>
      <c r="E2041" s="138"/>
      <c r="F2041" s="50">
        <v>43466</v>
      </c>
      <c r="G2041" s="50">
        <v>43646</v>
      </c>
      <c r="H2041" s="150"/>
      <c r="I2041" s="15" t="s">
        <v>23</v>
      </c>
      <c r="J2041" s="15" t="s">
        <v>23</v>
      </c>
      <c r="K2041" s="13">
        <v>19</v>
      </c>
      <c r="L2041" s="13">
        <v>966.1</v>
      </c>
      <c r="M2041" s="196" t="s">
        <v>425</v>
      </c>
    </row>
    <row r="2042" spans="1:13" ht="15" customHeight="1" outlineLevel="1" x14ac:dyDescent="0.25">
      <c r="A2042" s="148"/>
      <c r="B2042" s="148"/>
      <c r="C2042" s="148"/>
      <c r="D2042" s="138"/>
      <c r="E2042" s="138"/>
      <c r="F2042" s="50">
        <v>43647</v>
      </c>
      <c r="G2042" s="50">
        <v>43830</v>
      </c>
      <c r="H2042" s="150"/>
      <c r="I2042" s="15" t="s">
        <v>23</v>
      </c>
      <c r="J2042" s="15" t="s">
        <v>23</v>
      </c>
      <c r="K2042" s="13">
        <v>19.38</v>
      </c>
      <c r="L2042" s="13">
        <v>985.40983606557381</v>
      </c>
      <c r="M2042" s="198"/>
    </row>
    <row r="2043" spans="1:13" ht="15" customHeight="1" outlineLevel="1" x14ac:dyDescent="0.25">
      <c r="A2043" s="148"/>
      <c r="B2043" s="148"/>
      <c r="C2043" s="148"/>
      <c r="D2043" s="138"/>
      <c r="E2043" s="138"/>
      <c r="F2043" s="50">
        <v>43466</v>
      </c>
      <c r="G2043" s="50">
        <v>43646</v>
      </c>
      <c r="H2043" s="150"/>
      <c r="I2043" s="15" t="s">
        <v>23</v>
      </c>
      <c r="J2043" s="15" t="s">
        <v>23</v>
      </c>
      <c r="K2043" s="13">
        <v>19</v>
      </c>
      <c r="L2043" s="13">
        <v>818.5</v>
      </c>
      <c r="M2043" s="196" t="s">
        <v>426</v>
      </c>
    </row>
    <row r="2044" spans="1:13" ht="15" customHeight="1" outlineLevel="1" x14ac:dyDescent="0.25">
      <c r="A2044" s="148"/>
      <c r="B2044" s="148"/>
      <c r="C2044" s="148"/>
      <c r="D2044" s="138"/>
      <c r="E2044" s="138"/>
      <c r="F2044" s="50">
        <v>43647</v>
      </c>
      <c r="G2044" s="50">
        <v>43830</v>
      </c>
      <c r="H2044" s="150"/>
      <c r="I2044" s="15" t="s">
        <v>23</v>
      </c>
      <c r="J2044" s="15" t="s">
        <v>23</v>
      </c>
      <c r="K2044" s="13">
        <v>19.38</v>
      </c>
      <c r="L2044" s="13">
        <v>834.8611111111112</v>
      </c>
      <c r="M2044" s="198"/>
    </row>
    <row r="2045" spans="1:13" ht="15" customHeight="1" outlineLevel="1" x14ac:dyDescent="0.25">
      <c r="A2045" s="148"/>
      <c r="B2045" s="148"/>
      <c r="C2045" s="148"/>
      <c r="D2045" s="138"/>
      <c r="E2045" s="138"/>
      <c r="F2045" s="50">
        <v>43466</v>
      </c>
      <c r="G2045" s="50">
        <v>43646</v>
      </c>
      <c r="H2045" s="150"/>
      <c r="I2045" s="15" t="s">
        <v>23</v>
      </c>
      <c r="J2045" s="15" t="s">
        <v>23</v>
      </c>
      <c r="K2045" s="13">
        <v>19</v>
      </c>
      <c r="L2045" s="13">
        <v>892.91</v>
      </c>
      <c r="M2045" s="196" t="s">
        <v>427</v>
      </c>
    </row>
    <row r="2046" spans="1:13" ht="15" customHeight="1" outlineLevel="1" x14ac:dyDescent="0.25">
      <c r="A2046" s="147"/>
      <c r="B2046" s="147"/>
      <c r="C2046" s="147"/>
      <c r="D2046" s="141"/>
      <c r="E2046" s="141"/>
      <c r="F2046" s="50">
        <v>43647</v>
      </c>
      <c r="G2046" s="50">
        <v>43830</v>
      </c>
      <c r="H2046" s="151"/>
      <c r="I2046" s="15" t="s">
        <v>23</v>
      </c>
      <c r="J2046" s="15" t="s">
        <v>23</v>
      </c>
      <c r="K2046" s="13">
        <v>19.38</v>
      </c>
      <c r="L2046" s="13">
        <v>910.75757575757575</v>
      </c>
      <c r="M2046" s="198"/>
    </row>
    <row r="2047" spans="1:13" ht="15" customHeight="1" outlineLevel="1" x14ac:dyDescent="0.25">
      <c r="A2047" s="59">
        <v>8</v>
      </c>
      <c r="B2047" s="7" t="s">
        <v>151</v>
      </c>
      <c r="C2047" s="60"/>
      <c r="D2047" s="61"/>
      <c r="E2047" s="61"/>
      <c r="F2047" s="61"/>
      <c r="G2047" s="61"/>
      <c r="H2047" s="61"/>
      <c r="I2047" s="61"/>
      <c r="J2047" s="61"/>
      <c r="K2047" s="62"/>
      <c r="L2047" s="62"/>
      <c r="M2047" s="63"/>
    </row>
    <row r="2048" spans="1:13" ht="15" customHeight="1" outlineLevel="1" x14ac:dyDescent="0.25">
      <c r="A2048" s="146" t="s">
        <v>20</v>
      </c>
      <c r="B2048" s="146" t="s">
        <v>21</v>
      </c>
      <c r="C2048" s="146" t="s">
        <v>290</v>
      </c>
      <c r="D2048" s="137">
        <v>42723</v>
      </c>
      <c r="E2048" s="137" t="s">
        <v>695</v>
      </c>
      <c r="F2048" s="12">
        <v>43466</v>
      </c>
      <c r="G2048" s="12">
        <v>43646</v>
      </c>
      <c r="H2048" s="149" t="s">
        <v>797</v>
      </c>
      <c r="I2048" s="66">
        <v>40.51</v>
      </c>
      <c r="J2048" s="13">
        <v>2019.3</v>
      </c>
      <c r="K2048" s="15" t="s">
        <v>23</v>
      </c>
      <c r="L2048" s="15" t="s">
        <v>23</v>
      </c>
      <c r="M2048" s="153"/>
    </row>
    <row r="2049" spans="1:13" ht="15" customHeight="1" outlineLevel="1" x14ac:dyDescent="0.25">
      <c r="A2049" s="148"/>
      <c r="B2049" s="148"/>
      <c r="C2049" s="148"/>
      <c r="D2049" s="141"/>
      <c r="E2049" s="141"/>
      <c r="F2049" s="12">
        <v>43647</v>
      </c>
      <c r="G2049" s="12">
        <v>43830</v>
      </c>
      <c r="H2049" s="151"/>
      <c r="I2049" s="66">
        <v>41.7</v>
      </c>
      <c r="J2049" s="13">
        <v>2069.86</v>
      </c>
      <c r="K2049" s="15" t="s">
        <v>23</v>
      </c>
      <c r="L2049" s="15" t="s">
        <v>23</v>
      </c>
      <c r="M2049" s="152"/>
    </row>
    <row r="2050" spans="1:13" ht="15" customHeight="1" outlineLevel="1" x14ac:dyDescent="0.25">
      <c r="A2050" s="148"/>
      <c r="B2050" s="148"/>
      <c r="C2050" s="148"/>
      <c r="D2050" s="137">
        <v>43454</v>
      </c>
      <c r="E2050" s="137" t="s">
        <v>796</v>
      </c>
      <c r="F2050" s="50">
        <v>43466</v>
      </c>
      <c r="G2050" s="50">
        <v>43646</v>
      </c>
      <c r="H2050" s="149"/>
      <c r="I2050" s="15" t="s">
        <v>23</v>
      </c>
      <c r="J2050" s="15" t="s">
        <v>23</v>
      </c>
      <c r="K2050" s="13">
        <v>34.067796610169395</v>
      </c>
      <c r="L2050" s="13">
        <v>1386.1459100957954</v>
      </c>
      <c r="M2050" s="196" t="s">
        <v>420</v>
      </c>
    </row>
    <row r="2051" spans="1:13" ht="15" customHeight="1" outlineLevel="1" x14ac:dyDescent="0.25">
      <c r="A2051" s="148"/>
      <c r="B2051" s="148"/>
      <c r="C2051" s="148"/>
      <c r="D2051" s="138"/>
      <c r="E2051" s="138"/>
      <c r="F2051" s="50">
        <v>43647</v>
      </c>
      <c r="G2051" s="50">
        <v>43830</v>
      </c>
      <c r="H2051" s="150"/>
      <c r="I2051" s="15" t="s">
        <v>23</v>
      </c>
      <c r="J2051" s="15" t="s">
        <v>23</v>
      </c>
      <c r="K2051" s="13">
        <v>34.749152542372784</v>
      </c>
      <c r="L2051" s="13">
        <v>1413.8688282977114</v>
      </c>
      <c r="M2051" s="198"/>
    </row>
    <row r="2052" spans="1:13" ht="15" customHeight="1" outlineLevel="1" x14ac:dyDescent="0.25">
      <c r="A2052" s="148"/>
      <c r="B2052" s="148"/>
      <c r="C2052" s="148"/>
      <c r="D2052" s="138"/>
      <c r="E2052" s="138"/>
      <c r="F2052" s="50">
        <v>43466</v>
      </c>
      <c r="G2052" s="50">
        <v>43646</v>
      </c>
      <c r="H2052" s="150"/>
      <c r="I2052" s="15" t="s">
        <v>23</v>
      </c>
      <c r="J2052" s="15" t="s">
        <v>23</v>
      </c>
      <c r="K2052" s="13">
        <v>34.067796610169395</v>
      </c>
      <c r="L2052" s="13">
        <v>1518.1598062953951</v>
      </c>
      <c r="M2052" s="196" t="s">
        <v>421</v>
      </c>
    </row>
    <row r="2053" spans="1:13" ht="15" customHeight="1" outlineLevel="1" x14ac:dyDescent="0.25">
      <c r="A2053" s="148"/>
      <c r="B2053" s="148"/>
      <c r="C2053" s="148"/>
      <c r="D2053" s="138"/>
      <c r="E2053" s="138"/>
      <c r="F2053" s="50">
        <v>43647</v>
      </c>
      <c r="G2053" s="50">
        <v>43830</v>
      </c>
      <c r="H2053" s="150"/>
      <c r="I2053" s="15" t="s">
        <v>23</v>
      </c>
      <c r="J2053" s="15" t="s">
        <v>23</v>
      </c>
      <c r="K2053" s="13">
        <v>34.749152542372784</v>
      </c>
      <c r="L2053" s="13">
        <v>1548.5230024213031</v>
      </c>
      <c r="M2053" s="198"/>
    </row>
    <row r="2054" spans="1:13" ht="15" customHeight="1" outlineLevel="1" x14ac:dyDescent="0.25">
      <c r="A2054" s="148"/>
      <c r="B2054" s="148"/>
      <c r="C2054" s="148"/>
      <c r="D2054" s="138"/>
      <c r="E2054" s="138"/>
      <c r="F2054" s="50">
        <v>43466</v>
      </c>
      <c r="G2054" s="50">
        <v>43646</v>
      </c>
      <c r="H2054" s="150"/>
      <c r="I2054" s="15" t="s">
        <v>23</v>
      </c>
      <c r="J2054" s="15" t="s">
        <v>23</v>
      </c>
      <c r="K2054" s="13">
        <v>34.067796610169395</v>
      </c>
      <c r="L2054" s="13">
        <v>1292.4874026568905</v>
      </c>
      <c r="M2054" s="196" t="s">
        <v>422</v>
      </c>
    </row>
    <row r="2055" spans="1:13" ht="15" customHeight="1" outlineLevel="1" x14ac:dyDescent="0.25">
      <c r="A2055" s="148"/>
      <c r="B2055" s="148"/>
      <c r="C2055" s="148"/>
      <c r="D2055" s="138"/>
      <c r="E2055" s="138"/>
      <c r="F2055" s="50">
        <v>43647</v>
      </c>
      <c r="G2055" s="50">
        <v>43830</v>
      </c>
      <c r="H2055" s="150"/>
      <c r="I2055" s="15" t="s">
        <v>23</v>
      </c>
      <c r="J2055" s="15" t="s">
        <v>23</v>
      </c>
      <c r="K2055" s="13">
        <v>34.749152542372784</v>
      </c>
      <c r="L2055" s="13">
        <v>1318.3371507100283</v>
      </c>
      <c r="M2055" s="198"/>
    </row>
    <row r="2056" spans="1:13" ht="15" customHeight="1" outlineLevel="1" x14ac:dyDescent="0.25">
      <c r="A2056" s="148"/>
      <c r="B2056" s="148"/>
      <c r="C2056" s="148"/>
      <c r="D2056" s="138"/>
      <c r="E2056" s="138"/>
      <c r="F2056" s="50">
        <v>43466</v>
      </c>
      <c r="G2056" s="50">
        <v>43646</v>
      </c>
      <c r="H2056" s="150"/>
      <c r="I2056" s="15" t="s">
        <v>23</v>
      </c>
      <c r="J2056" s="15" t="s">
        <v>23</v>
      </c>
      <c r="K2056" s="13">
        <v>34.067796610169395</v>
      </c>
      <c r="L2056" s="13">
        <v>1386.1459100957954</v>
      </c>
      <c r="M2056" s="196" t="s">
        <v>423</v>
      </c>
    </row>
    <row r="2057" spans="1:13" ht="15" customHeight="1" outlineLevel="1" x14ac:dyDescent="0.25">
      <c r="A2057" s="148"/>
      <c r="B2057" s="148"/>
      <c r="C2057" s="148"/>
      <c r="D2057" s="138"/>
      <c r="E2057" s="138"/>
      <c r="F2057" s="50">
        <v>43647</v>
      </c>
      <c r="G2057" s="50">
        <v>43830</v>
      </c>
      <c r="H2057" s="150"/>
      <c r="I2057" s="15" t="s">
        <v>23</v>
      </c>
      <c r="J2057" s="15" t="s">
        <v>23</v>
      </c>
      <c r="K2057" s="13">
        <v>34.749152542372784</v>
      </c>
      <c r="L2057" s="13">
        <v>1413.8688282977114</v>
      </c>
      <c r="M2057" s="198"/>
    </row>
    <row r="2058" spans="1:13" ht="15" customHeight="1" outlineLevel="1" x14ac:dyDescent="0.25">
      <c r="A2058" s="148"/>
      <c r="B2058" s="148"/>
      <c r="C2058" s="148"/>
      <c r="D2058" s="138"/>
      <c r="E2058" s="138"/>
      <c r="F2058" s="50">
        <v>43466</v>
      </c>
      <c r="G2058" s="50">
        <v>43646</v>
      </c>
      <c r="H2058" s="150"/>
      <c r="I2058" s="15" t="s">
        <v>23</v>
      </c>
      <c r="J2058" s="15" t="s">
        <v>23</v>
      </c>
      <c r="K2058" s="13">
        <v>34.067796610169395</v>
      </c>
      <c r="L2058" s="13">
        <v>1449.152542372877</v>
      </c>
      <c r="M2058" s="196" t="s">
        <v>424</v>
      </c>
    </row>
    <row r="2059" spans="1:13" ht="15" customHeight="1" outlineLevel="1" x14ac:dyDescent="0.25">
      <c r="A2059" s="148"/>
      <c r="B2059" s="148"/>
      <c r="C2059" s="148"/>
      <c r="D2059" s="138"/>
      <c r="E2059" s="138"/>
      <c r="F2059" s="50">
        <v>43647</v>
      </c>
      <c r="G2059" s="50">
        <v>43830</v>
      </c>
      <c r="H2059" s="150"/>
      <c r="I2059" s="15" t="s">
        <v>23</v>
      </c>
      <c r="J2059" s="15" t="s">
        <v>23</v>
      </c>
      <c r="K2059" s="13">
        <v>34.749152542372784</v>
      </c>
      <c r="L2059" s="13">
        <v>1478.1355932203346</v>
      </c>
      <c r="M2059" s="198"/>
    </row>
    <row r="2060" spans="1:13" ht="15" customHeight="1" outlineLevel="1" x14ac:dyDescent="0.25">
      <c r="A2060" s="148"/>
      <c r="B2060" s="148"/>
      <c r="C2060" s="148"/>
      <c r="D2060" s="138"/>
      <c r="E2060" s="138"/>
      <c r="F2060" s="50">
        <v>43466</v>
      </c>
      <c r="G2060" s="50">
        <v>43646</v>
      </c>
      <c r="H2060" s="150"/>
      <c r="I2060" s="15" t="s">
        <v>23</v>
      </c>
      <c r="J2060" s="15" t="s">
        <v>23</v>
      </c>
      <c r="K2060" s="13">
        <v>34.067796610169395</v>
      </c>
      <c r="L2060" s="13">
        <v>1567.9355376493425</v>
      </c>
      <c r="M2060" s="196" t="s">
        <v>425</v>
      </c>
    </row>
    <row r="2061" spans="1:13" ht="15" customHeight="1" outlineLevel="1" x14ac:dyDescent="0.25">
      <c r="A2061" s="148"/>
      <c r="B2061" s="148"/>
      <c r="C2061" s="148"/>
      <c r="D2061" s="138"/>
      <c r="E2061" s="138"/>
      <c r="F2061" s="50">
        <v>43647</v>
      </c>
      <c r="G2061" s="50">
        <v>43830</v>
      </c>
      <c r="H2061" s="150"/>
      <c r="I2061" s="15" t="s">
        <v>23</v>
      </c>
      <c r="J2061" s="15" t="s">
        <v>23</v>
      </c>
      <c r="K2061" s="13">
        <v>34.749152542372784</v>
      </c>
      <c r="L2061" s="13">
        <v>1599.2942484023295</v>
      </c>
      <c r="M2061" s="198"/>
    </row>
    <row r="2062" spans="1:13" ht="15" customHeight="1" outlineLevel="1" x14ac:dyDescent="0.25">
      <c r="A2062" s="148"/>
      <c r="B2062" s="148"/>
      <c r="C2062" s="148"/>
      <c r="D2062" s="138"/>
      <c r="E2062" s="138"/>
      <c r="F2062" s="50">
        <v>43466</v>
      </c>
      <c r="G2062" s="50">
        <v>43646</v>
      </c>
      <c r="H2062" s="150"/>
      <c r="I2062" s="15" t="s">
        <v>23</v>
      </c>
      <c r="J2062" s="15" t="s">
        <v>23</v>
      </c>
      <c r="K2062" s="13">
        <v>34.067796610169395</v>
      </c>
      <c r="L2062" s="13">
        <v>1328.3898305084708</v>
      </c>
      <c r="M2062" s="196" t="s">
        <v>426</v>
      </c>
    </row>
    <row r="2063" spans="1:13" ht="15" customHeight="1" outlineLevel="1" x14ac:dyDescent="0.25">
      <c r="A2063" s="148"/>
      <c r="B2063" s="148"/>
      <c r="C2063" s="148"/>
      <c r="D2063" s="138"/>
      <c r="E2063" s="138"/>
      <c r="F2063" s="50">
        <v>43647</v>
      </c>
      <c r="G2063" s="50">
        <v>43830</v>
      </c>
      <c r="H2063" s="150"/>
      <c r="I2063" s="15" t="s">
        <v>23</v>
      </c>
      <c r="J2063" s="15" t="s">
        <v>23</v>
      </c>
      <c r="K2063" s="13">
        <v>34.749152542372784</v>
      </c>
      <c r="L2063" s="13">
        <v>1354.9576271186402</v>
      </c>
      <c r="M2063" s="198"/>
    </row>
    <row r="2064" spans="1:13" ht="15" customHeight="1" outlineLevel="1" x14ac:dyDescent="0.25">
      <c r="A2064" s="148"/>
      <c r="B2064" s="148"/>
      <c r="C2064" s="148"/>
      <c r="D2064" s="138"/>
      <c r="E2064" s="138"/>
      <c r="F2064" s="50">
        <v>43466</v>
      </c>
      <c r="G2064" s="50">
        <v>43646</v>
      </c>
      <c r="H2064" s="150"/>
      <c r="I2064" s="15" t="s">
        <v>23</v>
      </c>
      <c r="J2064" s="15" t="s">
        <v>23</v>
      </c>
      <c r="K2064" s="13">
        <v>34.067796610169395</v>
      </c>
      <c r="L2064" s="13">
        <v>1449.152542372877</v>
      </c>
      <c r="M2064" s="196" t="s">
        <v>427</v>
      </c>
    </row>
    <row r="2065" spans="1:13" ht="15" customHeight="1" outlineLevel="1" x14ac:dyDescent="0.25">
      <c r="A2065" s="147"/>
      <c r="B2065" s="147"/>
      <c r="C2065" s="147"/>
      <c r="D2065" s="141"/>
      <c r="E2065" s="141"/>
      <c r="F2065" s="50">
        <v>43647</v>
      </c>
      <c r="G2065" s="50">
        <v>43830</v>
      </c>
      <c r="H2065" s="151"/>
      <c r="I2065" s="15" t="s">
        <v>23</v>
      </c>
      <c r="J2065" s="15" t="s">
        <v>23</v>
      </c>
      <c r="K2065" s="13">
        <v>34.749152542372784</v>
      </c>
      <c r="L2065" s="13">
        <v>1478.1355932203346</v>
      </c>
      <c r="M2065" s="198"/>
    </row>
    <row r="2066" spans="1:13" ht="15" customHeight="1" outlineLevel="1" x14ac:dyDescent="0.25">
      <c r="A2066" s="146" t="s">
        <v>20</v>
      </c>
      <c r="B2066" s="146" t="s">
        <v>25</v>
      </c>
      <c r="C2066" s="146" t="s">
        <v>779</v>
      </c>
      <c r="D2066" s="137">
        <v>43087</v>
      </c>
      <c r="E2066" s="137" t="s">
        <v>809</v>
      </c>
      <c r="F2066" s="12">
        <v>43466</v>
      </c>
      <c r="G2066" s="12">
        <v>43646</v>
      </c>
      <c r="H2066" s="149" t="s">
        <v>818</v>
      </c>
      <c r="I2066" s="66">
        <v>34.58</v>
      </c>
      <c r="J2066" s="13">
        <v>1901.69</v>
      </c>
      <c r="K2066" s="15" t="s">
        <v>23</v>
      </c>
      <c r="L2066" s="15" t="s">
        <v>23</v>
      </c>
      <c r="M2066" s="153"/>
    </row>
    <row r="2067" spans="1:13" ht="15" customHeight="1" outlineLevel="1" x14ac:dyDescent="0.25">
      <c r="A2067" s="148"/>
      <c r="B2067" s="148"/>
      <c r="C2067" s="148"/>
      <c r="D2067" s="141"/>
      <c r="E2067" s="141"/>
      <c r="F2067" s="12">
        <v>43647</v>
      </c>
      <c r="G2067" s="12">
        <v>43830</v>
      </c>
      <c r="H2067" s="151"/>
      <c r="I2067" s="66">
        <v>36.880000000000003</v>
      </c>
      <c r="J2067" s="13">
        <v>2084.71</v>
      </c>
      <c r="K2067" s="15" t="s">
        <v>23</v>
      </c>
      <c r="L2067" s="15" t="s">
        <v>23</v>
      </c>
      <c r="M2067" s="152"/>
    </row>
    <row r="2068" spans="1:13" ht="15" customHeight="1" outlineLevel="1" x14ac:dyDescent="0.25">
      <c r="A2068" s="148"/>
      <c r="B2068" s="148"/>
      <c r="C2068" s="148"/>
      <c r="D2068" s="137">
        <v>43454</v>
      </c>
      <c r="E2068" s="137" t="s">
        <v>817</v>
      </c>
      <c r="F2068" s="50">
        <v>43466</v>
      </c>
      <c r="G2068" s="50">
        <v>43646</v>
      </c>
      <c r="H2068" s="149"/>
      <c r="I2068" s="15" t="s">
        <v>23</v>
      </c>
      <c r="J2068" s="15" t="s">
        <v>23</v>
      </c>
      <c r="K2068" s="13">
        <v>31.698305084745673</v>
      </c>
      <c r="L2068" s="13">
        <v>1515.6963890935842</v>
      </c>
      <c r="M2068" s="196" t="s">
        <v>420</v>
      </c>
    </row>
    <row r="2069" spans="1:13" ht="15" customHeight="1" outlineLevel="1" x14ac:dyDescent="0.25">
      <c r="A2069" s="148"/>
      <c r="B2069" s="148"/>
      <c r="C2069" s="148"/>
      <c r="D2069" s="138"/>
      <c r="E2069" s="138"/>
      <c r="F2069" s="50">
        <v>43647</v>
      </c>
      <c r="G2069" s="50">
        <v>43830</v>
      </c>
      <c r="H2069" s="150"/>
      <c r="I2069" s="15" t="s">
        <v>23</v>
      </c>
      <c r="J2069" s="15" t="s">
        <v>23</v>
      </c>
      <c r="K2069" s="13">
        <v>32.332271186440586</v>
      </c>
      <c r="L2069" s="13">
        <v>1546.0103168754561</v>
      </c>
      <c r="M2069" s="198"/>
    </row>
    <row r="2070" spans="1:13" ht="15" customHeight="1" outlineLevel="1" x14ac:dyDescent="0.25">
      <c r="A2070" s="148"/>
      <c r="B2070" s="148"/>
      <c r="C2070" s="148"/>
      <c r="D2070" s="138"/>
      <c r="E2070" s="138"/>
      <c r="F2070" s="50">
        <v>43466</v>
      </c>
      <c r="G2070" s="50">
        <v>43646</v>
      </c>
      <c r="H2070" s="150"/>
      <c r="I2070" s="15" t="s">
        <v>23</v>
      </c>
      <c r="J2070" s="15" t="s">
        <v>23</v>
      </c>
      <c r="K2070" s="13">
        <v>31.698305084745673</v>
      </c>
      <c r="L2070" s="13">
        <v>1660.048426150116</v>
      </c>
      <c r="M2070" s="196" t="s">
        <v>421</v>
      </c>
    </row>
    <row r="2071" spans="1:13" ht="15" customHeight="1" outlineLevel="1" x14ac:dyDescent="0.25">
      <c r="A2071" s="148"/>
      <c r="B2071" s="148"/>
      <c r="C2071" s="148"/>
      <c r="D2071" s="138"/>
      <c r="E2071" s="138"/>
      <c r="F2071" s="50">
        <v>43647</v>
      </c>
      <c r="G2071" s="50">
        <v>43830</v>
      </c>
      <c r="H2071" s="150"/>
      <c r="I2071" s="15" t="s">
        <v>23</v>
      </c>
      <c r="J2071" s="15" t="s">
        <v>23</v>
      </c>
      <c r="K2071" s="13">
        <v>32.332271186440586</v>
      </c>
      <c r="L2071" s="13">
        <v>1693.2493946731186</v>
      </c>
      <c r="M2071" s="198"/>
    </row>
    <row r="2072" spans="1:13" ht="15" customHeight="1" outlineLevel="1" x14ac:dyDescent="0.25">
      <c r="A2072" s="148"/>
      <c r="B2072" s="148"/>
      <c r="C2072" s="148"/>
      <c r="D2072" s="138"/>
      <c r="E2072" s="138"/>
      <c r="F2072" s="50">
        <v>43466</v>
      </c>
      <c r="G2072" s="50">
        <v>43646</v>
      </c>
      <c r="H2072" s="150"/>
      <c r="I2072" s="15" t="s">
        <v>23</v>
      </c>
      <c r="J2072" s="15" t="s">
        <v>23</v>
      </c>
      <c r="K2072" s="13">
        <v>31.698305084745673</v>
      </c>
      <c r="L2072" s="13">
        <v>1413.2844709115855</v>
      </c>
      <c r="M2072" s="196" t="s">
        <v>422</v>
      </c>
    </row>
    <row r="2073" spans="1:13" ht="15" customHeight="1" outlineLevel="1" x14ac:dyDescent="0.25">
      <c r="A2073" s="148"/>
      <c r="B2073" s="148"/>
      <c r="C2073" s="148"/>
      <c r="D2073" s="138"/>
      <c r="E2073" s="138"/>
      <c r="F2073" s="50">
        <v>43647</v>
      </c>
      <c r="G2073" s="50">
        <v>43830</v>
      </c>
      <c r="H2073" s="150"/>
      <c r="I2073" s="15" t="s">
        <v>23</v>
      </c>
      <c r="J2073" s="15" t="s">
        <v>23</v>
      </c>
      <c r="K2073" s="13">
        <v>32.332271186440586</v>
      </c>
      <c r="L2073" s="13">
        <v>1441.5501603298173</v>
      </c>
      <c r="M2073" s="198"/>
    </row>
    <row r="2074" spans="1:13" ht="15" customHeight="1" outlineLevel="1" x14ac:dyDescent="0.25">
      <c r="A2074" s="148"/>
      <c r="B2074" s="148"/>
      <c r="C2074" s="148"/>
      <c r="D2074" s="138"/>
      <c r="E2074" s="138"/>
      <c r="F2074" s="50">
        <v>43466</v>
      </c>
      <c r="G2074" s="50">
        <v>43646</v>
      </c>
      <c r="H2074" s="150"/>
      <c r="I2074" s="15" t="s">
        <v>23</v>
      </c>
      <c r="J2074" s="15" t="s">
        <v>23</v>
      </c>
      <c r="K2074" s="13">
        <v>31.698305084745673</v>
      </c>
      <c r="L2074" s="13">
        <v>1515.6963890935842</v>
      </c>
      <c r="M2074" s="196" t="s">
        <v>423</v>
      </c>
    </row>
    <row r="2075" spans="1:13" ht="15" customHeight="1" outlineLevel="1" x14ac:dyDescent="0.25">
      <c r="A2075" s="148"/>
      <c r="B2075" s="148"/>
      <c r="C2075" s="148"/>
      <c r="D2075" s="138"/>
      <c r="E2075" s="138"/>
      <c r="F2075" s="50">
        <v>43647</v>
      </c>
      <c r="G2075" s="50">
        <v>43830</v>
      </c>
      <c r="H2075" s="150"/>
      <c r="I2075" s="15" t="s">
        <v>23</v>
      </c>
      <c r="J2075" s="15" t="s">
        <v>23</v>
      </c>
      <c r="K2075" s="13">
        <v>32.332271186440586</v>
      </c>
      <c r="L2075" s="13">
        <v>1546.0103168754561</v>
      </c>
      <c r="M2075" s="198"/>
    </row>
    <row r="2076" spans="1:13" ht="15" customHeight="1" outlineLevel="1" x14ac:dyDescent="0.25">
      <c r="A2076" s="148"/>
      <c r="B2076" s="148"/>
      <c r="C2076" s="148"/>
      <c r="D2076" s="138"/>
      <c r="E2076" s="138"/>
      <c r="F2076" s="50">
        <v>43466</v>
      </c>
      <c r="G2076" s="50">
        <v>43646</v>
      </c>
      <c r="H2076" s="150"/>
      <c r="I2076" s="15" t="s">
        <v>23</v>
      </c>
      <c r="J2076" s="15" t="s">
        <v>23</v>
      </c>
      <c r="K2076" s="13">
        <v>31.698305084745673</v>
      </c>
      <c r="L2076" s="13">
        <v>1584.591679506929</v>
      </c>
      <c r="M2076" s="196" t="s">
        <v>424</v>
      </c>
    </row>
    <row r="2077" spans="1:13" ht="15" customHeight="1" outlineLevel="1" x14ac:dyDescent="0.25">
      <c r="A2077" s="148"/>
      <c r="B2077" s="148"/>
      <c r="C2077" s="148"/>
      <c r="D2077" s="138"/>
      <c r="E2077" s="138"/>
      <c r="F2077" s="50">
        <v>43647</v>
      </c>
      <c r="G2077" s="50">
        <v>43830</v>
      </c>
      <c r="H2077" s="150"/>
      <c r="I2077" s="15" t="s">
        <v>23</v>
      </c>
      <c r="J2077" s="15" t="s">
        <v>23</v>
      </c>
      <c r="K2077" s="13">
        <v>32.332271186440586</v>
      </c>
      <c r="L2077" s="13">
        <v>1616.2835130970677</v>
      </c>
      <c r="M2077" s="198"/>
    </row>
    <row r="2078" spans="1:13" ht="15" customHeight="1" outlineLevel="1" x14ac:dyDescent="0.25">
      <c r="A2078" s="148"/>
      <c r="B2078" s="148"/>
      <c r="C2078" s="148"/>
      <c r="D2078" s="138"/>
      <c r="E2078" s="138"/>
      <c r="F2078" s="50">
        <v>43466</v>
      </c>
      <c r="G2078" s="50">
        <v>43646</v>
      </c>
      <c r="H2078" s="150"/>
      <c r="I2078" s="15" t="s">
        <v>23</v>
      </c>
      <c r="J2078" s="15" t="s">
        <v>23</v>
      </c>
      <c r="K2078" s="13">
        <v>31.698305084745673</v>
      </c>
      <c r="L2078" s="13">
        <v>1714.4762434009397</v>
      </c>
      <c r="M2078" s="196" t="s">
        <v>425</v>
      </c>
    </row>
    <row r="2079" spans="1:13" ht="15" customHeight="1" outlineLevel="1" x14ac:dyDescent="0.25">
      <c r="A2079" s="148"/>
      <c r="B2079" s="148"/>
      <c r="C2079" s="148"/>
      <c r="D2079" s="138"/>
      <c r="E2079" s="138"/>
      <c r="F2079" s="50">
        <v>43647</v>
      </c>
      <c r="G2079" s="50">
        <v>43830</v>
      </c>
      <c r="H2079" s="150"/>
      <c r="I2079" s="15" t="s">
        <v>23</v>
      </c>
      <c r="J2079" s="15" t="s">
        <v>23</v>
      </c>
      <c r="K2079" s="13">
        <v>32.332271186440586</v>
      </c>
      <c r="L2079" s="13">
        <v>1748.7657682689587</v>
      </c>
      <c r="M2079" s="198"/>
    </row>
    <row r="2080" spans="1:13" ht="15" customHeight="1" outlineLevel="1" x14ac:dyDescent="0.25">
      <c r="A2080" s="148"/>
      <c r="B2080" s="148"/>
      <c r="C2080" s="148"/>
      <c r="D2080" s="138"/>
      <c r="E2080" s="138"/>
      <c r="F2080" s="50">
        <v>43466</v>
      </c>
      <c r="G2080" s="50">
        <v>43646</v>
      </c>
      <c r="H2080" s="150"/>
      <c r="I2080" s="15" t="s">
        <v>23</v>
      </c>
      <c r="J2080" s="15" t="s">
        <v>23</v>
      </c>
      <c r="K2080" s="13">
        <v>31.698305084745673</v>
      </c>
      <c r="L2080" s="13">
        <v>1452.5423728813516</v>
      </c>
      <c r="M2080" s="196" t="s">
        <v>426</v>
      </c>
    </row>
    <row r="2081" spans="1:13" ht="15" customHeight="1" outlineLevel="1" x14ac:dyDescent="0.25">
      <c r="A2081" s="148"/>
      <c r="B2081" s="148"/>
      <c r="C2081" s="148"/>
      <c r="D2081" s="138"/>
      <c r="E2081" s="138"/>
      <c r="F2081" s="50">
        <v>43647</v>
      </c>
      <c r="G2081" s="50">
        <v>43830</v>
      </c>
      <c r="H2081" s="150"/>
      <c r="I2081" s="15" t="s">
        <v>23</v>
      </c>
      <c r="J2081" s="15" t="s">
        <v>23</v>
      </c>
      <c r="K2081" s="13">
        <v>32.332271186440586</v>
      </c>
      <c r="L2081" s="13">
        <v>1481.5932203389789</v>
      </c>
      <c r="M2081" s="198"/>
    </row>
    <row r="2082" spans="1:13" ht="15" customHeight="1" outlineLevel="1" x14ac:dyDescent="0.25">
      <c r="A2082" s="148"/>
      <c r="B2082" s="148"/>
      <c r="C2082" s="148"/>
      <c r="D2082" s="138"/>
      <c r="E2082" s="138"/>
      <c r="F2082" s="50">
        <v>43466</v>
      </c>
      <c r="G2082" s="50">
        <v>43646</v>
      </c>
      <c r="H2082" s="150"/>
      <c r="I2082" s="15" t="s">
        <v>23</v>
      </c>
      <c r="J2082" s="15" t="s">
        <v>23</v>
      </c>
      <c r="K2082" s="13">
        <v>31.698305084745673</v>
      </c>
      <c r="L2082" s="13">
        <v>1584.591679506929</v>
      </c>
      <c r="M2082" s="196" t="s">
        <v>427</v>
      </c>
    </row>
    <row r="2083" spans="1:13" ht="15" customHeight="1" outlineLevel="1" x14ac:dyDescent="0.25">
      <c r="A2083" s="147"/>
      <c r="B2083" s="147"/>
      <c r="C2083" s="148"/>
      <c r="D2083" s="141"/>
      <c r="E2083" s="141"/>
      <c r="F2083" s="50">
        <v>43647</v>
      </c>
      <c r="G2083" s="50">
        <v>43830</v>
      </c>
      <c r="H2083" s="151"/>
      <c r="I2083" s="15" t="s">
        <v>23</v>
      </c>
      <c r="J2083" s="15" t="s">
        <v>23</v>
      </c>
      <c r="K2083" s="13">
        <v>32.332271186440586</v>
      </c>
      <c r="L2083" s="13">
        <v>1616.2835130970677</v>
      </c>
      <c r="M2083" s="198"/>
    </row>
    <row r="2084" spans="1:13" ht="15" customHeight="1" outlineLevel="1" x14ac:dyDescent="0.25">
      <c r="A2084" s="146" t="s">
        <v>20</v>
      </c>
      <c r="B2084" s="146" t="s">
        <v>26</v>
      </c>
      <c r="C2084" s="148"/>
      <c r="D2084" s="137">
        <v>43087</v>
      </c>
      <c r="E2084" s="137" t="s">
        <v>809</v>
      </c>
      <c r="F2084" s="12">
        <v>43466</v>
      </c>
      <c r="G2084" s="12">
        <v>43646</v>
      </c>
      <c r="H2084" s="149" t="s">
        <v>818</v>
      </c>
      <c r="I2084" s="66">
        <v>34.58</v>
      </c>
      <c r="J2084" s="13">
        <v>1901.69</v>
      </c>
      <c r="K2084" s="15" t="s">
        <v>23</v>
      </c>
      <c r="L2084" s="15" t="s">
        <v>23</v>
      </c>
      <c r="M2084" s="153"/>
    </row>
    <row r="2085" spans="1:13" ht="15" customHeight="1" outlineLevel="1" x14ac:dyDescent="0.25">
      <c r="A2085" s="148"/>
      <c r="B2085" s="148"/>
      <c r="C2085" s="148"/>
      <c r="D2085" s="141"/>
      <c r="E2085" s="141"/>
      <c r="F2085" s="12">
        <v>43647</v>
      </c>
      <c r="G2085" s="12">
        <v>43830</v>
      </c>
      <c r="H2085" s="151"/>
      <c r="I2085" s="66">
        <v>36.880000000000003</v>
      </c>
      <c r="J2085" s="13">
        <v>2084.71</v>
      </c>
      <c r="K2085" s="15" t="s">
        <v>23</v>
      </c>
      <c r="L2085" s="15" t="s">
        <v>23</v>
      </c>
      <c r="M2085" s="152"/>
    </row>
    <row r="2086" spans="1:13" ht="15" customHeight="1" outlineLevel="1" x14ac:dyDescent="0.25">
      <c r="A2086" s="148"/>
      <c r="B2086" s="148"/>
      <c r="C2086" s="148"/>
      <c r="D2086" s="137">
        <v>43454</v>
      </c>
      <c r="E2086" s="137" t="s">
        <v>817</v>
      </c>
      <c r="F2086" s="50">
        <v>43466</v>
      </c>
      <c r="G2086" s="50">
        <v>43646</v>
      </c>
      <c r="H2086" s="149"/>
      <c r="I2086" s="15" t="s">
        <v>23</v>
      </c>
      <c r="J2086" s="15" t="s">
        <v>23</v>
      </c>
      <c r="K2086" s="13">
        <v>30.396610169491439</v>
      </c>
      <c r="L2086" s="13">
        <v>1453.6477523949845</v>
      </c>
      <c r="M2086" s="196" t="s">
        <v>420</v>
      </c>
    </row>
    <row r="2087" spans="1:13" ht="15" customHeight="1" outlineLevel="1" x14ac:dyDescent="0.25">
      <c r="A2087" s="148"/>
      <c r="B2087" s="148"/>
      <c r="C2087" s="148"/>
      <c r="D2087" s="138"/>
      <c r="E2087" s="138"/>
      <c r="F2087" s="50">
        <v>43647</v>
      </c>
      <c r="G2087" s="50">
        <v>43830</v>
      </c>
      <c r="H2087" s="150"/>
      <c r="I2087" s="15" t="s">
        <v>23</v>
      </c>
      <c r="J2087" s="15" t="s">
        <v>23</v>
      </c>
      <c r="K2087" s="13">
        <v>31.004542372881268</v>
      </c>
      <c r="L2087" s="13">
        <v>1482.7207074428841</v>
      </c>
      <c r="M2087" s="198"/>
    </row>
    <row r="2088" spans="1:13" ht="15" customHeight="1" outlineLevel="1" x14ac:dyDescent="0.25">
      <c r="A2088" s="148"/>
      <c r="B2088" s="148"/>
      <c r="C2088" s="148"/>
      <c r="D2088" s="138"/>
      <c r="E2088" s="138"/>
      <c r="F2088" s="50">
        <v>43466</v>
      </c>
      <c r="G2088" s="50">
        <v>43646</v>
      </c>
      <c r="H2088" s="150"/>
      <c r="I2088" s="15" t="s">
        <v>23</v>
      </c>
      <c r="J2088" s="15" t="s">
        <v>23</v>
      </c>
      <c r="K2088" s="13">
        <v>30.396610169491439</v>
      </c>
      <c r="L2088" s="13">
        <v>1592.0903954802213</v>
      </c>
      <c r="M2088" s="196" t="s">
        <v>421</v>
      </c>
    </row>
    <row r="2089" spans="1:13" ht="15" customHeight="1" outlineLevel="1" x14ac:dyDescent="0.25">
      <c r="A2089" s="148"/>
      <c r="B2089" s="148"/>
      <c r="C2089" s="148"/>
      <c r="D2089" s="138"/>
      <c r="E2089" s="138"/>
      <c r="F2089" s="50">
        <v>43647</v>
      </c>
      <c r="G2089" s="50">
        <v>43830</v>
      </c>
      <c r="H2089" s="150"/>
      <c r="I2089" s="15" t="s">
        <v>23</v>
      </c>
      <c r="J2089" s="15" t="s">
        <v>23</v>
      </c>
      <c r="K2089" s="13">
        <v>31.004542372881268</v>
      </c>
      <c r="L2089" s="13">
        <v>1623.9322033898256</v>
      </c>
      <c r="M2089" s="198"/>
    </row>
    <row r="2090" spans="1:13" ht="15" customHeight="1" outlineLevel="1" x14ac:dyDescent="0.25">
      <c r="A2090" s="148"/>
      <c r="B2090" s="148"/>
      <c r="C2090" s="148"/>
      <c r="D2090" s="138"/>
      <c r="E2090" s="138"/>
      <c r="F2090" s="50">
        <v>43466</v>
      </c>
      <c r="G2090" s="50">
        <v>43646</v>
      </c>
      <c r="H2090" s="150"/>
      <c r="I2090" s="15" t="s">
        <v>23</v>
      </c>
      <c r="J2090" s="15" t="s">
        <v>23</v>
      </c>
      <c r="K2090" s="13">
        <v>30.396610169491439</v>
      </c>
      <c r="L2090" s="13">
        <v>1355.428309665594</v>
      </c>
      <c r="M2090" s="196" t="s">
        <v>422</v>
      </c>
    </row>
    <row r="2091" spans="1:13" ht="15" customHeight="1" outlineLevel="1" x14ac:dyDescent="0.25">
      <c r="A2091" s="148"/>
      <c r="B2091" s="148"/>
      <c r="C2091" s="148"/>
      <c r="D2091" s="138"/>
      <c r="E2091" s="138"/>
      <c r="F2091" s="50">
        <v>43647</v>
      </c>
      <c r="G2091" s="50">
        <v>43830</v>
      </c>
      <c r="H2091" s="150"/>
      <c r="I2091" s="15" t="s">
        <v>23</v>
      </c>
      <c r="J2091" s="15" t="s">
        <v>23</v>
      </c>
      <c r="K2091" s="13">
        <v>31.004542372881268</v>
      </c>
      <c r="L2091" s="13">
        <v>1382.5368758589057</v>
      </c>
      <c r="M2091" s="198"/>
    </row>
    <row r="2092" spans="1:13" ht="15" customHeight="1" outlineLevel="1" x14ac:dyDescent="0.25">
      <c r="A2092" s="148"/>
      <c r="B2092" s="148"/>
      <c r="C2092" s="148"/>
      <c r="D2092" s="138"/>
      <c r="E2092" s="138"/>
      <c r="F2092" s="50">
        <v>43466</v>
      </c>
      <c r="G2092" s="50">
        <v>43646</v>
      </c>
      <c r="H2092" s="150"/>
      <c r="I2092" s="15" t="s">
        <v>23</v>
      </c>
      <c r="J2092" s="15" t="s">
        <v>23</v>
      </c>
      <c r="K2092" s="13">
        <v>30.396610169491439</v>
      </c>
      <c r="L2092" s="13">
        <v>1453.6477523949845</v>
      </c>
      <c r="M2092" s="196" t="s">
        <v>423</v>
      </c>
    </row>
    <row r="2093" spans="1:13" ht="15" customHeight="1" outlineLevel="1" x14ac:dyDescent="0.25">
      <c r="A2093" s="148"/>
      <c r="B2093" s="148"/>
      <c r="C2093" s="148"/>
      <c r="D2093" s="138"/>
      <c r="E2093" s="138"/>
      <c r="F2093" s="50">
        <v>43647</v>
      </c>
      <c r="G2093" s="50">
        <v>43830</v>
      </c>
      <c r="H2093" s="150"/>
      <c r="I2093" s="15" t="s">
        <v>23</v>
      </c>
      <c r="J2093" s="15" t="s">
        <v>23</v>
      </c>
      <c r="K2093" s="13">
        <v>31.004542372881268</v>
      </c>
      <c r="L2093" s="13">
        <v>1482.7207074428841</v>
      </c>
      <c r="M2093" s="198"/>
    </row>
    <row r="2094" spans="1:13" ht="15" customHeight="1" outlineLevel="1" x14ac:dyDescent="0.25">
      <c r="A2094" s="148"/>
      <c r="B2094" s="148"/>
      <c r="C2094" s="148"/>
      <c r="D2094" s="138"/>
      <c r="E2094" s="138"/>
      <c r="F2094" s="50">
        <v>43466</v>
      </c>
      <c r="G2094" s="50">
        <v>43646</v>
      </c>
      <c r="H2094" s="150"/>
      <c r="I2094" s="15" t="s">
        <v>23</v>
      </c>
      <c r="J2094" s="15" t="s">
        <v>23</v>
      </c>
      <c r="K2094" s="13">
        <v>30.396610169491439</v>
      </c>
      <c r="L2094" s="13">
        <v>1519.7226502311203</v>
      </c>
      <c r="M2094" s="196" t="s">
        <v>424</v>
      </c>
    </row>
    <row r="2095" spans="1:13" ht="15" customHeight="1" outlineLevel="1" x14ac:dyDescent="0.25">
      <c r="A2095" s="148"/>
      <c r="B2095" s="148"/>
      <c r="C2095" s="148"/>
      <c r="D2095" s="138"/>
      <c r="E2095" s="138"/>
      <c r="F2095" s="50">
        <v>43647</v>
      </c>
      <c r="G2095" s="50">
        <v>43830</v>
      </c>
      <c r="H2095" s="150"/>
      <c r="I2095" s="15" t="s">
        <v>23</v>
      </c>
      <c r="J2095" s="15" t="s">
        <v>23</v>
      </c>
      <c r="K2095" s="13">
        <v>31.004542372881268</v>
      </c>
      <c r="L2095" s="13">
        <v>1550.1171032357424</v>
      </c>
      <c r="M2095" s="198"/>
    </row>
    <row r="2096" spans="1:13" ht="15" customHeight="1" outlineLevel="1" x14ac:dyDescent="0.25">
      <c r="A2096" s="148"/>
      <c r="B2096" s="148"/>
      <c r="C2096" s="148"/>
      <c r="D2096" s="138"/>
      <c r="E2096" s="138"/>
      <c r="F2096" s="50">
        <v>43466</v>
      </c>
      <c r="G2096" s="50">
        <v>43646</v>
      </c>
      <c r="H2096" s="150"/>
      <c r="I2096" s="15" t="s">
        <v>23</v>
      </c>
      <c r="J2096" s="15" t="s">
        <v>23</v>
      </c>
      <c r="K2096" s="13">
        <v>30.396610169491439</v>
      </c>
      <c r="L2096" s="13">
        <v>1644.2900805779336</v>
      </c>
      <c r="M2096" s="196" t="s">
        <v>425</v>
      </c>
    </row>
    <row r="2097" spans="1:13" ht="15" customHeight="1" outlineLevel="1" x14ac:dyDescent="0.25">
      <c r="A2097" s="148"/>
      <c r="B2097" s="148"/>
      <c r="C2097" s="148"/>
      <c r="D2097" s="138"/>
      <c r="E2097" s="138"/>
      <c r="F2097" s="50">
        <v>43647</v>
      </c>
      <c r="G2097" s="50">
        <v>43830</v>
      </c>
      <c r="H2097" s="150"/>
      <c r="I2097" s="15" t="s">
        <v>23</v>
      </c>
      <c r="J2097" s="15" t="s">
        <v>23</v>
      </c>
      <c r="K2097" s="13">
        <v>31.004542372881268</v>
      </c>
      <c r="L2097" s="13">
        <v>1677.1758821894921</v>
      </c>
      <c r="M2097" s="198"/>
    </row>
    <row r="2098" spans="1:13" ht="15" customHeight="1" outlineLevel="1" x14ac:dyDescent="0.25">
      <c r="A2098" s="148"/>
      <c r="B2098" s="148"/>
      <c r="C2098" s="148"/>
      <c r="D2098" s="138"/>
      <c r="E2098" s="138"/>
      <c r="F2098" s="50">
        <v>43466</v>
      </c>
      <c r="G2098" s="50">
        <v>43646</v>
      </c>
      <c r="H2098" s="150"/>
      <c r="I2098" s="15" t="s">
        <v>23</v>
      </c>
      <c r="J2098" s="15" t="s">
        <v>23</v>
      </c>
      <c r="K2098" s="13">
        <v>30.396610169491439</v>
      </c>
      <c r="L2098" s="13">
        <v>1393.0790960451939</v>
      </c>
      <c r="M2098" s="196" t="s">
        <v>426</v>
      </c>
    </row>
    <row r="2099" spans="1:13" ht="15" customHeight="1" outlineLevel="1" x14ac:dyDescent="0.25">
      <c r="A2099" s="148"/>
      <c r="B2099" s="148"/>
      <c r="C2099" s="148"/>
      <c r="D2099" s="138"/>
      <c r="E2099" s="138"/>
      <c r="F2099" s="50">
        <v>43647</v>
      </c>
      <c r="G2099" s="50">
        <v>43830</v>
      </c>
      <c r="H2099" s="150"/>
      <c r="I2099" s="15" t="s">
        <v>23</v>
      </c>
      <c r="J2099" s="15" t="s">
        <v>23</v>
      </c>
      <c r="K2099" s="13">
        <v>31.004542372881268</v>
      </c>
      <c r="L2099" s="13">
        <v>1420.9406779660974</v>
      </c>
      <c r="M2099" s="198"/>
    </row>
    <row r="2100" spans="1:13" ht="15" customHeight="1" outlineLevel="1" x14ac:dyDescent="0.25">
      <c r="A2100" s="148"/>
      <c r="B2100" s="148"/>
      <c r="C2100" s="148"/>
      <c r="D2100" s="138"/>
      <c r="E2100" s="138"/>
      <c r="F2100" s="50">
        <v>43466</v>
      </c>
      <c r="G2100" s="50">
        <v>43646</v>
      </c>
      <c r="H2100" s="150"/>
      <c r="I2100" s="15" t="s">
        <v>23</v>
      </c>
      <c r="J2100" s="15" t="s">
        <v>23</v>
      </c>
      <c r="K2100" s="13">
        <v>30.396610169491439</v>
      </c>
      <c r="L2100" s="13">
        <v>1519.7226502311203</v>
      </c>
      <c r="M2100" s="196" t="s">
        <v>427</v>
      </c>
    </row>
    <row r="2101" spans="1:13" ht="15" customHeight="1" outlineLevel="1" x14ac:dyDescent="0.25">
      <c r="A2101" s="147"/>
      <c r="B2101" s="147"/>
      <c r="C2101" s="148"/>
      <c r="D2101" s="141"/>
      <c r="E2101" s="141"/>
      <c r="F2101" s="50">
        <v>43647</v>
      </c>
      <c r="G2101" s="50">
        <v>43830</v>
      </c>
      <c r="H2101" s="151"/>
      <c r="I2101" s="15" t="s">
        <v>23</v>
      </c>
      <c r="J2101" s="15" t="s">
        <v>23</v>
      </c>
      <c r="K2101" s="13">
        <v>31.004542372881268</v>
      </c>
      <c r="L2101" s="13">
        <v>1550.1171032357424</v>
      </c>
      <c r="M2101" s="198"/>
    </row>
    <row r="2102" spans="1:13" ht="15" customHeight="1" outlineLevel="1" x14ac:dyDescent="0.25">
      <c r="A2102" s="146" t="s">
        <v>20</v>
      </c>
      <c r="B2102" s="146" t="s">
        <v>24</v>
      </c>
      <c r="C2102" s="148"/>
      <c r="D2102" s="137">
        <v>43087</v>
      </c>
      <c r="E2102" s="137" t="s">
        <v>809</v>
      </c>
      <c r="F2102" s="12">
        <v>43466</v>
      </c>
      <c r="G2102" s="12">
        <v>43646</v>
      </c>
      <c r="H2102" s="149" t="s">
        <v>818</v>
      </c>
      <c r="I2102" s="66">
        <v>34.58</v>
      </c>
      <c r="J2102" s="13">
        <v>1901.69</v>
      </c>
      <c r="K2102" s="15" t="s">
        <v>23</v>
      </c>
      <c r="L2102" s="15" t="s">
        <v>23</v>
      </c>
      <c r="M2102" s="153"/>
    </row>
    <row r="2103" spans="1:13" ht="15" customHeight="1" outlineLevel="1" x14ac:dyDescent="0.25">
      <c r="A2103" s="148"/>
      <c r="B2103" s="148"/>
      <c r="C2103" s="148"/>
      <c r="D2103" s="141"/>
      <c r="E2103" s="141"/>
      <c r="F2103" s="12">
        <v>43647</v>
      </c>
      <c r="G2103" s="12">
        <v>43830</v>
      </c>
      <c r="H2103" s="151"/>
      <c r="I2103" s="66">
        <v>36.880000000000003</v>
      </c>
      <c r="J2103" s="13">
        <v>2084.71</v>
      </c>
      <c r="K2103" s="15" t="s">
        <v>23</v>
      </c>
      <c r="L2103" s="15" t="s">
        <v>23</v>
      </c>
      <c r="M2103" s="152"/>
    </row>
    <row r="2104" spans="1:13" ht="15" customHeight="1" outlineLevel="1" x14ac:dyDescent="0.25">
      <c r="A2104" s="148"/>
      <c r="B2104" s="148"/>
      <c r="C2104" s="148"/>
      <c r="D2104" s="137">
        <v>43454</v>
      </c>
      <c r="E2104" s="137" t="s">
        <v>817</v>
      </c>
      <c r="F2104" s="50">
        <v>43466</v>
      </c>
      <c r="G2104" s="50">
        <v>43646</v>
      </c>
      <c r="H2104" s="149"/>
      <c r="I2104" s="15" t="s">
        <v>23</v>
      </c>
      <c r="J2104" s="15" t="s">
        <v>23</v>
      </c>
      <c r="K2104" s="13">
        <v>36.661016949152433</v>
      </c>
      <c r="L2104" s="13">
        <v>1753.1319086219548</v>
      </c>
      <c r="M2104" s="196" t="s">
        <v>420</v>
      </c>
    </row>
    <row r="2105" spans="1:13" ht="15" customHeight="1" outlineLevel="1" x14ac:dyDescent="0.25">
      <c r="A2105" s="148"/>
      <c r="B2105" s="148"/>
      <c r="C2105" s="148"/>
      <c r="D2105" s="138"/>
      <c r="E2105" s="138"/>
      <c r="F2105" s="50">
        <v>43647</v>
      </c>
      <c r="G2105" s="50">
        <v>43830</v>
      </c>
      <c r="H2105" s="150"/>
      <c r="I2105" s="15" t="s">
        <v>23</v>
      </c>
      <c r="J2105" s="15" t="s">
        <v>23</v>
      </c>
      <c r="K2105" s="13">
        <v>37.394237288135486</v>
      </c>
      <c r="L2105" s="13">
        <v>1788.1945467943942</v>
      </c>
      <c r="M2105" s="198"/>
    </row>
    <row r="2106" spans="1:13" ht="15" customHeight="1" outlineLevel="1" x14ac:dyDescent="0.25">
      <c r="A2106" s="148"/>
      <c r="B2106" s="148"/>
      <c r="C2106" s="148"/>
      <c r="D2106" s="138"/>
      <c r="E2106" s="138"/>
      <c r="F2106" s="50">
        <v>43466</v>
      </c>
      <c r="G2106" s="50">
        <v>43646</v>
      </c>
      <c r="H2106" s="150"/>
      <c r="I2106" s="15" t="s">
        <v>23</v>
      </c>
      <c r="J2106" s="15" t="s">
        <v>23</v>
      </c>
      <c r="K2106" s="13">
        <v>36.661016949152433</v>
      </c>
      <c r="L2106" s="13">
        <v>1920.0968523002364</v>
      </c>
      <c r="M2106" s="196" t="s">
        <v>421</v>
      </c>
    </row>
    <row r="2107" spans="1:13" ht="15" customHeight="1" outlineLevel="1" x14ac:dyDescent="0.25">
      <c r="A2107" s="148"/>
      <c r="B2107" s="148"/>
      <c r="C2107" s="148"/>
      <c r="D2107" s="138"/>
      <c r="E2107" s="138"/>
      <c r="F2107" s="50">
        <v>43647</v>
      </c>
      <c r="G2107" s="50">
        <v>43830</v>
      </c>
      <c r="H2107" s="150"/>
      <c r="I2107" s="15" t="s">
        <v>23</v>
      </c>
      <c r="J2107" s="15" t="s">
        <v>23</v>
      </c>
      <c r="K2107" s="13">
        <v>37.394237288135486</v>
      </c>
      <c r="L2107" s="13">
        <v>1958.4987893462414</v>
      </c>
      <c r="M2107" s="198"/>
    </row>
    <row r="2108" spans="1:13" ht="15" customHeight="1" outlineLevel="1" x14ac:dyDescent="0.25">
      <c r="A2108" s="148"/>
      <c r="B2108" s="148"/>
      <c r="C2108" s="148"/>
      <c r="D2108" s="138"/>
      <c r="E2108" s="138"/>
      <c r="F2108" s="50">
        <v>43466</v>
      </c>
      <c r="G2108" s="50">
        <v>43646</v>
      </c>
      <c r="H2108" s="150"/>
      <c r="I2108" s="15" t="s">
        <v>23</v>
      </c>
      <c r="J2108" s="15" t="s">
        <v>23</v>
      </c>
      <c r="K2108" s="13">
        <v>36.661016949152433</v>
      </c>
      <c r="L2108" s="13">
        <v>1634.6770499312825</v>
      </c>
      <c r="M2108" s="196" t="s">
        <v>422</v>
      </c>
    </row>
    <row r="2109" spans="1:13" ht="15" customHeight="1" outlineLevel="1" x14ac:dyDescent="0.25">
      <c r="A2109" s="148"/>
      <c r="B2109" s="148"/>
      <c r="C2109" s="148"/>
      <c r="D2109" s="138"/>
      <c r="E2109" s="138"/>
      <c r="F2109" s="50">
        <v>43647</v>
      </c>
      <c r="G2109" s="50">
        <v>43830</v>
      </c>
      <c r="H2109" s="150"/>
      <c r="I2109" s="15" t="s">
        <v>23</v>
      </c>
      <c r="J2109" s="15" t="s">
        <v>23</v>
      </c>
      <c r="K2109" s="13">
        <v>37.394237288135486</v>
      </c>
      <c r="L2109" s="13">
        <v>1667.3705909299083</v>
      </c>
      <c r="M2109" s="198"/>
    </row>
    <row r="2110" spans="1:13" ht="15" customHeight="1" outlineLevel="1" x14ac:dyDescent="0.25">
      <c r="A2110" s="148"/>
      <c r="B2110" s="148"/>
      <c r="C2110" s="148"/>
      <c r="D2110" s="138"/>
      <c r="E2110" s="138"/>
      <c r="F2110" s="50">
        <v>43466</v>
      </c>
      <c r="G2110" s="50">
        <v>43646</v>
      </c>
      <c r="H2110" s="150"/>
      <c r="I2110" s="15" t="s">
        <v>23</v>
      </c>
      <c r="J2110" s="15" t="s">
        <v>23</v>
      </c>
      <c r="K2110" s="13">
        <v>36.661016949152433</v>
      </c>
      <c r="L2110" s="13">
        <v>1753.1319086219548</v>
      </c>
      <c r="M2110" s="196" t="s">
        <v>423</v>
      </c>
    </row>
    <row r="2111" spans="1:13" ht="15" customHeight="1" outlineLevel="1" x14ac:dyDescent="0.25">
      <c r="A2111" s="148"/>
      <c r="B2111" s="148"/>
      <c r="C2111" s="148"/>
      <c r="D2111" s="138"/>
      <c r="E2111" s="138"/>
      <c r="F2111" s="50">
        <v>43647</v>
      </c>
      <c r="G2111" s="50">
        <v>43830</v>
      </c>
      <c r="H2111" s="150"/>
      <c r="I2111" s="15" t="s">
        <v>23</v>
      </c>
      <c r="J2111" s="15" t="s">
        <v>23</v>
      </c>
      <c r="K2111" s="13">
        <v>37.394237288135486</v>
      </c>
      <c r="L2111" s="13">
        <v>1788.1945467943942</v>
      </c>
      <c r="M2111" s="198"/>
    </row>
    <row r="2112" spans="1:13" ht="15" customHeight="1" outlineLevel="1" x14ac:dyDescent="0.25">
      <c r="A2112" s="148"/>
      <c r="B2112" s="148"/>
      <c r="C2112" s="148"/>
      <c r="D2112" s="138"/>
      <c r="E2112" s="138"/>
      <c r="F2112" s="50">
        <v>43466</v>
      </c>
      <c r="G2112" s="50">
        <v>43646</v>
      </c>
      <c r="H2112" s="150"/>
      <c r="I2112" s="15" t="s">
        <v>23</v>
      </c>
      <c r="J2112" s="15" t="s">
        <v>23</v>
      </c>
      <c r="K2112" s="13">
        <v>36.661016949152433</v>
      </c>
      <c r="L2112" s="13">
        <v>1832.8197226502257</v>
      </c>
      <c r="M2112" s="196" t="s">
        <v>424</v>
      </c>
    </row>
    <row r="2113" spans="1:13" ht="15" customHeight="1" outlineLevel="1" x14ac:dyDescent="0.25">
      <c r="A2113" s="148"/>
      <c r="B2113" s="148"/>
      <c r="C2113" s="148"/>
      <c r="D2113" s="138"/>
      <c r="E2113" s="138"/>
      <c r="F2113" s="50">
        <v>43647</v>
      </c>
      <c r="G2113" s="50">
        <v>43830</v>
      </c>
      <c r="H2113" s="150"/>
      <c r="I2113" s="15" t="s">
        <v>23</v>
      </c>
      <c r="J2113" s="15" t="s">
        <v>23</v>
      </c>
      <c r="K2113" s="13">
        <v>37.394237288135486</v>
      </c>
      <c r="L2113" s="13">
        <v>1869.4761171032303</v>
      </c>
      <c r="M2113" s="198"/>
    </row>
    <row r="2114" spans="1:13" ht="15" customHeight="1" outlineLevel="1" x14ac:dyDescent="0.25">
      <c r="A2114" s="148"/>
      <c r="B2114" s="148"/>
      <c r="C2114" s="148"/>
      <c r="D2114" s="138"/>
      <c r="E2114" s="138"/>
      <c r="F2114" s="50">
        <v>43466</v>
      </c>
      <c r="G2114" s="50">
        <v>43646</v>
      </c>
      <c r="H2114" s="150"/>
      <c r="I2114" s="15" t="s">
        <v>23</v>
      </c>
      <c r="J2114" s="15" t="s">
        <v>23</v>
      </c>
      <c r="K2114" s="13">
        <v>36.661016949152433</v>
      </c>
      <c r="L2114" s="13">
        <v>1983.0508474576213</v>
      </c>
      <c r="M2114" s="196" t="s">
        <v>425</v>
      </c>
    </row>
    <row r="2115" spans="1:13" ht="15" customHeight="1" outlineLevel="1" x14ac:dyDescent="0.25">
      <c r="A2115" s="148"/>
      <c r="B2115" s="148"/>
      <c r="C2115" s="148"/>
      <c r="D2115" s="138"/>
      <c r="E2115" s="138"/>
      <c r="F2115" s="50">
        <v>43647</v>
      </c>
      <c r="G2115" s="50">
        <v>43830</v>
      </c>
      <c r="H2115" s="150"/>
      <c r="I2115" s="15" t="s">
        <v>23</v>
      </c>
      <c r="J2115" s="15" t="s">
        <v>23</v>
      </c>
      <c r="K2115" s="13">
        <v>37.394237288135486</v>
      </c>
      <c r="L2115" s="13">
        <v>2022.7118644067739</v>
      </c>
      <c r="M2115" s="198"/>
    </row>
    <row r="2116" spans="1:13" ht="15" customHeight="1" outlineLevel="1" x14ac:dyDescent="0.25">
      <c r="A2116" s="148"/>
      <c r="B2116" s="148"/>
      <c r="C2116" s="148"/>
      <c r="D2116" s="138"/>
      <c r="E2116" s="138"/>
      <c r="F2116" s="50">
        <v>43466</v>
      </c>
      <c r="G2116" s="50">
        <v>43646</v>
      </c>
      <c r="H2116" s="150"/>
      <c r="I2116" s="15" t="s">
        <v>23</v>
      </c>
      <c r="J2116" s="15" t="s">
        <v>23</v>
      </c>
      <c r="K2116" s="13">
        <v>36.661016949152433</v>
      </c>
      <c r="L2116" s="13">
        <v>1680.0847457627071</v>
      </c>
      <c r="M2116" s="196" t="s">
        <v>426</v>
      </c>
    </row>
    <row r="2117" spans="1:13" ht="15" customHeight="1" outlineLevel="1" x14ac:dyDescent="0.25">
      <c r="A2117" s="148"/>
      <c r="B2117" s="148"/>
      <c r="C2117" s="148"/>
      <c r="D2117" s="138"/>
      <c r="E2117" s="138"/>
      <c r="F2117" s="50">
        <v>43647</v>
      </c>
      <c r="G2117" s="50">
        <v>43830</v>
      </c>
      <c r="H2117" s="150"/>
      <c r="I2117" s="15" t="s">
        <v>23</v>
      </c>
      <c r="J2117" s="15" t="s">
        <v>23</v>
      </c>
      <c r="K2117" s="13">
        <v>37.394237288135486</v>
      </c>
      <c r="L2117" s="13">
        <v>1713.6864406779614</v>
      </c>
      <c r="M2117" s="198"/>
    </row>
    <row r="2118" spans="1:13" ht="15" customHeight="1" outlineLevel="1" x14ac:dyDescent="0.25">
      <c r="A2118" s="148"/>
      <c r="B2118" s="148"/>
      <c r="C2118" s="148"/>
      <c r="D2118" s="138"/>
      <c r="E2118" s="138"/>
      <c r="F2118" s="50">
        <v>43466</v>
      </c>
      <c r="G2118" s="50">
        <v>43646</v>
      </c>
      <c r="H2118" s="150"/>
      <c r="I2118" s="15" t="s">
        <v>23</v>
      </c>
      <c r="J2118" s="15" t="s">
        <v>23</v>
      </c>
      <c r="K2118" s="13">
        <v>36.661016949152433</v>
      </c>
      <c r="L2118" s="13">
        <v>1832.8197226502257</v>
      </c>
      <c r="M2118" s="196" t="s">
        <v>427</v>
      </c>
    </row>
    <row r="2119" spans="1:13" ht="15" customHeight="1" outlineLevel="1" x14ac:dyDescent="0.25">
      <c r="A2119" s="147"/>
      <c r="B2119" s="147"/>
      <c r="C2119" s="147"/>
      <c r="D2119" s="141"/>
      <c r="E2119" s="141"/>
      <c r="F2119" s="50">
        <v>43647</v>
      </c>
      <c r="G2119" s="50">
        <v>43830</v>
      </c>
      <c r="H2119" s="151"/>
      <c r="I2119" s="15" t="s">
        <v>23</v>
      </c>
      <c r="J2119" s="15" t="s">
        <v>23</v>
      </c>
      <c r="K2119" s="13">
        <v>37.394237288135486</v>
      </c>
      <c r="L2119" s="13">
        <v>1869.4761171032303</v>
      </c>
      <c r="M2119" s="198"/>
    </row>
    <row r="2120" spans="1:13" ht="15" customHeight="1" outlineLevel="1" x14ac:dyDescent="0.25">
      <c r="A2120" s="146" t="s">
        <v>20</v>
      </c>
      <c r="B2120" s="146" t="s">
        <v>27</v>
      </c>
      <c r="C2120" s="146" t="s">
        <v>814</v>
      </c>
      <c r="D2120" s="137">
        <v>43497</v>
      </c>
      <c r="E2120" s="137" t="s">
        <v>823</v>
      </c>
      <c r="F2120" s="12">
        <v>43466</v>
      </c>
      <c r="G2120" s="12">
        <v>43646</v>
      </c>
      <c r="H2120" s="149"/>
      <c r="I2120" s="66">
        <v>95.73</v>
      </c>
      <c r="J2120" s="13">
        <v>7356</v>
      </c>
      <c r="K2120" s="15" t="s">
        <v>23</v>
      </c>
      <c r="L2120" s="15" t="s">
        <v>23</v>
      </c>
      <c r="M2120" s="153"/>
    </row>
    <row r="2121" spans="1:13" ht="15" customHeight="1" outlineLevel="1" x14ac:dyDescent="0.25">
      <c r="A2121" s="148"/>
      <c r="B2121" s="148"/>
      <c r="C2121" s="148"/>
      <c r="D2121" s="141"/>
      <c r="E2121" s="141"/>
      <c r="F2121" s="12">
        <v>43647</v>
      </c>
      <c r="G2121" s="12">
        <v>43830</v>
      </c>
      <c r="H2121" s="151"/>
      <c r="I2121" s="66">
        <v>97.01</v>
      </c>
      <c r="J2121" s="13">
        <v>7497.4</v>
      </c>
      <c r="K2121" s="15" t="s">
        <v>23</v>
      </c>
      <c r="L2121" s="15" t="s">
        <v>23</v>
      </c>
      <c r="M2121" s="152"/>
    </row>
    <row r="2122" spans="1:13" ht="15" customHeight="1" outlineLevel="1" x14ac:dyDescent="0.25">
      <c r="A2122" s="148"/>
      <c r="B2122" s="148"/>
      <c r="C2122" s="148"/>
      <c r="D2122" s="137">
        <v>43454</v>
      </c>
      <c r="E2122" s="137" t="s">
        <v>817</v>
      </c>
      <c r="F2122" s="50">
        <v>43466</v>
      </c>
      <c r="G2122" s="50">
        <v>43646</v>
      </c>
      <c r="H2122" s="149"/>
      <c r="I2122" s="15" t="s">
        <v>23</v>
      </c>
      <c r="J2122" s="15" t="s">
        <v>23</v>
      </c>
      <c r="K2122" s="13">
        <v>37.810169491525315</v>
      </c>
      <c r="L2122" s="13">
        <v>1311.4222549742037</v>
      </c>
      <c r="M2122" s="196" t="s">
        <v>420</v>
      </c>
    </row>
    <row r="2123" spans="1:13" ht="15" customHeight="1" outlineLevel="1" x14ac:dyDescent="0.25">
      <c r="A2123" s="148"/>
      <c r="B2123" s="148"/>
      <c r="C2123" s="148"/>
      <c r="D2123" s="138"/>
      <c r="E2123" s="138"/>
      <c r="F2123" s="50">
        <v>43647</v>
      </c>
      <c r="G2123" s="50">
        <v>43830</v>
      </c>
      <c r="H2123" s="150"/>
      <c r="I2123" s="15" t="s">
        <v>23</v>
      </c>
      <c r="J2123" s="15" t="s">
        <v>23</v>
      </c>
      <c r="K2123" s="13">
        <v>38.566372881355825</v>
      </c>
      <c r="L2123" s="13">
        <v>1337.6507000736876</v>
      </c>
      <c r="M2123" s="198"/>
    </row>
    <row r="2124" spans="1:13" ht="15" customHeight="1" outlineLevel="1" x14ac:dyDescent="0.25">
      <c r="A2124" s="148"/>
      <c r="B2124" s="148"/>
      <c r="C2124" s="148"/>
      <c r="D2124" s="138"/>
      <c r="E2124" s="138"/>
      <c r="F2124" s="50">
        <v>43466</v>
      </c>
      <c r="G2124" s="50">
        <v>43646</v>
      </c>
      <c r="H2124" s="150"/>
      <c r="I2124" s="15" t="s">
        <v>23</v>
      </c>
      <c r="J2124" s="15" t="s">
        <v>23</v>
      </c>
      <c r="K2124" s="13">
        <v>37.810169491525315</v>
      </c>
      <c r="L2124" s="13">
        <v>1436.3196125907946</v>
      </c>
      <c r="M2124" s="196" t="s">
        <v>421</v>
      </c>
    </row>
    <row r="2125" spans="1:13" ht="15" customHeight="1" outlineLevel="1" x14ac:dyDescent="0.25">
      <c r="A2125" s="148"/>
      <c r="B2125" s="148"/>
      <c r="C2125" s="148"/>
      <c r="D2125" s="138"/>
      <c r="E2125" s="138"/>
      <c r="F2125" s="50">
        <v>43647</v>
      </c>
      <c r="G2125" s="50">
        <v>43830</v>
      </c>
      <c r="H2125" s="150"/>
      <c r="I2125" s="15" t="s">
        <v>23</v>
      </c>
      <c r="J2125" s="15" t="s">
        <v>23</v>
      </c>
      <c r="K2125" s="13">
        <v>38.566372881355825</v>
      </c>
      <c r="L2125" s="13">
        <v>1465.0460048426105</v>
      </c>
      <c r="M2125" s="198"/>
    </row>
    <row r="2126" spans="1:13" ht="15" customHeight="1" outlineLevel="1" x14ac:dyDescent="0.25">
      <c r="A2126" s="148"/>
      <c r="B2126" s="148"/>
      <c r="C2126" s="148"/>
      <c r="D2126" s="138"/>
      <c r="E2126" s="138"/>
      <c r="F2126" s="50">
        <v>43466</v>
      </c>
      <c r="G2126" s="50">
        <v>43646</v>
      </c>
      <c r="H2126" s="150"/>
      <c r="I2126" s="15" t="s">
        <v>23</v>
      </c>
      <c r="J2126" s="15" t="s">
        <v>23</v>
      </c>
      <c r="K2126" s="13">
        <v>37.810169491525315</v>
      </c>
      <c r="L2126" s="13">
        <v>1222.8126431516225</v>
      </c>
      <c r="M2126" s="196" t="s">
        <v>422</v>
      </c>
    </row>
    <row r="2127" spans="1:13" ht="15" customHeight="1" outlineLevel="1" x14ac:dyDescent="0.25">
      <c r="A2127" s="148"/>
      <c r="B2127" s="148"/>
      <c r="C2127" s="148"/>
      <c r="D2127" s="138"/>
      <c r="E2127" s="138"/>
      <c r="F2127" s="50">
        <v>43647</v>
      </c>
      <c r="G2127" s="50">
        <v>43830</v>
      </c>
      <c r="H2127" s="150"/>
      <c r="I2127" s="15" t="s">
        <v>23</v>
      </c>
      <c r="J2127" s="15" t="s">
        <v>23</v>
      </c>
      <c r="K2127" s="13">
        <v>38.566372881355825</v>
      </c>
      <c r="L2127" s="13">
        <v>1247.268896014655</v>
      </c>
      <c r="M2127" s="198"/>
    </row>
    <row r="2128" spans="1:13" ht="15" customHeight="1" outlineLevel="1" x14ac:dyDescent="0.25">
      <c r="A2128" s="148"/>
      <c r="B2128" s="148"/>
      <c r="C2128" s="148"/>
      <c r="D2128" s="138"/>
      <c r="E2128" s="138"/>
      <c r="F2128" s="50">
        <v>43466</v>
      </c>
      <c r="G2128" s="50">
        <v>43646</v>
      </c>
      <c r="H2128" s="150"/>
      <c r="I2128" s="15" t="s">
        <v>23</v>
      </c>
      <c r="J2128" s="15" t="s">
        <v>23</v>
      </c>
      <c r="K2128" s="13">
        <v>37.810169491525315</v>
      </c>
      <c r="L2128" s="13">
        <v>1311.4222549742037</v>
      </c>
      <c r="M2128" s="196" t="s">
        <v>423</v>
      </c>
    </row>
    <row r="2129" spans="1:13" ht="15" customHeight="1" outlineLevel="1" x14ac:dyDescent="0.25">
      <c r="A2129" s="148"/>
      <c r="B2129" s="148"/>
      <c r="C2129" s="148"/>
      <c r="D2129" s="138"/>
      <c r="E2129" s="138"/>
      <c r="F2129" s="50">
        <v>43647</v>
      </c>
      <c r="G2129" s="50">
        <v>43830</v>
      </c>
      <c r="H2129" s="150"/>
      <c r="I2129" s="15" t="s">
        <v>23</v>
      </c>
      <c r="J2129" s="15" t="s">
        <v>23</v>
      </c>
      <c r="K2129" s="13">
        <v>38.566372881355825</v>
      </c>
      <c r="L2129" s="13">
        <v>1337.6507000736876</v>
      </c>
      <c r="M2129" s="198"/>
    </row>
    <row r="2130" spans="1:13" ht="15" customHeight="1" outlineLevel="1" x14ac:dyDescent="0.25">
      <c r="A2130" s="148"/>
      <c r="B2130" s="148"/>
      <c r="C2130" s="148"/>
      <c r="D2130" s="138"/>
      <c r="E2130" s="138"/>
      <c r="F2130" s="50">
        <v>43466</v>
      </c>
      <c r="G2130" s="50">
        <v>43646</v>
      </c>
      <c r="H2130" s="150"/>
      <c r="I2130" s="15" t="s">
        <v>23</v>
      </c>
      <c r="J2130" s="15" t="s">
        <v>23</v>
      </c>
      <c r="K2130" s="13">
        <v>37.810169491525315</v>
      </c>
      <c r="L2130" s="13">
        <v>1371.0323574730312</v>
      </c>
      <c r="M2130" s="196" t="s">
        <v>424</v>
      </c>
    </row>
    <row r="2131" spans="1:13" ht="15" customHeight="1" outlineLevel="1" x14ac:dyDescent="0.25">
      <c r="A2131" s="148"/>
      <c r="B2131" s="148"/>
      <c r="C2131" s="148"/>
      <c r="D2131" s="138"/>
      <c r="E2131" s="138"/>
      <c r="F2131" s="50">
        <v>43647</v>
      </c>
      <c r="G2131" s="50">
        <v>43830</v>
      </c>
      <c r="H2131" s="150"/>
      <c r="I2131" s="15" t="s">
        <v>23</v>
      </c>
      <c r="J2131" s="15" t="s">
        <v>23</v>
      </c>
      <c r="K2131" s="13">
        <v>38.566372881355825</v>
      </c>
      <c r="L2131" s="13">
        <v>1398.4530046224918</v>
      </c>
      <c r="M2131" s="198"/>
    </row>
    <row r="2132" spans="1:13" ht="15" customHeight="1" outlineLevel="1" x14ac:dyDescent="0.25">
      <c r="A2132" s="148"/>
      <c r="B2132" s="148"/>
      <c r="C2132" s="148"/>
      <c r="D2132" s="138"/>
      <c r="E2132" s="138"/>
      <c r="F2132" s="50">
        <v>43466</v>
      </c>
      <c r="G2132" s="50">
        <v>43646</v>
      </c>
      <c r="H2132" s="150"/>
      <c r="I2132" s="15" t="s">
        <v>23</v>
      </c>
      <c r="J2132" s="15" t="s">
        <v>23</v>
      </c>
      <c r="K2132" s="13">
        <v>37.810169491525315</v>
      </c>
      <c r="L2132" s="13">
        <v>1483.412058905247</v>
      </c>
      <c r="M2132" s="196" t="s">
        <v>425</v>
      </c>
    </row>
    <row r="2133" spans="1:13" ht="15" customHeight="1" outlineLevel="1" x14ac:dyDescent="0.25">
      <c r="A2133" s="148"/>
      <c r="B2133" s="148"/>
      <c r="C2133" s="148"/>
      <c r="D2133" s="138"/>
      <c r="E2133" s="138"/>
      <c r="F2133" s="50">
        <v>43647</v>
      </c>
      <c r="G2133" s="50">
        <v>43830</v>
      </c>
      <c r="H2133" s="150"/>
      <c r="I2133" s="15" t="s">
        <v>23</v>
      </c>
      <c r="J2133" s="15" t="s">
        <v>23</v>
      </c>
      <c r="K2133" s="13">
        <v>38.566372881355825</v>
      </c>
      <c r="L2133" s="13">
        <v>1513.0803000833519</v>
      </c>
      <c r="M2133" s="198"/>
    </row>
    <row r="2134" spans="1:13" ht="15" customHeight="1" outlineLevel="1" x14ac:dyDescent="0.25">
      <c r="A2134" s="148"/>
      <c r="B2134" s="148"/>
      <c r="C2134" s="148"/>
      <c r="D2134" s="138"/>
      <c r="E2134" s="138"/>
      <c r="F2134" s="50">
        <v>43466</v>
      </c>
      <c r="G2134" s="50">
        <v>43646</v>
      </c>
      <c r="H2134" s="150"/>
      <c r="I2134" s="15" t="s">
        <v>23</v>
      </c>
      <c r="J2134" s="15" t="s">
        <v>23</v>
      </c>
      <c r="K2134" s="13">
        <v>37.810169491525315</v>
      </c>
      <c r="L2134" s="13">
        <v>1256.7796610169455</v>
      </c>
      <c r="M2134" s="196" t="s">
        <v>426</v>
      </c>
    </row>
    <row r="2135" spans="1:13" ht="15" customHeight="1" outlineLevel="1" x14ac:dyDescent="0.25">
      <c r="A2135" s="148"/>
      <c r="B2135" s="148"/>
      <c r="C2135" s="148"/>
      <c r="D2135" s="138"/>
      <c r="E2135" s="138"/>
      <c r="F2135" s="50">
        <v>43647</v>
      </c>
      <c r="G2135" s="50">
        <v>43830</v>
      </c>
      <c r="H2135" s="150"/>
      <c r="I2135" s="15" t="s">
        <v>23</v>
      </c>
      <c r="J2135" s="15" t="s">
        <v>23</v>
      </c>
      <c r="K2135" s="13">
        <v>38.566372881355825</v>
      </c>
      <c r="L2135" s="13">
        <v>1281.9152542372842</v>
      </c>
      <c r="M2135" s="198"/>
    </row>
    <row r="2136" spans="1:13" ht="15" customHeight="1" outlineLevel="1" x14ac:dyDescent="0.25">
      <c r="A2136" s="148"/>
      <c r="B2136" s="148"/>
      <c r="C2136" s="148"/>
      <c r="D2136" s="138"/>
      <c r="E2136" s="138"/>
      <c r="F2136" s="50">
        <v>43466</v>
      </c>
      <c r="G2136" s="50">
        <v>43646</v>
      </c>
      <c r="H2136" s="150"/>
      <c r="I2136" s="15" t="s">
        <v>23</v>
      </c>
      <c r="J2136" s="15" t="s">
        <v>23</v>
      </c>
      <c r="K2136" s="13">
        <v>37.810169491525315</v>
      </c>
      <c r="L2136" s="13">
        <v>1371.0323574730312</v>
      </c>
      <c r="M2136" s="196" t="s">
        <v>427</v>
      </c>
    </row>
    <row r="2137" spans="1:13" ht="15" customHeight="1" outlineLevel="1" x14ac:dyDescent="0.25">
      <c r="A2137" s="147"/>
      <c r="B2137" s="147"/>
      <c r="C2137" s="148"/>
      <c r="D2137" s="141"/>
      <c r="E2137" s="141"/>
      <c r="F2137" s="50">
        <v>43647</v>
      </c>
      <c r="G2137" s="50">
        <v>43830</v>
      </c>
      <c r="H2137" s="151"/>
      <c r="I2137" s="15" t="s">
        <v>23</v>
      </c>
      <c r="J2137" s="15" t="s">
        <v>23</v>
      </c>
      <c r="K2137" s="13">
        <v>38.566372881355825</v>
      </c>
      <c r="L2137" s="13">
        <v>1398.4530046224918</v>
      </c>
      <c r="M2137" s="198"/>
    </row>
    <row r="2138" spans="1:13" ht="15" customHeight="1" outlineLevel="1" x14ac:dyDescent="0.25">
      <c r="A2138" s="146" t="s">
        <v>20</v>
      </c>
      <c r="B2138" s="146" t="s">
        <v>26</v>
      </c>
      <c r="C2138" s="148"/>
      <c r="D2138" s="137">
        <v>43497</v>
      </c>
      <c r="E2138" s="137" t="s">
        <v>823</v>
      </c>
      <c r="F2138" s="12">
        <v>43466</v>
      </c>
      <c r="G2138" s="12">
        <v>43646</v>
      </c>
      <c r="H2138" s="149"/>
      <c r="I2138" s="66">
        <v>95.73</v>
      </c>
      <c r="J2138" s="13">
        <v>7356</v>
      </c>
      <c r="K2138" s="15" t="s">
        <v>23</v>
      </c>
      <c r="L2138" s="15" t="s">
        <v>23</v>
      </c>
      <c r="M2138" s="153"/>
    </row>
    <row r="2139" spans="1:13" ht="15" customHeight="1" outlineLevel="1" x14ac:dyDescent="0.25">
      <c r="A2139" s="148"/>
      <c r="B2139" s="148"/>
      <c r="C2139" s="148"/>
      <c r="D2139" s="141"/>
      <c r="E2139" s="141"/>
      <c r="F2139" s="12">
        <v>43647</v>
      </c>
      <c r="G2139" s="12">
        <v>43830</v>
      </c>
      <c r="H2139" s="151"/>
      <c r="I2139" s="66">
        <v>97.01</v>
      </c>
      <c r="J2139" s="13">
        <v>7497.4</v>
      </c>
      <c r="K2139" s="15" t="s">
        <v>23</v>
      </c>
      <c r="L2139" s="15" t="s">
        <v>23</v>
      </c>
      <c r="M2139" s="152"/>
    </row>
    <row r="2140" spans="1:13" ht="15" customHeight="1" outlineLevel="1" x14ac:dyDescent="0.25">
      <c r="A2140" s="148"/>
      <c r="B2140" s="148"/>
      <c r="C2140" s="148"/>
      <c r="D2140" s="137">
        <v>43454</v>
      </c>
      <c r="E2140" s="137" t="s">
        <v>817</v>
      </c>
      <c r="F2140" s="50">
        <v>43466</v>
      </c>
      <c r="G2140" s="50">
        <v>43646</v>
      </c>
      <c r="H2140" s="149"/>
      <c r="I2140" s="15" t="s">
        <v>23</v>
      </c>
      <c r="J2140" s="15" t="s">
        <v>23</v>
      </c>
      <c r="K2140" s="13">
        <v>24.966101694915181</v>
      </c>
      <c r="L2140" s="13">
        <v>1532.350773765655</v>
      </c>
      <c r="M2140" s="196" t="s">
        <v>420</v>
      </c>
    </row>
    <row r="2141" spans="1:13" ht="15" customHeight="1" outlineLevel="1" x14ac:dyDescent="0.25">
      <c r="A2141" s="148"/>
      <c r="B2141" s="148"/>
      <c r="C2141" s="148"/>
      <c r="D2141" s="138"/>
      <c r="E2141" s="138"/>
      <c r="F2141" s="50">
        <v>43647</v>
      </c>
      <c r="G2141" s="50">
        <v>43830</v>
      </c>
      <c r="H2141" s="150"/>
      <c r="I2141" s="15" t="s">
        <v>23</v>
      </c>
      <c r="J2141" s="15" t="s">
        <v>23</v>
      </c>
      <c r="K2141" s="13">
        <v>25.465423728813487</v>
      </c>
      <c r="L2141" s="13">
        <v>1562.9977892409679</v>
      </c>
      <c r="M2141" s="198"/>
    </row>
    <row r="2142" spans="1:13" ht="15" customHeight="1" outlineLevel="1" x14ac:dyDescent="0.25">
      <c r="A2142" s="148"/>
      <c r="B2142" s="148"/>
      <c r="C2142" s="148"/>
      <c r="D2142" s="138"/>
      <c r="E2142" s="138"/>
      <c r="F2142" s="50">
        <v>43466</v>
      </c>
      <c r="G2142" s="50">
        <v>43646</v>
      </c>
      <c r="H2142" s="150"/>
      <c r="I2142" s="15" t="s">
        <v>23</v>
      </c>
      <c r="J2142" s="15" t="s">
        <v>23</v>
      </c>
      <c r="K2142" s="13">
        <v>24.966101694915181</v>
      </c>
      <c r="L2142" s="13">
        <v>1678.2889426957174</v>
      </c>
      <c r="M2142" s="196" t="s">
        <v>421</v>
      </c>
    </row>
    <row r="2143" spans="1:13" ht="15" customHeight="1" outlineLevel="1" x14ac:dyDescent="0.25">
      <c r="A2143" s="148"/>
      <c r="B2143" s="148"/>
      <c r="C2143" s="148"/>
      <c r="D2143" s="138"/>
      <c r="E2143" s="138"/>
      <c r="F2143" s="50">
        <v>43647</v>
      </c>
      <c r="G2143" s="50">
        <v>43830</v>
      </c>
      <c r="H2143" s="150"/>
      <c r="I2143" s="15" t="s">
        <v>23</v>
      </c>
      <c r="J2143" s="15" t="s">
        <v>23</v>
      </c>
      <c r="K2143" s="13">
        <v>25.465423728813487</v>
      </c>
      <c r="L2143" s="13">
        <v>1711.8547215496317</v>
      </c>
      <c r="M2143" s="198"/>
    </row>
    <row r="2144" spans="1:13" ht="15" customHeight="1" outlineLevel="1" x14ac:dyDescent="0.25">
      <c r="A2144" s="148"/>
      <c r="B2144" s="148"/>
      <c r="C2144" s="148"/>
      <c r="D2144" s="138"/>
      <c r="E2144" s="138"/>
      <c r="F2144" s="50">
        <v>43466</v>
      </c>
      <c r="G2144" s="50">
        <v>43646</v>
      </c>
      <c r="H2144" s="150"/>
      <c r="I2144" s="15" t="s">
        <v>23</v>
      </c>
      <c r="J2144" s="15" t="s">
        <v>23</v>
      </c>
      <c r="K2144" s="13">
        <v>24.966101694915181</v>
      </c>
      <c r="L2144" s="13">
        <v>1428.81355932203</v>
      </c>
      <c r="M2144" s="196" t="s">
        <v>422</v>
      </c>
    </row>
    <row r="2145" spans="1:13" ht="15" customHeight="1" outlineLevel="1" x14ac:dyDescent="0.25">
      <c r="A2145" s="148"/>
      <c r="B2145" s="148"/>
      <c r="C2145" s="148"/>
      <c r="D2145" s="138"/>
      <c r="E2145" s="138"/>
      <c r="F2145" s="50">
        <v>43647</v>
      </c>
      <c r="G2145" s="50">
        <v>43830</v>
      </c>
      <c r="H2145" s="150"/>
      <c r="I2145" s="15" t="s">
        <v>23</v>
      </c>
      <c r="J2145" s="15" t="s">
        <v>23</v>
      </c>
      <c r="K2145" s="13">
        <v>25.465423728813487</v>
      </c>
      <c r="L2145" s="13">
        <v>1457.3898305084704</v>
      </c>
      <c r="M2145" s="198"/>
    </row>
    <row r="2146" spans="1:13" ht="15" customHeight="1" outlineLevel="1" x14ac:dyDescent="0.25">
      <c r="A2146" s="148"/>
      <c r="B2146" s="148"/>
      <c r="C2146" s="148"/>
      <c r="D2146" s="138"/>
      <c r="E2146" s="138"/>
      <c r="F2146" s="50">
        <v>43466</v>
      </c>
      <c r="G2146" s="50">
        <v>43646</v>
      </c>
      <c r="H2146" s="150"/>
      <c r="I2146" s="15" t="s">
        <v>23</v>
      </c>
      <c r="J2146" s="15" t="s">
        <v>23</v>
      </c>
      <c r="K2146" s="13">
        <v>24.966101694915181</v>
      </c>
      <c r="L2146" s="13">
        <v>1532.350773765655</v>
      </c>
      <c r="M2146" s="196" t="s">
        <v>423</v>
      </c>
    </row>
    <row r="2147" spans="1:13" ht="15" customHeight="1" outlineLevel="1" x14ac:dyDescent="0.25">
      <c r="A2147" s="148"/>
      <c r="B2147" s="148"/>
      <c r="C2147" s="148"/>
      <c r="D2147" s="138"/>
      <c r="E2147" s="138"/>
      <c r="F2147" s="50">
        <v>43647</v>
      </c>
      <c r="G2147" s="50">
        <v>43830</v>
      </c>
      <c r="H2147" s="150"/>
      <c r="I2147" s="15" t="s">
        <v>23</v>
      </c>
      <c r="J2147" s="15" t="s">
        <v>23</v>
      </c>
      <c r="K2147" s="13">
        <v>25.465423728813487</v>
      </c>
      <c r="L2147" s="13">
        <v>1562.9977892409679</v>
      </c>
      <c r="M2147" s="198"/>
    </row>
    <row r="2148" spans="1:13" ht="15" customHeight="1" outlineLevel="1" x14ac:dyDescent="0.25">
      <c r="A2148" s="148"/>
      <c r="B2148" s="148"/>
      <c r="C2148" s="148"/>
      <c r="D2148" s="138"/>
      <c r="E2148" s="138"/>
      <c r="F2148" s="50">
        <v>43466</v>
      </c>
      <c r="G2148" s="50">
        <v>43646</v>
      </c>
      <c r="H2148" s="150"/>
      <c r="I2148" s="15" t="s">
        <v>23</v>
      </c>
      <c r="J2148" s="15" t="s">
        <v>23</v>
      </c>
      <c r="K2148" s="13">
        <v>24.966101694915181</v>
      </c>
      <c r="L2148" s="13">
        <v>1602.003081664094</v>
      </c>
      <c r="M2148" s="196" t="s">
        <v>424</v>
      </c>
    </row>
    <row r="2149" spans="1:13" ht="15" customHeight="1" outlineLevel="1" x14ac:dyDescent="0.25">
      <c r="A2149" s="148"/>
      <c r="B2149" s="148"/>
      <c r="C2149" s="148"/>
      <c r="D2149" s="138"/>
      <c r="E2149" s="138"/>
      <c r="F2149" s="50">
        <v>43647</v>
      </c>
      <c r="G2149" s="50">
        <v>43830</v>
      </c>
      <c r="H2149" s="150"/>
      <c r="I2149" s="15" t="s">
        <v>23</v>
      </c>
      <c r="J2149" s="15" t="s">
        <v>23</v>
      </c>
      <c r="K2149" s="13">
        <v>25.465423728813487</v>
      </c>
      <c r="L2149" s="13">
        <v>1634.0431432973755</v>
      </c>
      <c r="M2149" s="198"/>
    </row>
    <row r="2150" spans="1:13" ht="15" customHeight="1" outlineLevel="1" x14ac:dyDescent="0.25">
      <c r="A2150" s="148"/>
      <c r="B2150" s="148"/>
      <c r="C2150" s="148"/>
      <c r="D2150" s="138"/>
      <c r="E2150" s="138"/>
      <c r="F2150" s="50">
        <v>43466</v>
      </c>
      <c r="G2150" s="50">
        <v>43646</v>
      </c>
      <c r="H2150" s="150"/>
      <c r="I2150" s="15" t="s">
        <v>23</v>
      </c>
      <c r="J2150" s="15" t="s">
        <v>23</v>
      </c>
      <c r="K2150" s="13">
        <v>24.966101694915181</v>
      </c>
      <c r="L2150" s="13">
        <v>1733.3148096693476</v>
      </c>
      <c r="M2150" s="196" t="s">
        <v>425</v>
      </c>
    </row>
    <row r="2151" spans="1:13" ht="15" customHeight="1" outlineLevel="1" x14ac:dyDescent="0.25">
      <c r="A2151" s="148"/>
      <c r="B2151" s="148"/>
      <c r="C2151" s="148"/>
      <c r="D2151" s="138"/>
      <c r="E2151" s="138"/>
      <c r="F2151" s="50">
        <v>43647</v>
      </c>
      <c r="G2151" s="50">
        <v>43830</v>
      </c>
      <c r="H2151" s="150"/>
      <c r="I2151" s="15" t="s">
        <v>23</v>
      </c>
      <c r="J2151" s="15" t="s">
        <v>23</v>
      </c>
      <c r="K2151" s="13">
        <v>25.465423728813487</v>
      </c>
      <c r="L2151" s="13">
        <v>1767.9811058627345</v>
      </c>
      <c r="M2151" s="198"/>
    </row>
    <row r="2152" spans="1:13" ht="15" customHeight="1" outlineLevel="1" x14ac:dyDescent="0.25">
      <c r="A2152" s="148"/>
      <c r="B2152" s="148"/>
      <c r="C2152" s="148"/>
      <c r="D2152" s="138"/>
      <c r="E2152" s="138"/>
      <c r="F2152" s="50">
        <v>43466</v>
      </c>
      <c r="G2152" s="50">
        <v>43646</v>
      </c>
      <c r="H2152" s="150"/>
      <c r="I2152" s="15" t="s">
        <v>23</v>
      </c>
      <c r="J2152" s="15" t="s">
        <v>23</v>
      </c>
      <c r="K2152" s="13">
        <v>24.966101694915181</v>
      </c>
      <c r="L2152" s="13">
        <v>1468.502824858753</v>
      </c>
      <c r="M2152" s="196" t="s">
        <v>426</v>
      </c>
    </row>
    <row r="2153" spans="1:13" ht="15" customHeight="1" outlineLevel="1" x14ac:dyDescent="0.25">
      <c r="A2153" s="148"/>
      <c r="B2153" s="148"/>
      <c r="C2153" s="148"/>
      <c r="D2153" s="138"/>
      <c r="E2153" s="138"/>
      <c r="F2153" s="50">
        <v>43647</v>
      </c>
      <c r="G2153" s="50">
        <v>43830</v>
      </c>
      <c r="H2153" s="150"/>
      <c r="I2153" s="15" t="s">
        <v>23</v>
      </c>
      <c r="J2153" s="15" t="s">
        <v>23</v>
      </c>
      <c r="K2153" s="13">
        <v>25.465423728813487</v>
      </c>
      <c r="L2153" s="13">
        <v>1497.8728813559278</v>
      </c>
      <c r="M2153" s="198"/>
    </row>
    <row r="2154" spans="1:13" ht="15" customHeight="1" outlineLevel="1" x14ac:dyDescent="0.25">
      <c r="A2154" s="148"/>
      <c r="B2154" s="148"/>
      <c r="C2154" s="148"/>
      <c r="D2154" s="138"/>
      <c r="E2154" s="138"/>
      <c r="F2154" s="50">
        <v>43466</v>
      </c>
      <c r="G2154" s="50">
        <v>43646</v>
      </c>
      <c r="H2154" s="150"/>
      <c r="I2154" s="15" t="s">
        <v>23</v>
      </c>
      <c r="J2154" s="15" t="s">
        <v>23</v>
      </c>
      <c r="K2154" s="13">
        <v>24.966101694915181</v>
      </c>
      <c r="L2154" s="13">
        <v>1602.003081664094</v>
      </c>
      <c r="M2154" s="196" t="s">
        <v>427</v>
      </c>
    </row>
    <row r="2155" spans="1:13" ht="15" customHeight="1" outlineLevel="1" x14ac:dyDescent="0.25">
      <c r="A2155" s="147"/>
      <c r="B2155" s="147"/>
      <c r="C2155" s="147"/>
      <c r="D2155" s="141"/>
      <c r="E2155" s="141"/>
      <c r="F2155" s="50">
        <v>43647</v>
      </c>
      <c r="G2155" s="50">
        <v>43830</v>
      </c>
      <c r="H2155" s="151"/>
      <c r="I2155" s="15" t="s">
        <v>23</v>
      </c>
      <c r="J2155" s="15" t="s">
        <v>23</v>
      </c>
      <c r="K2155" s="13">
        <v>25.465423728813487</v>
      </c>
      <c r="L2155" s="13">
        <v>1634.0431432973755</v>
      </c>
      <c r="M2155" s="198"/>
    </row>
    <row r="2156" spans="1:13" ht="15" customHeight="1" outlineLevel="1" x14ac:dyDescent="0.25">
      <c r="A2156" s="146" t="s">
        <v>20</v>
      </c>
      <c r="B2156" s="146" t="s">
        <v>25</v>
      </c>
      <c r="C2156" s="146" t="s">
        <v>70</v>
      </c>
      <c r="D2156" s="137">
        <v>43448</v>
      </c>
      <c r="E2156" s="137" t="s">
        <v>819</v>
      </c>
      <c r="F2156" s="12">
        <v>43466</v>
      </c>
      <c r="G2156" s="12">
        <v>43646</v>
      </c>
      <c r="H2156" s="149"/>
      <c r="I2156" s="66">
        <v>76.72</v>
      </c>
      <c r="J2156" s="13">
        <v>5772.37</v>
      </c>
      <c r="K2156" s="15" t="s">
        <v>23</v>
      </c>
      <c r="L2156" s="15" t="s">
        <v>23</v>
      </c>
      <c r="M2156" s="153"/>
    </row>
    <row r="2157" spans="1:13" ht="15" customHeight="1" outlineLevel="1" x14ac:dyDescent="0.25">
      <c r="A2157" s="148"/>
      <c r="B2157" s="148"/>
      <c r="C2157" s="148"/>
      <c r="D2157" s="141"/>
      <c r="E2157" s="141"/>
      <c r="F2157" s="12">
        <v>43647</v>
      </c>
      <c r="G2157" s="12">
        <v>43830</v>
      </c>
      <c r="H2157" s="151"/>
      <c r="I2157" s="66">
        <v>78.86</v>
      </c>
      <c r="J2157" s="13">
        <v>7503.04</v>
      </c>
      <c r="K2157" s="15" t="s">
        <v>23</v>
      </c>
      <c r="L2157" s="15" t="s">
        <v>23</v>
      </c>
      <c r="M2157" s="152"/>
    </row>
    <row r="2158" spans="1:13" ht="15" customHeight="1" outlineLevel="1" x14ac:dyDescent="0.25">
      <c r="A2158" s="148"/>
      <c r="B2158" s="148"/>
      <c r="C2158" s="148"/>
      <c r="D2158" s="137">
        <v>43454</v>
      </c>
      <c r="E2158" s="137" t="s">
        <v>817</v>
      </c>
      <c r="F2158" s="50">
        <v>43466</v>
      </c>
      <c r="G2158" s="50">
        <v>43646</v>
      </c>
      <c r="H2158" s="149"/>
      <c r="I2158" s="15" t="s">
        <v>23</v>
      </c>
      <c r="J2158" s="15" t="s">
        <v>23</v>
      </c>
      <c r="K2158" s="13">
        <v>23.24</v>
      </c>
      <c r="L2158" s="13">
        <v>1520.2898550724635</v>
      </c>
      <c r="M2158" s="196" t="s">
        <v>420</v>
      </c>
    </row>
    <row r="2159" spans="1:13" ht="15" customHeight="1" outlineLevel="1" x14ac:dyDescent="0.25">
      <c r="A2159" s="148"/>
      <c r="B2159" s="148"/>
      <c r="C2159" s="148"/>
      <c r="D2159" s="138"/>
      <c r="E2159" s="138"/>
      <c r="F2159" s="50">
        <v>43647</v>
      </c>
      <c r="G2159" s="50">
        <v>43830</v>
      </c>
      <c r="H2159" s="150"/>
      <c r="I2159" s="15" t="s">
        <v>23</v>
      </c>
      <c r="J2159" s="15" t="s">
        <v>23</v>
      </c>
      <c r="K2159" s="13">
        <v>23.704799999999999</v>
      </c>
      <c r="L2159" s="13">
        <v>1550.6956521739128</v>
      </c>
      <c r="M2159" s="198"/>
    </row>
    <row r="2160" spans="1:13" ht="15" customHeight="1" outlineLevel="1" x14ac:dyDescent="0.25">
      <c r="A2160" s="148"/>
      <c r="B2160" s="148"/>
      <c r="C2160" s="148"/>
      <c r="D2160" s="138"/>
      <c r="E2160" s="138"/>
      <c r="F2160" s="50">
        <v>43466</v>
      </c>
      <c r="G2160" s="50">
        <v>43646</v>
      </c>
      <c r="H2160" s="150"/>
      <c r="I2160" s="15" t="s">
        <v>23</v>
      </c>
      <c r="J2160" s="15" t="s">
        <v>23</v>
      </c>
      <c r="K2160" s="13">
        <v>23.24</v>
      </c>
      <c r="L2160" s="13">
        <v>1665.0793650793648</v>
      </c>
      <c r="M2160" s="196" t="s">
        <v>421</v>
      </c>
    </row>
    <row r="2161" spans="1:13" ht="15" customHeight="1" outlineLevel="1" x14ac:dyDescent="0.25">
      <c r="A2161" s="148"/>
      <c r="B2161" s="148"/>
      <c r="C2161" s="148"/>
      <c r="D2161" s="138"/>
      <c r="E2161" s="138"/>
      <c r="F2161" s="50">
        <v>43647</v>
      </c>
      <c r="G2161" s="50">
        <v>43830</v>
      </c>
      <c r="H2161" s="150"/>
      <c r="I2161" s="15" t="s">
        <v>23</v>
      </c>
      <c r="J2161" s="15" t="s">
        <v>23</v>
      </c>
      <c r="K2161" s="13">
        <v>23.704799999999999</v>
      </c>
      <c r="L2161" s="13">
        <v>1698.3809523809523</v>
      </c>
      <c r="M2161" s="198"/>
    </row>
    <row r="2162" spans="1:13" ht="15" customHeight="1" outlineLevel="1" x14ac:dyDescent="0.25">
      <c r="A2162" s="148"/>
      <c r="B2162" s="148"/>
      <c r="C2162" s="148"/>
      <c r="D2162" s="138"/>
      <c r="E2162" s="138"/>
      <c r="F2162" s="50">
        <v>43466</v>
      </c>
      <c r="G2162" s="50">
        <v>43646</v>
      </c>
      <c r="H2162" s="150"/>
      <c r="I2162" s="15" t="s">
        <v>23</v>
      </c>
      <c r="J2162" s="15" t="s">
        <v>23</v>
      </c>
      <c r="K2162" s="13">
        <v>23.24</v>
      </c>
      <c r="L2162" s="13">
        <v>1417.5675675675675</v>
      </c>
      <c r="M2162" s="196" t="s">
        <v>422</v>
      </c>
    </row>
    <row r="2163" spans="1:13" ht="15" customHeight="1" outlineLevel="1" x14ac:dyDescent="0.25">
      <c r="A2163" s="148"/>
      <c r="B2163" s="148"/>
      <c r="C2163" s="148"/>
      <c r="D2163" s="138"/>
      <c r="E2163" s="138"/>
      <c r="F2163" s="50">
        <v>43647</v>
      </c>
      <c r="G2163" s="50">
        <v>43830</v>
      </c>
      <c r="H2163" s="150"/>
      <c r="I2163" s="15" t="s">
        <v>23</v>
      </c>
      <c r="J2163" s="15" t="s">
        <v>23</v>
      </c>
      <c r="K2163" s="13">
        <v>23.704799999999999</v>
      </c>
      <c r="L2163" s="13">
        <v>1445.918918918919</v>
      </c>
      <c r="M2163" s="198"/>
    </row>
    <row r="2164" spans="1:13" ht="15" customHeight="1" outlineLevel="1" x14ac:dyDescent="0.25">
      <c r="A2164" s="148"/>
      <c r="B2164" s="148"/>
      <c r="C2164" s="148"/>
      <c r="D2164" s="138"/>
      <c r="E2164" s="138"/>
      <c r="F2164" s="50">
        <v>43466</v>
      </c>
      <c r="G2164" s="50">
        <v>43646</v>
      </c>
      <c r="H2164" s="150"/>
      <c r="I2164" s="15" t="s">
        <v>23</v>
      </c>
      <c r="J2164" s="15" t="s">
        <v>23</v>
      </c>
      <c r="K2164" s="13">
        <v>23.24</v>
      </c>
      <c r="L2164" s="13">
        <v>1520.2898550724635</v>
      </c>
      <c r="M2164" s="196" t="s">
        <v>423</v>
      </c>
    </row>
    <row r="2165" spans="1:13" ht="15" customHeight="1" outlineLevel="1" x14ac:dyDescent="0.25">
      <c r="A2165" s="148"/>
      <c r="B2165" s="148"/>
      <c r="C2165" s="148"/>
      <c r="D2165" s="138"/>
      <c r="E2165" s="138"/>
      <c r="F2165" s="50">
        <v>43647</v>
      </c>
      <c r="G2165" s="50">
        <v>43830</v>
      </c>
      <c r="H2165" s="150"/>
      <c r="I2165" s="15" t="s">
        <v>23</v>
      </c>
      <c r="J2165" s="15" t="s">
        <v>23</v>
      </c>
      <c r="K2165" s="13">
        <v>23.704799999999999</v>
      </c>
      <c r="L2165" s="13">
        <v>1550.6956521739128</v>
      </c>
      <c r="M2165" s="198"/>
    </row>
    <row r="2166" spans="1:13" ht="15" customHeight="1" outlineLevel="1" x14ac:dyDescent="0.25">
      <c r="A2166" s="148"/>
      <c r="B2166" s="148"/>
      <c r="C2166" s="148"/>
      <c r="D2166" s="138"/>
      <c r="E2166" s="138"/>
      <c r="F2166" s="50">
        <v>43466</v>
      </c>
      <c r="G2166" s="50">
        <v>43646</v>
      </c>
      <c r="H2166" s="150"/>
      <c r="I2166" s="15" t="s">
        <v>23</v>
      </c>
      <c r="J2166" s="15" t="s">
        <v>23</v>
      </c>
      <c r="K2166" s="13">
        <v>23.24</v>
      </c>
      <c r="L2166" s="13">
        <v>1589.3939393939393</v>
      </c>
      <c r="M2166" s="196" t="s">
        <v>424</v>
      </c>
    </row>
    <row r="2167" spans="1:13" ht="15" customHeight="1" outlineLevel="1" x14ac:dyDescent="0.25">
      <c r="A2167" s="148"/>
      <c r="B2167" s="148"/>
      <c r="C2167" s="148"/>
      <c r="D2167" s="138"/>
      <c r="E2167" s="138"/>
      <c r="F2167" s="50">
        <v>43647</v>
      </c>
      <c r="G2167" s="50">
        <v>43830</v>
      </c>
      <c r="H2167" s="150"/>
      <c r="I2167" s="15" t="s">
        <v>23</v>
      </c>
      <c r="J2167" s="15" t="s">
        <v>23</v>
      </c>
      <c r="K2167" s="13">
        <v>23.704799999999999</v>
      </c>
      <c r="L2167" s="13">
        <v>1621.181818181818</v>
      </c>
      <c r="M2167" s="198"/>
    </row>
    <row r="2168" spans="1:13" ht="15" customHeight="1" outlineLevel="1" x14ac:dyDescent="0.25">
      <c r="A2168" s="148"/>
      <c r="B2168" s="148"/>
      <c r="C2168" s="148"/>
      <c r="D2168" s="138"/>
      <c r="E2168" s="138"/>
      <c r="F2168" s="50">
        <v>43466</v>
      </c>
      <c r="G2168" s="50">
        <v>43646</v>
      </c>
      <c r="H2168" s="150"/>
      <c r="I2168" s="15" t="s">
        <v>23</v>
      </c>
      <c r="J2168" s="15" t="s">
        <v>23</v>
      </c>
      <c r="K2168" s="13">
        <v>23.24</v>
      </c>
      <c r="L2168" s="13">
        <v>1719.672131147541</v>
      </c>
      <c r="M2168" s="196" t="s">
        <v>425</v>
      </c>
    </row>
    <row r="2169" spans="1:13" ht="15" customHeight="1" outlineLevel="1" x14ac:dyDescent="0.25">
      <c r="A2169" s="148"/>
      <c r="B2169" s="148"/>
      <c r="C2169" s="148"/>
      <c r="D2169" s="138"/>
      <c r="E2169" s="138"/>
      <c r="F2169" s="50">
        <v>43647</v>
      </c>
      <c r="G2169" s="50">
        <v>43830</v>
      </c>
      <c r="H2169" s="150"/>
      <c r="I2169" s="15" t="s">
        <v>23</v>
      </c>
      <c r="J2169" s="15" t="s">
        <v>23</v>
      </c>
      <c r="K2169" s="13">
        <v>23.704799999999999</v>
      </c>
      <c r="L2169" s="13">
        <v>1754.0655737704917</v>
      </c>
      <c r="M2169" s="198"/>
    </row>
    <row r="2170" spans="1:13" ht="15" customHeight="1" outlineLevel="1" x14ac:dyDescent="0.25">
      <c r="A2170" s="148"/>
      <c r="B2170" s="148"/>
      <c r="C2170" s="148"/>
      <c r="D2170" s="138"/>
      <c r="E2170" s="138"/>
      <c r="F2170" s="50">
        <v>43466</v>
      </c>
      <c r="G2170" s="50">
        <v>43646</v>
      </c>
      <c r="H2170" s="150"/>
      <c r="I2170" s="15" t="s">
        <v>23</v>
      </c>
      <c r="J2170" s="15" t="s">
        <v>23</v>
      </c>
      <c r="K2170" s="13">
        <v>23.24</v>
      </c>
      <c r="L2170" s="13">
        <v>1456.9444444444443</v>
      </c>
      <c r="M2170" s="196" t="s">
        <v>426</v>
      </c>
    </row>
    <row r="2171" spans="1:13" ht="15" customHeight="1" outlineLevel="1" x14ac:dyDescent="0.25">
      <c r="A2171" s="148"/>
      <c r="B2171" s="148"/>
      <c r="C2171" s="148"/>
      <c r="D2171" s="138"/>
      <c r="E2171" s="138"/>
      <c r="F2171" s="50">
        <v>43647</v>
      </c>
      <c r="G2171" s="50">
        <v>43830</v>
      </c>
      <c r="H2171" s="150"/>
      <c r="I2171" s="15" t="s">
        <v>23</v>
      </c>
      <c r="J2171" s="15" t="s">
        <v>23</v>
      </c>
      <c r="K2171" s="13">
        <v>23.704799999999999</v>
      </c>
      <c r="L2171" s="13">
        <v>1486.0833333333333</v>
      </c>
      <c r="M2171" s="198"/>
    </row>
    <row r="2172" spans="1:13" ht="15" customHeight="1" outlineLevel="1" x14ac:dyDescent="0.25">
      <c r="A2172" s="148"/>
      <c r="B2172" s="148"/>
      <c r="C2172" s="148"/>
      <c r="D2172" s="138"/>
      <c r="E2172" s="138"/>
      <c r="F2172" s="50">
        <v>43466</v>
      </c>
      <c r="G2172" s="50">
        <v>43646</v>
      </c>
      <c r="H2172" s="150"/>
      <c r="I2172" s="15" t="s">
        <v>23</v>
      </c>
      <c r="J2172" s="15" t="s">
        <v>23</v>
      </c>
      <c r="K2172" s="13">
        <v>23.24</v>
      </c>
      <c r="L2172" s="13">
        <v>1589.3939393939393</v>
      </c>
      <c r="M2172" s="196" t="s">
        <v>427</v>
      </c>
    </row>
    <row r="2173" spans="1:13" ht="15" customHeight="1" outlineLevel="1" x14ac:dyDescent="0.25">
      <c r="A2173" s="147"/>
      <c r="B2173" s="147"/>
      <c r="C2173" s="148"/>
      <c r="D2173" s="141"/>
      <c r="E2173" s="141"/>
      <c r="F2173" s="50">
        <v>43647</v>
      </c>
      <c r="G2173" s="50">
        <v>43830</v>
      </c>
      <c r="H2173" s="151"/>
      <c r="I2173" s="15" t="s">
        <v>23</v>
      </c>
      <c r="J2173" s="15" t="s">
        <v>23</v>
      </c>
      <c r="K2173" s="13">
        <v>23.704799999999999</v>
      </c>
      <c r="L2173" s="13">
        <v>1621.181818181818</v>
      </c>
      <c r="M2173" s="198"/>
    </row>
    <row r="2174" spans="1:13" ht="15" customHeight="1" outlineLevel="1" x14ac:dyDescent="0.25">
      <c r="A2174" s="146" t="s">
        <v>20</v>
      </c>
      <c r="B2174" s="146" t="s">
        <v>36</v>
      </c>
      <c r="C2174" s="148"/>
      <c r="D2174" s="137">
        <v>43448</v>
      </c>
      <c r="E2174" s="137" t="s">
        <v>819</v>
      </c>
      <c r="F2174" s="12">
        <v>43466</v>
      </c>
      <c r="G2174" s="12">
        <v>43646</v>
      </c>
      <c r="H2174" s="149"/>
      <c r="I2174" s="66">
        <v>65.680000000000007</v>
      </c>
      <c r="J2174" s="13">
        <v>6865.12</v>
      </c>
      <c r="K2174" s="15" t="s">
        <v>23</v>
      </c>
      <c r="L2174" s="15" t="s">
        <v>23</v>
      </c>
      <c r="M2174" s="153"/>
    </row>
    <row r="2175" spans="1:13" ht="15" customHeight="1" outlineLevel="1" x14ac:dyDescent="0.25">
      <c r="A2175" s="148"/>
      <c r="B2175" s="148"/>
      <c r="C2175" s="148"/>
      <c r="D2175" s="141"/>
      <c r="E2175" s="141"/>
      <c r="F2175" s="12">
        <v>43647</v>
      </c>
      <c r="G2175" s="12">
        <v>43830</v>
      </c>
      <c r="H2175" s="151"/>
      <c r="I2175" s="66">
        <v>68.12</v>
      </c>
      <c r="J2175" s="13">
        <v>8142.42</v>
      </c>
      <c r="K2175" s="15" t="s">
        <v>23</v>
      </c>
      <c r="L2175" s="15" t="s">
        <v>23</v>
      </c>
      <c r="M2175" s="152"/>
    </row>
    <row r="2176" spans="1:13" ht="15" customHeight="1" outlineLevel="1" x14ac:dyDescent="0.25">
      <c r="A2176" s="148"/>
      <c r="B2176" s="148"/>
      <c r="C2176" s="148"/>
      <c r="D2176" s="137">
        <v>43454</v>
      </c>
      <c r="E2176" s="137" t="s">
        <v>817</v>
      </c>
      <c r="F2176" s="50">
        <v>43466</v>
      </c>
      <c r="G2176" s="50">
        <v>43646</v>
      </c>
      <c r="H2176" s="149"/>
      <c r="I2176" s="15" t="s">
        <v>23</v>
      </c>
      <c r="J2176" s="15" t="s">
        <v>23</v>
      </c>
      <c r="K2176" s="13">
        <v>22.13</v>
      </c>
      <c r="L2176" s="13">
        <v>1920.4347826086953</v>
      </c>
      <c r="M2176" s="196" t="s">
        <v>420</v>
      </c>
    </row>
    <row r="2177" spans="1:13" ht="15" customHeight="1" outlineLevel="1" x14ac:dyDescent="0.25">
      <c r="A2177" s="148"/>
      <c r="B2177" s="148"/>
      <c r="C2177" s="148"/>
      <c r="D2177" s="138"/>
      <c r="E2177" s="138"/>
      <c r="F2177" s="50">
        <v>43647</v>
      </c>
      <c r="G2177" s="50">
        <v>43830</v>
      </c>
      <c r="H2177" s="150"/>
      <c r="I2177" s="15" t="s">
        <v>23</v>
      </c>
      <c r="J2177" s="15" t="s">
        <v>23</v>
      </c>
      <c r="K2177" s="13">
        <v>22.572599999999998</v>
      </c>
      <c r="L2177" s="13">
        <v>1958.8434782608695</v>
      </c>
      <c r="M2177" s="198"/>
    </row>
    <row r="2178" spans="1:13" ht="15" customHeight="1" outlineLevel="1" x14ac:dyDescent="0.25">
      <c r="A2178" s="148"/>
      <c r="B2178" s="148"/>
      <c r="C2178" s="148"/>
      <c r="D2178" s="138"/>
      <c r="E2178" s="138"/>
      <c r="F2178" s="50">
        <v>43466</v>
      </c>
      <c r="G2178" s="50">
        <v>43646</v>
      </c>
      <c r="H2178" s="150"/>
      <c r="I2178" s="15" t="s">
        <v>23</v>
      </c>
      <c r="J2178" s="15" t="s">
        <v>23</v>
      </c>
      <c r="K2178" s="13">
        <v>22.13</v>
      </c>
      <c r="L2178" s="13">
        <v>2103.333333333333</v>
      </c>
      <c r="M2178" s="196" t="s">
        <v>421</v>
      </c>
    </row>
    <row r="2179" spans="1:13" ht="15" customHeight="1" outlineLevel="1" x14ac:dyDescent="0.25">
      <c r="A2179" s="148"/>
      <c r="B2179" s="148"/>
      <c r="C2179" s="148"/>
      <c r="D2179" s="138"/>
      <c r="E2179" s="138"/>
      <c r="F2179" s="50">
        <v>43647</v>
      </c>
      <c r="G2179" s="50">
        <v>43830</v>
      </c>
      <c r="H2179" s="150"/>
      <c r="I2179" s="15" t="s">
        <v>23</v>
      </c>
      <c r="J2179" s="15" t="s">
        <v>23</v>
      </c>
      <c r="K2179" s="13">
        <v>22.572599999999998</v>
      </c>
      <c r="L2179" s="13">
        <v>2145.4</v>
      </c>
      <c r="M2179" s="198"/>
    </row>
    <row r="2180" spans="1:13" ht="15" customHeight="1" outlineLevel="1" x14ac:dyDescent="0.25">
      <c r="A2180" s="148"/>
      <c r="B2180" s="148"/>
      <c r="C2180" s="148"/>
      <c r="D2180" s="138"/>
      <c r="E2180" s="138"/>
      <c r="F2180" s="50">
        <v>43466</v>
      </c>
      <c r="G2180" s="50">
        <v>43646</v>
      </c>
      <c r="H2180" s="150"/>
      <c r="I2180" s="15" t="s">
        <v>23</v>
      </c>
      <c r="J2180" s="15" t="s">
        <v>23</v>
      </c>
      <c r="K2180" s="13">
        <v>22.13</v>
      </c>
      <c r="L2180" s="13">
        <v>1790.6756756756756</v>
      </c>
      <c r="M2180" s="196" t="s">
        <v>422</v>
      </c>
    </row>
    <row r="2181" spans="1:13" ht="15" customHeight="1" outlineLevel="1" x14ac:dyDescent="0.25">
      <c r="A2181" s="148"/>
      <c r="B2181" s="148"/>
      <c r="C2181" s="148"/>
      <c r="D2181" s="138"/>
      <c r="E2181" s="138"/>
      <c r="F2181" s="50">
        <v>43647</v>
      </c>
      <c r="G2181" s="50">
        <v>43830</v>
      </c>
      <c r="H2181" s="150"/>
      <c r="I2181" s="15" t="s">
        <v>23</v>
      </c>
      <c r="J2181" s="15" t="s">
        <v>23</v>
      </c>
      <c r="K2181" s="13">
        <v>22.572599999999998</v>
      </c>
      <c r="L2181" s="13">
        <v>1826.4891891891893</v>
      </c>
      <c r="M2181" s="198"/>
    </row>
    <row r="2182" spans="1:13" ht="15" customHeight="1" outlineLevel="1" x14ac:dyDescent="0.25">
      <c r="A2182" s="148"/>
      <c r="B2182" s="148"/>
      <c r="C2182" s="148"/>
      <c r="D2182" s="138"/>
      <c r="E2182" s="138"/>
      <c r="F2182" s="50">
        <v>43466</v>
      </c>
      <c r="G2182" s="50">
        <v>43646</v>
      </c>
      <c r="H2182" s="150"/>
      <c r="I2182" s="15" t="s">
        <v>23</v>
      </c>
      <c r="J2182" s="15" t="s">
        <v>23</v>
      </c>
      <c r="K2182" s="13">
        <v>22.13</v>
      </c>
      <c r="L2182" s="13">
        <v>1920.4347826086953</v>
      </c>
      <c r="M2182" s="196" t="s">
        <v>423</v>
      </c>
    </row>
    <row r="2183" spans="1:13" ht="15" customHeight="1" outlineLevel="1" x14ac:dyDescent="0.25">
      <c r="A2183" s="148"/>
      <c r="B2183" s="148"/>
      <c r="C2183" s="148"/>
      <c r="D2183" s="138"/>
      <c r="E2183" s="138"/>
      <c r="F2183" s="50">
        <v>43647</v>
      </c>
      <c r="G2183" s="50">
        <v>43830</v>
      </c>
      <c r="H2183" s="150"/>
      <c r="I2183" s="15" t="s">
        <v>23</v>
      </c>
      <c r="J2183" s="15" t="s">
        <v>23</v>
      </c>
      <c r="K2183" s="13">
        <v>22.572599999999998</v>
      </c>
      <c r="L2183" s="13">
        <v>1958.8434782608695</v>
      </c>
      <c r="M2183" s="198"/>
    </row>
    <row r="2184" spans="1:13" ht="15" customHeight="1" outlineLevel="1" x14ac:dyDescent="0.25">
      <c r="A2184" s="148"/>
      <c r="B2184" s="148"/>
      <c r="C2184" s="148"/>
      <c r="D2184" s="138"/>
      <c r="E2184" s="138"/>
      <c r="F2184" s="50">
        <v>43466</v>
      </c>
      <c r="G2184" s="50">
        <v>43646</v>
      </c>
      <c r="H2184" s="150"/>
      <c r="I2184" s="15" t="s">
        <v>23</v>
      </c>
      <c r="J2184" s="15" t="s">
        <v>23</v>
      </c>
      <c r="K2184" s="13">
        <v>22.13</v>
      </c>
      <c r="L2184" s="13">
        <v>2007.7272727272725</v>
      </c>
      <c r="M2184" s="196" t="s">
        <v>424</v>
      </c>
    </row>
    <row r="2185" spans="1:13" ht="15" customHeight="1" outlineLevel="1" x14ac:dyDescent="0.25">
      <c r="A2185" s="148"/>
      <c r="B2185" s="148"/>
      <c r="C2185" s="148"/>
      <c r="D2185" s="138"/>
      <c r="E2185" s="138"/>
      <c r="F2185" s="50">
        <v>43647</v>
      </c>
      <c r="G2185" s="50">
        <v>43830</v>
      </c>
      <c r="H2185" s="150"/>
      <c r="I2185" s="15" t="s">
        <v>23</v>
      </c>
      <c r="J2185" s="15" t="s">
        <v>23</v>
      </c>
      <c r="K2185" s="13">
        <v>22.572599999999998</v>
      </c>
      <c r="L2185" s="13">
        <v>2047.8818181818181</v>
      </c>
      <c r="M2185" s="198"/>
    </row>
    <row r="2186" spans="1:13" ht="15" customHeight="1" outlineLevel="1" x14ac:dyDescent="0.25">
      <c r="A2186" s="148"/>
      <c r="B2186" s="148"/>
      <c r="C2186" s="148"/>
      <c r="D2186" s="138"/>
      <c r="E2186" s="138"/>
      <c r="F2186" s="50">
        <v>43466</v>
      </c>
      <c r="G2186" s="50">
        <v>43646</v>
      </c>
      <c r="H2186" s="150"/>
      <c r="I2186" s="15" t="s">
        <v>23</v>
      </c>
      <c r="J2186" s="15" t="s">
        <v>23</v>
      </c>
      <c r="K2186" s="13">
        <v>22.13</v>
      </c>
      <c r="L2186" s="13">
        <v>2172.2950819672128</v>
      </c>
      <c r="M2186" s="196" t="s">
        <v>425</v>
      </c>
    </row>
    <row r="2187" spans="1:13" ht="15" customHeight="1" outlineLevel="1" x14ac:dyDescent="0.25">
      <c r="A2187" s="148"/>
      <c r="B2187" s="148"/>
      <c r="C2187" s="148"/>
      <c r="D2187" s="138"/>
      <c r="E2187" s="138"/>
      <c r="F2187" s="50">
        <v>43647</v>
      </c>
      <c r="G2187" s="50">
        <v>43830</v>
      </c>
      <c r="H2187" s="150"/>
      <c r="I2187" s="15" t="s">
        <v>23</v>
      </c>
      <c r="J2187" s="15" t="s">
        <v>23</v>
      </c>
      <c r="K2187" s="13">
        <v>22.572599999999998</v>
      </c>
      <c r="L2187" s="13">
        <v>2215.7409836065576</v>
      </c>
      <c r="M2187" s="198"/>
    </row>
    <row r="2188" spans="1:13" ht="15" customHeight="1" outlineLevel="1" x14ac:dyDescent="0.25">
      <c r="A2188" s="148"/>
      <c r="B2188" s="148"/>
      <c r="C2188" s="148"/>
      <c r="D2188" s="138"/>
      <c r="E2188" s="138"/>
      <c r="F2188" s="50">
        <v>43466</v>
      </c>
      <c r="G2188" s="50">
        <v>43646</v>
      </c>
      <c r="H2188" s="150"/>
      <c r="I2188" s="15" t="s">
        <v>23</v>
      </c>
      <c r="J2188" s="15" t="s">
        <v>23</v>
      </c>
      <c r="K2188" s="13">
        <v>22.13</v>
      </c>
      <c r="L2188" s="13">
        <v>1840.4166666666667</v>
      </c>
      <c r="M2188" s="196" t="s">
        <v>426</v>
      </c>
    </row>
    <row r="2189" spans="1:13" ht="15" customHeight="1" outlineLevel="1" x14ac:dyDescent="0.25">
      <c r="A2189" s="148"/>
      <c r="B2189" s="148"/>
      <c r="C2189" s="148"/>
      <c r="D2189" s="138"/>
      <c r="E2189" s="138"/>
      <c r="F2189" s="50">
        <v>43647</v>
      </c>
      <c r="G2189" s="50">
        <v>43830</v>
      </c>
      <c r="H2189" s="150"/>
      <c r="I2189" s="15" t="s">
        <v>23</v>
      </c>
      <c r="J2189" s="15" t="s">
        <v>23</v>
      </c>
      <c r="K2189" s="13">
        <v>22.572599999999998</v>
      </c>
      <c r="L2189" s="13">
        <v>1877.2250000000001</v>
      </c>
      <c r="M2189" s="198"/>
    </row>
    <row r="2190" spans="1:13" ht="15" customHeight="1" outlineLevel="1" x14ac:dyDescent="0.25">
      <c r="A2190" s="148"/>
      <c r="B2190" s="148"/>
      <c r="C2190" s="148"/>
      <c r="D2190" s="138"/>
      <c r="E2190" s="138"/>
      <c r="F2190" s="50">
        <v>43466</v>
      </c>
      <c r="G2190" s="50">
        <v>43646</v>
      </c>
      <c r="H2190" s="150"/>
      <c r="I2190" s="15" t="s">
        <v>23</v>
      </c>
      <c r="J2190" s="15" t="s">
        <v>23</v>
      </c>
      <c r="K2190" s="13">
        <v>22.13</v>
      </c>
      <c r="L2190" s="13">
        <v>2007.7272727272725</v>
      </c>
      <c r="M2190" s="196" t="s">
        <v>427</v>
      </c>
    </row>
    <row r="2191" spans="1:13" ht="15" customHeight="1" outlineLevel="1" x14ac:dyDescent="0.25">
      <c r="A2191" s="147"/>
      <c r="B2191" s="147"/>
      <c r="C2191" s="147"/>
      <c r="D2191" s="141"/>
      <c r="E2191" s="141"/>
      <c r="F2191" s="50">
        <v>43647</v>
      </c>
      <c r="G2191" s="50">
        <v>43830</v>
      </c>
      <c r="H2191" s="151"/>
      <c r="I2191" s="15" t="s">
        <v>23</v>
      </c>
      <c r="J2191" s="15" t="s">
        <v>23</v>
      </c>
      <c r="K2191" s="13">
        <v>22.572599999999998</v>
      </c>
      <c r="L2191" s="13">
        <v>2047.8818181818181</v>
      </c>
      <c r="M2191" s="198"/>
    </row>
    <row r="2192" spans="1:13" ht="15" customHeight="1" outlineLevel="1" x14ac:dyDescent="0.25">
      <c r="A2192" s="146" t="s">
        <v>20</v>
      </c>
      <c r="B2192" s="146" t="s">
        <v>26</v>
      </c>
      <c r="C2192" s="146" t="s">
        <v>447</v>
      </c>
      <c r="D2192" s="137">
        <v>43069</v>
      </c>
      <c r="E2192" s="137" t="s">
        <v>352</v>
      </c>
      <c r="F2192" s="12">
        <v>43466</v>
      </c>
      <c r="G2192" s="12">
        <v>43646</v>
      </c>
      <c r="H2192" s="149" t="s">
        <v>816</v>
      </c>
      <c r="I2192" s="66">
        <v>37.69</v>
      </c>
      <c r="J2192" s="13">
        <v>4328.99</v>
      </c>
      <c r="K2192" s="15" t="s">
        <v>23</v>
      </c>
      <c r="L2192" s="15" t="s">
        <v>23</v>
      </c>
      <c r="M2192" s="153"/>
    </row>
    <row r="2193" spans="1:13" ht="15" customHeight="1" outlineLevel="1" x14ac:dyDescent="0.25">
      <c r="A2193" s="148"/>
      <c r="B2193" s="148"/>
      <c r="C2193" s="148"/>
      <c r="D2193" s="141"/>
      <c r="E2193" s="141"/>
      <c r="F2193" s="12">
        <v>43647</v>
      </c>
      <c r="G2193" s="12">
        <v>43830</v>
      </c>
      <c r="H2193" s="151"/>
      <c r="I2193" s="66">
        <v>38.82</v>
      </c>
      <c r="J2193" s="13">
        <v>4542.83</v>
      </c>
      <c r="K2193" s="15" t="s">
        <v>23</v>
      </c>
      <c r="L2193" s="15" t="s">
        <v>23</v>
      </c>
      <c r="M2193" s="152"/>
    </row>
    <row r="2194" spans="1:13" ht="15" customHeight="1" outlineLevel="1" x14ac:dyDescent="0.25">
      <c r="A2194" s="148"/>
      <c r="B2194" s="148"/>
      <c r="C2194" s="148"/>
      <c r="D2194" s="137">
        <v>43454</v>
      </c>
      <c r="E2194" s="137" t="s">
        <v>817</v>
      </c>
      <c r="F2194" s="50">
        <v>43466</v>
      </c>
      <c r="G2194" s="50">
        <v>43646</v>
      </c>
      <c r="H2194" s="149"/>
      <c r="I2194" s="15" t="s">
        <v>23</v>
      </c>
      <c r="J2194" s="15" t="s">
        <v>23</v>
      </c>
      <c r="K2194" s="13">
        <v>16.566101694915204</v>
      </c>
      <c r="L2194" s="13">
        <v>1654.0899042004373</v>
      </c>
      <c r="M2194" s="196" t="s">
        <v>420</v>
      </c>
    </row>
    <row r="2195" spans="1:13" ht="15" customHeight="1" outlineLevel="1" x14ac:dyDescent="0.25">
      <c r="A2195" s="148"/>
      <c r="B2195" s="148"/>
      <c r="C2195" s="148"/>
      <c r="D2195" s="138"/>
      <c r="E2195" s="138"/>
      <c r="F2195" s="50">
        <v>43647</v>
      </c>
      <c r="G2195" s="50">
        <v>43830</v>
      </c>
      <c r="H2195" s="150"/>
      <c r="I2195" s="15" t="s">
        <v>23</v>
      </c>
      <c r="J2195" s="15" t="s">
        <v>23</v>
      </c>
      <c r="K2195" s="13">
        <v>16.897423728813507</v>
      </c>
      <c r="L2195" s="13">
        <v>1687.1717022844459</v>
      </c>
      <c r="M2195" s="198"/>
    </row>
    <row r="2196" spans="1:13" ht="15" customHeight="1" outlineLevel="1" x14ac:dyDescent="0.25">
      <c r="A2196" s="148"/>
      <c r="B2196" s="148"/>
      <c r="C2196" s="148"/>
      <c r="D2196" s="138"/>
      <c r="E2196" s="138"/>
      <c r="F2196" s="50">
        <v>43466</v>
      </c>
      <c r="G2196" s="50">
        <v>43646</v>
      </c>
      <c r="H2196" s="150"/>
      <c r="I2196" s="15" t="s">
        <v>23</v>
      </c>
      <c r="J2196" s="15" t="s">
        <v>23</v>
      </c>
      <c r="K2196" s="13">
        <v>16.566101694915204</v>
      </c>
      <c r="L2196" s="13">
        <v>1811.6222760290505</v>
      </c>
      <c r="M2196" s="196" t="s">
        <v>421</v>
      </c>
    </row>
    <row r="2197" spans="1:13" ht="15" customHeight="1" outlineLevel="1" x14ac:dyDescent="0.25">
      <c r="A2197" s="148"/>
      <c r="B2197" s="148"/>
      <c r="C2197" s="148"/>
      <c r="D2197" s="138"/>
      <c r="E2197" s="138"/>
      <c r="F2197" s="50">
        <v>43647</v>
      </c>
      <c r="G2197" s="50">
        <v>43830</v>
      </c>
      <c r="H2197" s="150"/>
      <c r="I2197" s="15" t="s">
        <v>23</v>
      </c>
      <c r="J2197" s="15" t="s">
        <v>23</v>
      </c>
      <c r="K2197" s="13">
        <v>16.897423728813507</v>
      </c>
      <c r="L2197" s="13">
        <v>1847.8547215496314</v>
      </c>
      <c r="M2197" s="198"/>
    </row>
    <row r="2198" spans="1:13" ht="15" customHeight="1" outlineLevel="1" x14ac:dyDescent="0.25">
      <c r="A2198" s="148"/>
      <c r="B2198" s="148"/>
      <c r="C2198" s="148"/>
      <c r="D2198" s="138"/>
      <c r="E2198" s="138"/>
      <c r="F2198" s="50">
        <v>43466</v>
      </c>
      <c r="G2198" s="50">
        <v>43646</v>
      </c>
      <c r="H2198" s="150"/>
      <c r="I2198" s="15" t="s">
        <v>23</v>
      </c>
      <c r="J2198" s="15" t="s">
        <v>23</v>
      </c>
      <c r="K2198" s="13">
        <v>16.566101694915204</v>
      </c>
      <c r="L2198" s="13">
        <v>1542.327072835543</v>
      </c>
      <c r="M2198" s="196" t="s">
        <v>422</v>
      </c>
    </row>
    <row r="2199" spans="1:13" ht="15" customHeight="1" outlineLevel="1" x14ac:dyDescent="0.25">
      <c r="A2199" s="148"/>
      <c r="B2199" s="148"/>
      <c r="C2199" s="148"/>
      <c r="D2199" s="138"/>
      <c r="E2199" s="138"/>
      <c r="F2199" s="50">
        <v>43647</v>
      </c>
      <c r="G2199" s="50">
        <v>43830</v>
      </c>
      <c r="H2199" s="150"/>
      <c r="I2199" s="15" t="s">
        <v>23</v>
      </c>
      <c r="J2199" s="15" t="s">
        <v>23</v>
      </c>
      <c r="K2199" s="13">
        <v>16.897423728813507</v>
      </c>
      <c r="L2199" s="13">
        <v>1573.1736142922539</v>
      </c>
      <c r="M2199" s="198"/>
    </row>
    <row r="2200" spans="1:13" ht="15" customHeight="1" outlineLevel="1" x14ac:dyDescent="0.25">
      <c r="A2200" s="148"/>
      <c r="B2200" s="148"/>
      <c r="C2200" s="148"/>
      <c r="D2200" s="138"/>
      <c r="E2200" s="138"/>
      <c r="F2200" s="50">
        <v>43466</v>
      </c>
      <c r="G2200" s="50">
        <v>43646</v>
      </c>
      <c r="H2200" s="150"/>
      <c r="I2200" s="15" t="s">
        <v>23</v>
      </c>
      <c r="J2200" s="15" t="s">
        <v>23</v>
      </c>
      <c r="K2200" s="13">
        <v>16.566101694915204</v>
      </c>
      <c r="L2200" s="13">
        <v>1654.0899042004373</v>
      </c>
      <c r="M2200" s="196" t="s">
        <v>423</v>
      </c>
    </row>
    <row r="2201" spans="1:13" ht="15" customHeight="1" outlineLevel="1" x14ac:dyDescent="0.25">
      <c r="A2201" s="148"/>
      <c r="B2201" s="148"/>
      <c r="C2201" s="148"/>
      <c r="D2201" s="138"/>
      <c r="E2201" s="138"/>
      <c r="F2201" s="50">
        <v>43647</v>
      </c>
      <c r="G2201" s="50">
        <v>43830</v>
      </c>
      <c r="H2201" s="150"/>
      <c r="I2201" s="15" t="s">
        <v>23</v>
      </c>
      <c r="J2201" s="15" t="s">
        <v>23</v>
      </c>
      <c r="K2201" s="13">
        <v>16.897423728813507</v>
      </c>
      <c r="L2201" s="13">
        <v>1687.1717022844459</v>
      </c>
      <c r="M2201" s="198"/>
    </row>
    <row r="2202" spans="1:13" ht="15" customHeight="1" outlineLevel="1" x14ac:dyDescent="0.25">
      <c r="A2202" s="148"/>
      <c r="B2202" s="148"/>
      <c r="C2202" s="148"/>
      <c r="D2202" s="138"/>
      <c r="E2202" s="138"/>
      <c r="F2202" s="50">
        <v>43466</v>
      </c>
      <c r="G2202" s="50">
        <v>43646</v>
      </c>
      <c r="H2202" s="150"/>
      <c r="I2202" s="15" t="s">
        <v>23</v>
      </c>
      <c r="J2202" s="15" t="s">
        <v>23</v>
      </c>
      <c r="K2202" s="13">
        <v>16.566101694915204</v>
      </c>
      <c r="L2202" s="13">
        <v>1729.2758089368208</v>
      </c>
      <c r="M2202" s="196" t="s">
        <v>424</v>
      </c>
    </row>
    <row r="2203" spans="1:13" ht="15" customHeight="1" outlineLevel="1" x14ac:dyDescent="0.25">
      <c r="A2203" s="148"/>
      <c r="B2203" s="148"/>
      <c r="C2203" s="148"/>
      <c r="D2203" s="138"/>
      <c r="E2203" s="138"/>
      <c r="F2203" s="50">
        <v>43647</v>
      </c>
      <c r="G2203" s="50">
        <v>43830</v>
      </c>
      <c r="H2203" s="150"/>
      <c r="I2203" s="15" t="s">
        <v>23</v>
      </c>
      <c r="J2203" s="15" t="s">
        <v>23</v>
      </c>
      <c r="K2203" s="13">
        <v>16.897423728813507</v>
      </c>
      <c r="L2203" s="13">
        <v>1763.8613251155571</v>
      </c>
      <c r="M2203" s="198"/>
    </row>
    <row r="2204" spans="1:13" ht="15" customHeight="1" outlineLevel="1" x14ac:dyDescent="0.25">
      <c r="A2204" s="148"/>
      <c r="B2204" s="148"/>
      <c r="C2204" s="148"/>
      <c r="D2204" s="138"/>
      <c r="E2204" s="138"/>
      <c r="F2204" s="50">
        <v>43466</v>
      </c>
      <c r="G2204" s="50">
        <v>43646</v>
      </c>
      <c r="H2204" s="150"/>
      <c r="I2204" s="15" t="s">
        <v>23</v>
      </c>
      <c r="J2204" s="15" t="s">
        <v>23</v>
      </c>
      <c r="K2204" s="13">
        <v>16.566101694915204</v>
      </c>
      <c r="L2204" s="13">
        <v>1871.0197277021341</v>
      </c>
      <c r="M2204" s="196" t="s">
        <v>425</v>
      </c>
    </row>
    <row r="2205" spans="1:13" ht="15" customHeight="1" outlineLevel="1" x14ac:dyDescent="0.25">
      <c r="A2205" s="148"/>
      <c r="B2205" s="148"/>
      <c r="C2205" s="148"/>
      <c r="D2205" s="138"/>
      <c r="E2205" s="138"/>
      <c r="F2205" s="50">
        <v>43647</v>
      </c>
      <c r="G2205" s="50">
        <v>43830</v>
      </c>
      <c r="H2205" s="150"/>
      <c r="I2205" s="15" t="s">
        <v>23</v>
      </c>
      <c r="J2205" s="15" t="s">
        <v>23</v>
      </c>
      <c r="K2205" s="13">
        <v>16.897423728813507</v>
      </c>
      <c r="L2205" s="13">
        <v>1908.4401222561767</v>
      </c>
      <c r="M2205" s="198"/>
    </row>
    <row r="2206" spans="1:13" ht="15" customHeight="1" outlineLevel="1" x14ac:dyDescent="0.25">
      <c r="A2206" s="148"/>
      <c r="B2206" s="148"/>
      <c r="C2206" s="148"/>
      <c r="D2206" s="138"/>
      <c r="E2206" s="138"/>
      <c r="F2206" s="50">
        <v>43466</v>
      </c>
      <c r="G2206" s="50">
        <v>43646</v>
      </c>
      <c r="H2206" s="150"/>
      <c r="I2206" s="15" t="s">
        <v>23</v>
      </c>
      <c r="J2206" s="15" t="s">
        <v>23</v>
      </c>
      <c r="K2206" s="13">
        <v>16.566101694915204</v>
      </c>
      <c r="L2206" s="13">
        <v>1585.1694915254193</v>
      </c>
      <c r="M2206" s="196" t="s">
        <v>426</v>
      </c>
    </row>
    <row r="2207" spans="1:13" ht="15" customHeight="1" outlineLevel="1" x14ac:dyDescent="0.25">
      <c r="A2207" s="148"/>
      <c r="B2207" s="148"/>
      <c r="C2207" s="148"/>
      <c r="D2207" s="138"/>
      <c r="E2207" s="138"/>
      <c r="F2207" s="50">
        <v>43647</v>
      </c>
      <c r="G2207" s="50">
        <v>43830</v>
      </c>
      <c r="H2207" s="150"/>
      <c r="I2207" s="15" t="s">
        <v>23</v>
      </c>
      <c r="J2207" s="15" t="s">
        <v>23</v>
      </c>
      <c r="K2207" s="13">
        <v>16.897423728813507</v>
      </c>
      <c r="L2207" s="13">
        <v>1616.8728813559276</v>
      </c>
      <c r="M2207" s="198"/>
    </row>
    <row r="2208" spans="1:13" ht="15" customHeight="1" outlineLevel="1" x14ac:dyDescent="0.25">
      <c r="A2208" s="148"/>
      <c r="B2208" s="148"/>
      <c r="C2208" s="148"/>
      <c r="D2208" s="138"/>
      <c r="E2208" s="138"/>
      <c r="F2208" s="50">
        <v>43466</v>
      </c>
      <c r="G2208" s="50">
        <v>43646</v>
      </c>
      <c r="H2208" s="150"/>
      <c r="I2208" s="15" t="s">
        <v>23</v>
      </c>
      <c r="J2208" s="15" t="s">
        <v>23</v>
      </c>
      <c r="K2208" s="13">
        <v>16.566101694915204</v>
      </c>
      <c r="L2208" s="13">
        <v>1729.2758089368208</v>
      </c>
      <c r="M2208" s="196" t="s">
        <v>427</v>
      </c>
    </row>
    <row r="2209" spans="1:13" ht="15" customHeight="1" outlineLevel="1" x14ac:dyDescent="0.25">
      <c r="A2209" s="147"/>
      <c r="B2209" s="147"/>
      <c r="C2209" s="147"/>
      <c r="D2209" s="141"/>
      <c r="E2209" s="141"/>
      <c r="F2209" s="50">
        <v>43647</v>
      </c>
      <c r="G2209" s="50">
        <v>43830</v>
      </c>
      <c r="H2209" s="151"/>
      <c r="I2209" s="15" t="s">
        <v>23</v>
      </c>
      <c r="J2209" s="15" t="s">
        <v>23</v>
      </c>
      <c r="K2209" s="13">
        <v>16.897423728813507</v>
      </c>
      <c r="L2209" s="13">
        <v>1763.8613251155571</v>
      </c>
      <c r="M2209" s="198"/>
    </row>
    <row r="2210" spans="1:13" ht="15" customHeight="1" outlineLevel="1" x14ac:dyDescent="0.25">
      <c r="A2210" s="146" t="s">
        <v>20</v>
      </c>
      <c r="B2210" s="146" t="s">
        <v>34</v>
      </c>
      <c r="C2210" s="146" t="s">
        <v>33</v>
      </c>
      <c r="D2210" s="137">
        <v>43448</v>
      </c>
      <c r="E2210" s="137" t="s">
        <v>822</v>
      </c>
      <c r="F2210" s="12">
        <v>43466</v>
      </c>
      <c r="G2210" s="12">
        <v>43646</v>
      </c>
      <c r="H2210" s="149"/>
      <c r="I2210" s="66">
        <v>67.11</v>
      </c>
      <c r="J2210" s="13">
        <v>3462.8</v>
      </c>
      <c r="K2210" s="15" t="s">
        <v>23</v>
      </c>
      <c r="L2210" s="15" t="s">
        <v>23</v>
      </c>
      <c r="M2210" s="153"/>
    </row>
    <row r="2211" spans="1:13" ht="15" customHeight="1" outlineLevel="1" x14ac:dyDescent="0.25">
      <c r="A2211" s="148"/>
      <c r="B2211" s="148"/>
      <c r="C2211" s="148"/>
      <c r="D2211" s="141"/>
      <c r="E2211" s="141"/>
      <c r="F2211" s="12">
        <v>43647</v>
      </c>
      <c r="G2211" s="12">
        <v>43830</v>
      </c>
      <c r="H2211" s="151"/>
      <c r="I2211" s="66">
        <v>87.37</v>
      </c>
      <c r="J2211" s="13">
        <v>4437.87</v>
      </c>
      <c r="K2211" s="15" t="s">
        <v>23</v>
      </c>
      <c r="L2211" s="15" t="s">
        <v>23</v>
      </c>
      <c r="M2211" s="152"/>
    </row>
    <row r="2212" spans="1:13" ht="15" customHeight="1" outlineLevel="1" x14ac:dyDescent="0.25">
      <c r="A2212" s="148"/>
      <c r="B2212" s="148"/>
      <c r="C2212" s="148"/>
      <c r="D2212" s="137">
        <v>43454</v>
      </c>
      <c r="E2212" s="137" t="s">
        <v>817</v>
      </c>
      <c r="F2212" s="50">
        <v>43466</v>
      </c>
      <c r="G2212" s="50">
        <v>43646</v>
      </c>
      <c r="H2212" s="149"/>
      <c r="I2212" s="15" t="s">
        <v>23</v>
      </c>
      <c r="J2212" s="15" t="s">
        <v>23</v>
      </c>
      <c r="K2212" s="13">
        <v>34.00677966101685</v>
      </c>
      <c r="L2212" s="13">
        <v>1525.718496683857</v>
      </c>
      <c r="M2212" s="196" t="s">
        <v>420</v>
      </c>
    </row>
    <row r="2213" spans="1:13" ht="15" customHeight="1" outlineLevel="1" x14ac:dyDescent="0.25">
      <c r="A2213" s="148"/>
      <c r="B2213" s="148"/>
      <c r="C2213" s="148"/>
      <c r="D2213" s="138"/>
      <c r="E2213" s="138"/>
      <c r="F2213" s="50">
        <v>43647</v>
      </c>
      <c r="G2213" s="50">
        <v>43830</v>
      </c>
      <c r="H2213" s="150"/>
      <c r="I2213" s="15" t="s">
        <v>23</v>
      </c>
      <c r="J2213" s="15" t="s">
        <v>23</v>
      </c>
      <c r="K2213" s="13">
        <v>34.686915254237185</v>
      </c>
      <c r="L2213" s="13">
        <v>1556.2328666175342</v>
      </c>
      <c r="M2213" s="198"/>
    </row>
    <row r="2214" spans="1:13" ht="15" customHeight="1" outlineLevel="1" x14ac:dyDescent="0.25">
      <c r="A2214" s="148"/>
      <c r="B2214" s="148"/>
      <c r="C2214" s="148"/>
      <c r="D2214" s="138"/>
      <c r="E2214" s="138"/>
      <c r="F2214" s="50">
        <v>43466</v>
      </c>
      <c r="G2214" s="50">
        <v>43646</v>
      </c>
      <c r="H2214" s="150"/>
      <c r="I2214" s="15" t="s">
        <v>23</v>
      </c>
      <c r="J2214" s="15" t="s">
        <v>23</v>
      </c>
      <c r="K2214" s="13">
        <v>34.00677966101685</v>
      </c>
      <c r="L2214" s="13">
        <v>1671.0250201775577</v>
      </c>
      <c r="M2214" s="196" t="s">
        <v>421</v>
      </c>
    </row>
    <row r="2215" spans="1:13" ht="15" customHeight="1" outlineLevel="1" x14ac:dyDescent="0.25">
      <c r="A2215" s="148"/>
      <c r="B2215" s="148"/>
      <c r="C2215" s="148"/>
      <c r="D2215" s="138"/>
      <c r="E2215" s="138"/>
      <c r="F2215" s="50">
        <v>43647</v>
      </c>
      <c r="G2215" s="50">
        <v>43830</v>
      </c>
      <c r="H2215" s="150"/>
      <c r="I2215" s="15" t="s">
        <v>23</v>
      </c>
      <c r="J2215" s="15" t="s">
        <v>23</v>
      </c>
      <c r="K2215" s="13">
        <v>34.686915254237185</v>
      </c>
      <c r="L2215" s="13">
        <v>1704.4455205811089</v>
      </c>
      <c r="M2215" s="198"/>
    </row>
    <row r="2216" spans="1:13" ht="15" customHeight="1" outlineLevel="1" x14ac:dyDescent="0.25">
      <c r="A2216" s="148"/>
      <c r="B2216" s="148"/>
      <c r="C2216" s="148"/>
      <c r="D2216" s="138"/>
      <c r="E2216" s="138"/>
      <c r="F2216" s="50">
        <v>43466</v>
      </c>
      <c r="G2216" s="50">
        <v>43646</v>
      </c>
      <c r="H2216" s="150"/>
      <c r="I2216" s="15" t="s">
        <v>23</v>
      </c>
      <c r="J2216" s="15" t="s">
        <v>23</v>
      </c>
      <c r="K2216" s="13">
        <v>34.00677966101685</v>
      </c>
      <c r="L2216" s="13">
        <v>1422.6294090700831</v>
      </c>
      <c r="M2216" s="196" t="s">
        <v>422</v>
      </c>
    </row>
    <row r="2217" spans="1:13" ht="15" customHeight="1" outlineLevel="1" x14ac:dyDescent="0.25">
      <c r="A2217" s="148"/>
      <c r="B2217" s="148"/>
      <c r="C2217" s="148"/>
      <c r="D2217" s="138"/>
      <c r="E2217" s="138"/>
      <c r="F2217" s="50">
        <v>43647</v>
      </c>
      <c r="G2217" s="50">
        <v>43830</v>
      </c>
      <c r="H2217" s="150"/>
      <c r="I2217" s="15" t="s">
        <v>23</v>
      </c>
      <c r="J2217" s="15" t="s">
        <v>23</v>
      </c>
      <c r="K2217" s="13">
        <v>34.686915254237185</v>
      </c>
      <c r="L2217" s="13">
        <v>1451.0819972514848</v>
      </c>
      <c r="M2217" s="198"/>
    </row>
    <row r="2218" spans="1:13" ht="15" customHeight="1" outlineLevel="1" x14ac:dyDescent="0.25">
      <c r="A2218" s="148"/>
      <c r="B2218" s="148"/>
      <c r="C2218" s="148"/>
      <c r="D2218" s="138"/>
      <c r="E2218" s="138"/>
      <c r="F2218" s="50">
        <v>43466</v>
      </c>
      <c r="G2218" s="50">
        <v>43646</v>
      </c>
      <c r="H2218" s="150"/>
      <c r="I2218" s="15" t="s">
        <v>23</v>
      </c>
      <c r="J2218" s="15" t="s">
        <v>23</v>
      </c>
      <c r="K2218" s="13">
        <v>34.00677966101685</v>
      </c>
      <c r="L2218" s="13">
        <v>1525.718496683857</v>
      </c>
      <c r="M2218" s="196" t="s">
        <v>423</v>
      </c>
    </row>
    <row r="2219" spans="1:13" ht="15" customHeight="1" outlineLevel="1" x14ac:dyDescent="0.25">
      <c r="A2219" s="148"/>
      <c r="B2219" s="148"/>
      <c r="C2219" s="148"/>
      <c r="D2219" s="138"/>
      <c r="E2219" s="138"/>
      <c r="F2219" s="50">
        <v>43647</v>
      </c>
      <c r="G2219" s="50">
        <v>43830</v>
      </c>
      <c r="H2219" s="150"/>
      <c r="I2219" s="15" t="s">
        <v>23</v>
      </c>
      <c r="J2219" s="15" t="s">
        <v>23</v>
      </c>
      <c r="K2219" s="13">
        <v>34.686915254237185</v>
      </c>
      <c r="L2219" s="13">
        <v>1556.2328666175342</v>
      </c>
      <c r="M2219" s="198"/>
    </row>
    <row r="2220" spans="1:13" ht="15" customHeight="1" outlineLevel="1" x14ac:dyDescent="0.25">
      <c r="A2220" s="148"/>
      <c r="B2220" s="148"/>
      <c r="C2220" s="148"/>
      <c r="D2220" s="138"/>
      <c r="E2220" s="138"/>
      <c r="F2220" s="50">
        <v>43466</v>
      </c>
      <c r="G2220" s="50">
        <v>43646</v>
      </c>
      <c r="H2220" s="150"/>
      <c r="I2220" s="15" t="s">
        <v>23</v>
      </c>
      <c r="J2220" s="15" t="s">
        <v>23</v>
      </c>
      <c r="K2220" s="13">
        <v>34.00677966101685</v>
      </c>
      <c r="L2220" s="13">
        <v>1595.0693374422142</v>
      </c>
      <c r="M2220" s="196" t="s">
        <v>424</v>
      </c>
    </row>
    <row r="2221" spans="1:13" ht="15" customHeight="1" outlineLevel="1" x14ac:dyDescent="0.25">
      <c r="A2221" s="148"/>
      <c r="B2221" s="148"/>
      <c r="C2221" s="148"/>
      <c r="D2221" s="138"/>
      <c r="E2221" s="138"/>
      <c r="F2221" s="50">
        <v>43647</v>
      </c>
      <c r="G2221" s="50">
        <v>43830</v>
      </c>
      <c r="H2221" s="150"/>
      <c r="I2221" s="15" t="s">
        <v>23</v>
      </c>
      <c r="J2221" s="15" t="s">
        <v>23</v>
      </c>
      <c r="K2221" s="13">
        <v>34.686915254237185</v>
      </c>
      <c r="L2221" s="13">
        <v>1626.9707241910585</v>
      </c>
      <c r="M2221" s="198"/>
    </row>
    <row r="2222" spans="1:13" ht="15" customHeight="1" outlineLevel="1" x14ac:dyDescent="0.25">
      <c r="A2222" s="148"/>
      <c r="B2222" s="148"/>
      <c r="C2222" s="148"/>
      <c r="D2222" s="138"/>
      <c r="E2222" s="138"/>
      <c r="F2222" s="50">
        <v>43466</v>
      </c>
      <c r="G2222" s="50">
        <v>43646</v>
      </c>
      <c r="H2222" s="150"/>
      <c r="I2222" s="15" t="s">
        <v>23</v>
      </c>
      <c r="J2222" s="15" t="s">
        <v>23</v>
      </c>
      <c r="K2222" s="13">
        <v>34.00677966101685</v>
      </c>
      <c r="L2222" s="13">
        <v>1725.8127257571498</v>
      </c>
      <c r="M2222" s="196" t="s">
        <v>425</v>
      </c>
    </row>
    <row r="2223" spans="1:13" ht="15" customHeight="1" outlineLevel="1" x14ac:dyDescent="0.25">
      <c r="A2223" s="148"/>
      <c r="B2223" s="148"/>
      <c r="C2223" s="148"/>
      <c r="D2223" s="138"/>
      <c r="E2223" s="138"/>
      <c r="F2223" s="50">
        <v>43647</v>
      </c>
      <c r="G2223" s="50">
        <v>43830</v>
      </c>
      <c r="H2223" s="150"/>
      <c r="I2223" s="15" t="s">
        <v>23</v>
      </c>
      <c r="J2223" s="15" t="s">
        <v>23</v>
      </c>
      <c r="K2223" s="13">
        <v>34.686915254237185</v>
      </c>
      <c r="L2223" s="13">
        <v>1760.3289802722929</v>
      </c>
      <c r="M2223" s="198"/>
    </row>
    <row r="2224" spans="1:13" ht="15" customHeight="1" outlineLevel="1" x14ac:dyDescent="0.25">
      <c r="A2224" s="148"/>
      <c r="B2224" s="148"/>
      <c r="C2224" s="148"/>
      <c r="D2224" s="138"/>
      <c r="E2224" s="138"/>
      <c r="F2224" s="50">
        <v>43466</v>
      </c>
      <c r="G2224" s="50">
        <v>43646</v>
      </c>
      <c r="H2224" s="150"/>
      <c r="I2224" s="15" t="s">
        <v>23</v>
      </c>
      <c r="J2224" s="15" t="s">
        <v>23</v>
      </c>
      <c r="K2224" s="13">
        <v>34.00677966101685</v>
      </c>
      <c r="L2224" s="13">
        <v>1462.146892655363</v>
      </c>
      <c r="M2224" s="196" t="s">
        <v>426</v>
      </c>
    </row>
    <row r="2225" spans="1:13" ht="15" customHeight="1" outlineLevel="1" x14ac:dyDescent="0.25">
      <c r="A2225" s="148"/>
      <c r="B2225" s="148"/>
      <c r="C2225" s="148"/>
      <c r="D2225" s="138"/>
      <c r="E2225" s="138"/>
      <c r="F2225" s="50">
        <v>43647</v>
      </c>
      <c r="G2225" s="50">
        <v>43830</v>
      </c>
      <c r="H2225" s="150"/>
      <c r="I2225" s="15" t="s">
        <v>23</v>
      </c>
      <c r="J2225" s="15" t="s">
        <v>23</v>
      </c>
      <c r="K2225" s="13">
        <v>34.686915254237185</v>
      </c>
      <c r="L2225" s="13">
        <v>1491.3898305084704</v>
      </c>
      <c r="M2225" s="198"/>
    </row>
    <row r="2226" spans="1:13" ht="15" customHeight="1" outlineLevel="1" x14ac:dyDescent="0.25">
      <c r="A2226" s="148"/>
      <c r="B2226" s="148"/>
      <c r="C2226" s="148"/>
      <c r="D2226" s="138"/>
      <c r="E2226" s="138"/>
      <c r="F2226" s="50">
        <v>43466</v>
      </c>
      <c r="G2226" s="50">
        <v>43646</v>
      </c>
      <c r="H2226" s="150"/>
      <c r="I2226" s="15" t="s">
        <v>23</v>
      </c>
      <c r="J2226" s="15" t="s">
        <v>23</v>
      </c>
      <c r="K2226" s="13">
        <v>34.00677966101685</v>
      </c>
      <c r="L2226" s="13">
        <v>1595.0693374422142</v>
      </c>
      <c r="M2226" s="196" t="s">
        <v>427</v>
      </c>
    </row>
    <row r="2227" spans="1:13" ht="15" customHeight="1" outlineLevel="1" x14ac:dyDescent="0.25">
      <c r="A2227" s="147"/>
      <c r="B2227" s="147"/>
      <c r="C2227" s="148"/>
      <c r="D2227" s="141"/>
      <c r="E2227" s="141"/>
      <c r="F2227" s="50">
        <v>43647</v>
      </c>
      <c r="G2227" s="50">
        <v>43830</v>
      </c>
      <c r="H2227" s="151"/>
      <c r="I2227" s="15" t="s">
        <v>23</v>
      </c>
      <c r="J2227" s="15" t="s">
        <v>23</v>
      </c>
      <c r="K2227" s="13">
        <v>34.686915254237185</v>
      </c>
      <c r="L2227" s="13">
        <v>1626.9707241910585</v>
      </c>
      <c r="M2227" s="198"/>
    </row>
    <row r="2228" spans="1:13" ht="15" customHeight="1" outlineLevel="1" x14ac:dyDescent="0.25">
      <c r="A2228" s="146" t="s">
        <v>20</v>
      </c>
      <c r="B2228" s="146" t="s">
        <v>35</v>
      </c>
      <c r="C2228" s="148"/>
      <c r="D2228" s="137">
        <v>43448</v>
      </c>
      <c r="E2228" s="137" t="s">
        <v>822</v>
      </c>
      <c r="F2228" s="12">
        <v>43466</v>
      </c>
      <c r="G2228" s="12">
        <v>43646</v>
      </c>
      <c r="H2228" s="149"/>
      <c r="I2228" s="66">
        <v>67.11</v>
      </c>
      <c r="J2228" s="13">
        <v>3462.8</v>
      </c>
      <c r="K2228" s="15" t="s">
        <v>23</v>
      </c>
      <c r="L2228" s="15" t="s">
        <v>23</v>
      </c>
      <c r="M2228" s="153"/>
    </row>
    <row r="2229" spans="1:13" ht="15" customHeight="1" outlineLevel="1" x14ac:dyDescent="0.25">
      <c r="A2229" s="148"/>
      <c r="B2229" s="148"/>
      <c r="C2229" s="148"/>
      <c r="D2229" s="141"/>
      <c r="E2229" s="141"/>
      <c r="F2229" s="12">
        <v>43647</v>
      </c>
      <c r="G2229" s="12">
        <v>43830</v>
      </c>
      <c r="H2229" s="151"/>
      <c r="I2229" s="66">
        <v>87.37</v>
      </c>
      <c r="J2229" s="13">
        <v>4437.87</v>
      </c>
      <c r="K2229" s="15" t="s">
        <v>23</v>
      </c>
      <c r="L2229" s="15" t="s">
        <v>23</v>
      </c>
      <c r="M2229" s="152"/>
    </row>
    <row r="2230" spans="1:13" ht="15" customHeight="1" outlineLevel="1" x14ac:dyDescent="0.25">
      <c r="A2230" s="148"/>
      <c r="B2230" s="148"/>
      <c r="C2230" s="148"/>
      <c r="D2230" s="137">
        <v>43454</v>
      </c>
      <c r="E2230" s="137" t="s">
        <v>817</v>
      </c>
      <c r="F2230" s="50">
        <v>43466</v>
      </c>
      <c r="G2230" s="50">
        <v>43646</v>
      </c>
      <c r="H2230" s="149"/>
      <c r="I2230" s="15" t="s">
        <v>23</v>
      </c>
      <c r="J2230" s="15" t="s">
        <v>23</v>
      </c>
      <c r="K2230" s="13">
        <v>34.952542372881254</v>
      </c>
      <c r="L2230" s="13">
        <v>1568.1650700073646</v>
      </c>
      <c r="M2230" s="196" t="s">
        <v>420</v>
      </c>
    </row>
    <row r="2231" spans="1:13" ht="15" customHeight="1" outlineLevel="1" x14ac:dyDescent="0.25">
      <c r="A2231" s="148"/>
      <c r="B2231" s="148"/>
      <c r="C2231" s="148"/>
      <c r="D2231" s="138"/>
      <c r="E2231" s="138"/>
      <c r="F2231" s="50">
        <v>43647</v>
      </c>
      <c r="G2231" s="50">
        <v>43830</v>
      </c>
      <c r="H2231" s="150"/>
      <c r="I2231" s="15" t="s">
        <v>23</v>
      </c>
      <c r="J2231" s="15" t="s">
        <v>23</v>
      </c>
      <c r="K2231" s="13">
        <v>35.651593220338881</v>
      </c>
      <c r="L2231" s="13">
        <v>1599.5283714075119</v>
      </c>
      <c r="M2231" s="198"/>
    </row>
    <row r="2232" spans="1:13" ht="15" customHeight="1" outlineLevel="1" x14ac:dyDescent="0.25">
      <c r="A2232" s="148"/>
      <c r="B2232" s="148"/>
      <c r="C2232" s="148"/>
      <c r="D2232" s="138"/>
      <c r="E2232" s="138"/>
      <c r="F2232" s="50">
        <v>43466</v>
      </c>
      <c r="G2232" s="50">
        <v>43646</v>
      </c>
      <c r="H2232" s="150"/>
      <c r="I2232" s="15" t="s">
        <v>23</v>
      </c>
      <c r="J2232" s="15" t="s">
        <v>23</v>
      </c>
      <c r="K2232" s="13">
        <v>34.952542372881254</v>
      </c>
      <c r="L2232" s="13">
        <v>1717.5141242937805</v>
      </c>
      <c r="M2232" s="196" t="s">
        <v>421</v>
      </c>
    </row>
    <row r="2233" spans="1:13" ht="15" customHeight="1" outlineLevel="1" x14ac:dyDescent="0.25">
      <c r="A2233" s="148"/>
      <c r="B2233" s="148"/>
      <c r="C2233" s="148"/>
      <c r="D2233" s="138"/>
      <c r="E2233" s="138"/>
      <c r="F2233" s="50">
        <v>43647</v>
      </c>
      <c r="G2233" s="50">
        <v>43830</v>
      </c>
      <c r="H2233" s="150"/>
      <c r="I2233" s="15" t="s">
        <v>23</v>
      </c>
      <c r="J2233" s="15" t="s">
        <v>23</v>
      </c>
      <c r="K2233" s="13">
        <v>35.651593220338881</v>
      </c>
      <c r="L2233" s="13">
        <v>1751.8644067796561</v>
      </c>
      <c r="M2233" s="198"/>
    </row>
    <row r="2234" spans="1:13" ht="15" customHeight="1" outlineLevel="1" x14ac:dyDescent="0.25">
      <c r="A2234" s="148"/>
      <c r="B2234" s="148"/>
      <c r="C2234" s="148"/>
      <c r="D2234" s="138"/>
      <c r="E2234" s="138"/>
      <c r="F2234" s="50">
        <v>43466</v>
      </c>
      <c r="G2234" s="50">
        <v>43646</v>
      </c>
      <c r="H2234" s="150"/>
      <c r="I2234" s="15" t="s">
        <v>23</v>
      </c>
      <c r="J2234" s="15" t="s">
        <v>23</v>
      </c>
      <c r="K2234" s="13">
        <v>34.952542372881254</v>
      </c>
      <c r="L2234" s="13">
        <v>1462.207970682543</v>
      </c>
      <c r="M2234" s="196" t="s">
        <v>422</v>
      </c>
    </row>
    <row r="2235" spans="1:13" ht="15" customHeight="1" outlineLevel="1" x14ac:dyDescent="0.25">
      <c r="A2235" s="148"/>
      <c r="B2235" s="148"/>
      <c r="C2235" s="148"/>
      <c r="D2235" s="138"/>
      <c r="E2235" s="138"/>
      <c r="F2235" s="50">
        <v>43647</v>
      </c>
      <c r="G2235" s="50">
        <v>43830</v>
      </c>
      <c r="H2235" s="150"/>
      <c r="I2235" s="15" t="s">
        <v>23</v>
      </c>
      <c r="J2235" s="15" t="s">
        <v>23</v>
      </c>
      <c r="K2235" s="13">
        <v>35.651593220338881</v>
      </c>
      <c r="L2235" s="13">
        <v>1491.4521300961937</v>
      </c>
      <c r="M2235" s="198"/>
    </row>
    <row r="2236" spans="1:13" ht="15" customHeight="1" outlineLevel="1" x14ac:dyDescent="0.25">
      <c r="A2236" s="148"/>
      <c r="B2236" s="148"/>
      <c r="C2236" s="148"/>
      <c r="D2236" s="138"/>
      <c r="E2236" s="138"/>
      <c r="F2236" s="50">
        <v>43466</v>
      </c>
      <c r="G2236" s="50">
        <v>43646</v>
      </c>
      <c r="H2236" s="150"/>
      <c r="I2236" s="15" t="s">
        <v>23</v>
      </c>
      <c r="J2236" s="15" t="s">
        <v>23</v>
      </c>
      <c r="K2236" s="13">
        <v>34.952542372881254</v>
      </c>
      <c r="L2236" s="13">
        <v>1568.1650700073646</v>
      </c>
      <c r="M2236" s="196" t="s">
        <v>423</v>
      </c>
    </row>
    <row r="2237" spans="1:13" ht="15" customHeight="1" outlineLevel="1" x14ac:dyDescent="0.25">
      <c r="A2237" s="148"/>
      <c r="B2237" s="148"/>
      <c r="C2237" s="148"/>
      <c r="D2237" s="138"/>
      <c r="E2237" s="138"/>
      <c r="F2237" s="50">
        <v>43647</v>
      </c>
      <c r="G2237" s="50">
        <v>43830</v>
      </c>
      <c r="H2237" s="150"/>
      <c r="I2237" s="15" t="s">
        <v>23</v>
      </c>
      <c r="J2237" s="15" t="s">
        <v>23</v>
      </c>
      <c r="K2237" s="13">
        <v>35.651593220338881</v>
      </c>
      <c r="L2237" s="13">
        <v>1599.5283714075119</v>
      </c>
      <c r="M2237" s="198"/>
    </row>
    <row r="2238" spans="1:13" ht="15" customHeight="1" outlineLevel="1" x14ac:dyDescent="0.25">
      <c r="A2238" s="148"/>
      <c r="B2238" s="148"/>
      <c r="C2238" s="148"/>
      <c r="D2238" s="138"/>
      <c r="E2238" s="138"/>
      <c r="F2238" s="50">
        <v>43466</v>
      </c>
      <c r="G2238" s="50">
        <v>43646</v>
      </c>
      <c r="H2238" s="150"/>
      <c r="I2238" s="15" t="s">
        <v>23</v>
      </c>
      <c r="J2238" s="15" t="s">
        <v>23</v>
      </c>
      <c r="K2238" s="13">
        <v>34.952542372881254</v>
      </c>
      <c r="L2238" s="13">
        <v>1639.4453004622449</v>
      </c>
      <c r="M2238" s="196" t="s">
        <v>424</v>
      </c>
    </row>
    <row r="2239" spans="1:13" ht="15" customHeight="1" outlineLevel="1" x14ac:dyDescent="0.25">
      <c r="A2239" s="148"/>
      <c r="B2239" s="148"/>
      <c r="C2239" s="148"/>
      <c r="D2239" s="138"/>
      <c r="E2239" s="138"/>
      <c r="F2239" s="50">
        <v>43647</v>
      </c>
      <c r="G2239" s="50">
        <v>43830</v>
      </c>
      <c r="H2239" s="150"/>
      <c r="I2239" s="15" t="s">
        <v>23</v>
      </c>
      <c r="J2239" s="15" t="s">
        <v>23</v>
      </c>
      <c r="K2239" s="13">
        <v>35.651593220338881</v>
      </c>
      <c r="L2239" s="13">
        <v>1672.2342064714896</v>
      </c>
      <c r="M2239" s="198"/>
    </row>
    <row r="2240" spans="1:13" ht="15" customHeight="1" outlineLevel="1" x14ac:dyDescent="0.25">
      <c r="A2240" s="148"/>
      <c r="B2240" s="148"/>
      <c r="C2240" s="148"/>
      <c r="D2240" s="138"/>
      <c r="E2240" s="138"/>
      <c r="F2240" s="50">
        <v>43466</v>
      </c>
      <c r="G2240" s="50">
        <v>43646</v>
      </c>
      <c r="H2240" s="150"/>
      <c r="I2240" s="15" t="s">
        <v>23</v>
      </c>
      <c r="J2240" s="15" t="s">
        <v>23</v>
      </c>
      <c r="K2240" s="13">
        <v>34.952542372881254</v>
      </c>
      <c r="L2240" s="13">
        <v>1773.8260627952159</v>
      </c>
      <c r="M2240" s="196" t="s">
        <v>425</v>
      </c>
    </row>
    <row r="2241" spans="1:13" ht="15" customHeight="1" outlineLevel="1" x14ac:dyDescent="0.25">
      <c r="A2241" s="148"/>
      <c r="B2241" s="148"/>
      <c r="C2241" s="148"/>
      <c r="D2241" s="138"/>
      <c r="E2241" s="138"/>
      <c r="F2241" s="50">
        <v>43647</v>
      </c>
      <c r="G2241" s="50">
        <v>43830</v>
      </c>
      <c r="H2241" s="150"/>
      <c r="I2241" s="15" t="s">
        <v>23</v>
      </c>
      <c r="J2241" s="15" t="s">
        <v>23</v>
      </c>
      <c r="K2241" s="13">
        <v>35.651593220338881</v>
      </c>
      <c r="L2241" s="13">
        <v>1809.3025840511202</v>
      </c>
      <c r="M2241" s="198"/>
    </row>
    <row r="2242" spans="1:13" ht="15" customHeight="1" outlineLevel="1" x14ac:dyDescent="0.25">
      <c r="A2242" s="148"/>
      <c r="B2242" s="148"/>
      <c r="C2242" s="148"/>
      <c r="D2242" s="138"/>
      <c r="E2242" s="138"/>
      <c r="F2242" s="50">
        <v>43466</v>
      </c>
      <c r="G2242" s="50">
        <v>43646</v>
      </c>
      <c r="H2242" s="150"/>
      <c r="I2242" s="15" t="s">
        <v>23</v>
      </c>
      <c r="J2242" s="15" t="s">
        <v>23</v>
      </c>
      <c r="K2242" s="13">
        <v>34.952542372881254</v>
      </c>
      <c r="L2242" s="13">
        <v>1502.8248587570581</v>
      </c>
      <c r="M2242" s="196" t="s">
        <v>426</v>
      </c>
    </row>
    <row r="2243" spans="1:13" ht="15" customHeight="1" outlineLevel="1" x14ac:dyDescent="0.25">
      <c r="A2243" s="148"/>
      <c r="B2243" s="148"/>
      <c r="C2243" s="148"/>
      <c r="D2243" s="138"/>
      <c r="E2243" s="138"/>
      <c r="F2243" s="50">
        <v>43647</v>
      </c>
      <c r="G2243" s="50">
        <v>43830</v>
      </c>
      <c r="H2243" s="150"/>
      <c r="I2243" s="15" t="s">
        <v>23</v>
      </c>
      <c r="J2243" s="15" t="s">
        <v>23</v>
      </c>
      <c r="K2243" s="13">
        <v>35.651593220338881</v>
      </c>
      <c r="L2243" s="13">
        <v>1532.8813559321991</v>
      </c>
      <c r="M2243" s="198"/>
    </row>
    <row r="2244" spans="1:13" ht="15" customHeight="1" outlineLevel="1" x14ac:dyDescent="0.25">
      <c r="A2244" s="148"/>
      <c r="B2244" s="148"/>
      <c r="C2244" s="148"/>
      <c r="D2244" s="138"/>
      <c r="E2244" s="138"/>
      <c r="F2244" s="50">
        <v>43466</v>
      </c>
      <c r="G2244" s="50">
        <v>43646</v>
      </c>
      <c r="H2244" s="150"/>
      <c r="I2244" s="15" t="s">
        <v>23</v>
      </c>
      <c r="J2244" s="15" t="s">
        <v>23</v>
      </c>
      <c r="K2244" s="13">
        <v>34.952542372881254</v>
      </c>
      <c r="L2244" s="13">
        <v>1639.4453004622449</v>
      </c>
      <c r="M2244" s="196" t="s">
        <v>427</v>
      </c>
    </row>
    <row r="2245" spans="1:13" ht="15" customHeight="1" outlineLevel="1" x14ac:dyDescent="0.25">
      <c r="A2245" s="147"/>
      <c r="B2245" s="147"/>
      <c r="C2245" s="148"/>
      <c r="D2245" s="141"/>
      <c r="E2245" s="141"/>
      <c r="F2245" s="50">
        <v>43647</v>
      </c>
      <c r="G2245" s="50">
        <v>43830</v>
      </c>
      <c r="H2245" s="151"/>
      <c r="I2245" s="15" t="s">
        <v>23</v>
      </c>
      <c r="J2245" s="15" t="s">
        <v>23</v>
      </c>
      <c r="K2245" s="13">
        <v>35.651593220338881</v>
      </c>
      <c r="L2245" s="13">
        <v>1672.2342064714896</v>
      </c>
      <c r="M2245" s="198"/>
    </row>
    <row r="2246" spans="1:13" ht="15" customHeight="1" outlineLevel="1" x14ac:dyDescent="0.25">
      <c r="A2246" s="146" t="s">
        <v>20</v>
      </c>
      <c r="B2246" s="146" t="s">
        <v>38</v>
      </c>
      <c r="C2246" s="146" t="s">
        <v>37</v>
      </c>
      <c r="D2246" s="137">
        <v>42706</v>
      </c>
      <c r="E2246" s="137" t="s">
        <v>820</v>
      </c>
      <c r="F2246" s="12">
        <v>43466</v>
      </c>
      <c r="G2246" s="12">
        <v>43646</v>
      </c>
      <c r="H2246" s="149" t="s">
        <v>821</v>
      </c>
      <c r="I2246" s="66">
        <v>57.08</v>
      </c>
      <c r="J2246" s="13">
        <v>3639.53</v>
      </c>
      <c r="K2246" s="15" t="s">
        <v>23</v>
      </c>
      <c r="L2246" s="15" t="s">
        <v>23</v>
      </c>
      <c r="M2246" s="153"/>
    </row>
    <row r="2247" spans="1:13" ht="15" customHeight="1" outlineLevel="1" x14ac:dyDescent="0.25">
      <c r="A2247" s="148"/>
      <c r="B2247" s="148"/>
      <c r="C2247" s="148"/>
      <c r="D2247" s="141"/>
      <c r="E2247" s="141"/>
      <c r="F2247" s="12">
        <v>43647</v>
      </c>
      <c r="G2247" s="12">
        <v>43830</v>
      </c>
      <c r="H2247" s="151"/>
      <c r="I2247" s="66">
        <v>57.94</v>
      </c>
      <c r="J2247" s="13">
        <v>3793.53</v>
      </c>
      <c r="K2247" s="15" t="s">
        <v>23</v>
      </c>
      <c r="L2247" s="15" t="s">
        <v>23</v>
      </c>
      <c r="M2247" s="152"/>
    </row>
    <row r="2248" spans="1:13" ht="15" customHeight="1" outlineLevel="1" x14ac:dyDescent="0.25">
      <c r="A2248" s="148"/>
      <c r="B2248" s="148"/>
      <c r="C2248" s="148"/>
      <c r="D2248" s="137">
        <v>43454</v>
      </c>
      <c r="E2248" s="137" t="s">
        <v>817</v>
      </c>
      <c r="F2248" s="50">
        <v>43466</v>
      </c>
      <c r="G2248" s="50">
        <v>43646</v>
      </c>
      <c r="H2248" s="149"/>
      <c r="I2248" s="15" t="s">
        <v>23</v>
      </c>
      <c r="J2248" s="15" t="s">
        <v>23</v>
      </c>
      <c r="K2248" s="13">
        <v>28.52</v>
      </c>
      <c r="L2248" s="13">
        <v>1501.304347826087</v>
      </c>
      <c r="M2248" s="196" t="s">
        <v>420</v>
      </c>
    </row>
    <row r="2249" spans="1:13" ht="15" customHeight="1" outlineLevel="1" x14ac:dyDescent="0.25">
      <c r="A2249" s="148"/>
      <c r="B2249" s="148"/>
      <c r="C2249" s="148"/>
      <c r="D2249" s="138"/>
      <c r="E2249" s="138"/>
      <c r="F2249" s="50">
        <v>43647</v>
      </c>
      <c r="G2249" s="50">
        <v>43830</v>
      </c>
      <c r="H2249" s="150"/>
      <c r="I2249" s="15" t="s">
        <v>23</v>
      </c>
      <c r="J2249" s="15" t="s">
        <v>23</v>
      </c>
      <c r="K2249" s="13">
        <v>29.090399999999999</v>
      </c>
      <c r="L2249" s="13">
        <v>1531.3304347826088</v>
      </c>
      <c r="M2249" s="198"/>
    </row>
    <row r="2250" spans="1:13" ht="15" customHeight="1" outlineLevel="1" x14ac:dyDescent="0.25">
      <c r="A2250" s="148"/>
      <c r="B2250" s="148"/>
      <c r="C2250" s="148"/>
      <c r="D2250" s="138"/>
      <c r="E2250" s="138"/>
      <c r="F2250" s="50">
        <v>43466</v>
      </c>
      <c r="G2250" s="50">
        <v>43646</v>
      </c>
      <c r="H2250" s="150"/>
      <c r="I2250" s="15" t="s">
        <v>23</v>
      </c>
      <c r="J2250" s="15" t="s">
        <v>23</v>
      </c>
      <c r="K2250" s="13">
        <v>28.52</v>
      </c>
      <c r="L2250" s="13">
        <v>1644.2857142857144</v>
      </c>
      <c r="M2250" s="196" t="s">
        <v>421</v>
      </c>
    </row>
    <row r="2251" spans="1:13" ht="15" customHeight="1" outlineLevel="1" x14ac:dyDescent="0.25">
      <c r="A2251" s="148"/>
      <c r="B2251" s="148"/>
      <c r="C2251" s="148"/>
      <c r="D2251" s="138"/>
      <c r="E2251" s="138"/>
      <c r="F2251" s="50">
        <v>43647</v>
      </c>
      <c r="G2251" s="50">
        <v>43830</v>
      </c>
      <c r="H2251" s="150"/>
      <c r="I2251" s="15" t="s">
        <v>23</v>
      </c>
      <c r="J2251" s="15" t="s">
        <v>23</v>
      </c>
      <c r="K2251" s="13">
        <v>29.090399999999999</v>
      </c>
      <c r="L2251" s="13">
        <v>1677.1714285714288</v>
      </c>
      <c r="M2251" s="198"/>
    </row>
    <row r="2252" spans="1:13" ht="15" customHeight="1" outlineLevel="1" x14ac:dyDescent="0.25">
      <c r="A2252" s="148"/>
      <c r="B2252" s="148"/>
      <c r="C2252" s="148"/>
      <c r="D2252" s="138"/>
      <c r="E2252" s="138"/>
      <c r="F2252" s="50">
        <v>43466</v>
      </c>
      <c r="G2252" s="50">
        <v>43646</v>
      </c>
      <c r="H2252" s="150"/>
      <c r="I2252" s="15" t="s">
        <v>23</v>
      </c>
      <c r="J2252" s="15" t="s">
        <v>23</v>
      </c>
      <c r="K2252" s="13">
        <v>28.52</v>
      </c>
      <c r="L2252" s="13">
        <v>1399.8648648648652</v>
      </c>
      <c r="M2252" s="196" t="s">
        <v>422</v>
      </c>
    </row>
    <row r="2253" spans="1:13" ht="15" customHeight="1" outlineLevel="1" x14ac:dyDescent="0.25">
      <c r="A2253" s="148"/>
      <c r="B2253" s="148"/>
      <c r="C2253" s="148"/>
      <c r="D2253" s="138"/>
      <c r="E2253" s="138"/>
      <c r="F2253" s="50">
        <v>43647</v>
      </c>
      <c r="G2253" s="50">
        <v>43830</v>
      </c>
      <c r="H2253" s="150"/>
      <c r="I2253" s="15" t="s">
        <v>23</v>
      </c>
      <c r="J2253" s="15" t="s">
        <v>23</v>
      </c>
      <c r="K2253" s="13">
        <v>29.090399999999999</v>
      </c>
      <c r="L2253" s="13">
        <v>1427.8621621621623</v>
      </c>
      <c r="M2253" s="198"/>
    </row>
    <row r="2254" spans="1:13" ht="15" customHeight="1" outlineLevel="1" x14ac:dyDescent="0.25">
      <c r="A2254" s="148"/>
      <c r="B2254" s="148"/>
      <c r="C2254" s="148"/>
      <c r="D2254" s="138"/>
      <c r="E2254" s="138"/>
      <c r="F2254" s="50">
        <v>43466</v>
      </c>
      <c r="G2254" s="50">
        <v>43646</v>
      </c>
      <c r="H2254" s="150"/>
      <c r="I2254" s="15" t="s">
        <v>23</v>
      </c>
      <c r="J2254" s="15" t="s">
        <v>23</v>
      </c>
      <c r="K2254" s="13">
        <v>28.52</v>
      </c>
      <c r="L2254" s="13">
        <v>1501.304347826087</v>
      </c>
      <c r="M2254" s="196" t="s">
        <v>423</v>
      </c>
    </row>
    <row r="2255" spans="1:13" ht="15" customHeight="1" outlineLevel="1" x14ac:dyDescent="0.25">
      <c r="A2255" s="148"/>
      <c r="B2255" s="148"/>
      <c r="C2255" s="148"/>
      <c r="D2255" s="138"/>
      <c r="E2255" s="138"/>
      <c r="F2255" s="50">
        <v>43647</v>
      </c>
      <c r="G2255" s="50">
        <v>43830</v>
      </c>
      <c r="H2255" s="150"/>
      <c r="I2255" s="15" t="s">
        <v>23</v>
      </c>
      <c r="J2255" s="15" t="s">
        <v>23</v>
      </c>
      <c r="K2255" s="13">
        <v>29.090399999999999</v>
      </c>
      <c r="L2255" s="13">
        <v>1531.3304347826088</v>
      </c>
      <c r="M2255" s="198"/>
    </row>
    <row r="2256" spans="1:13" ht="15" customHeight="1" outlineLevel="1" x14ac:dyDescent="0.25">
      <c r="A2256" s="148"/>
      <c r="B2256" s="148"/>
      <c r="C2256" s="148"/>
      <c r="D2256" s="138"/>
      <c r="E2256" s="138"/>
      <c r="F2256" s="50">
        <v>43466</v>
      </c>
      <c r="G2256" s="50">
        <v>43646</v>
      </c>
      <c r="H2256" s="150"/>
      <c r="I2256" s="15" t="s">
        <v>23</v>
      </c>
      <c r="J2256" s="15" t="s">
        <v>23</v>
      </c>
      <c r="K2256" s="13">
        <v>28.52</v>
      </c>
      <c r="L2256" s="13">
        <v>1569.5454545454547</v>
      </c>
      <c r="M2256" s="196" t="s">
        <v>424</v>
      </c>
    </row>
    <row r="2257" spans="1:13" ht="15" customHeight="1" outlineLevel="1" x14ac:dyDescent="0.25">
      <c r="A2257" s="148"/>
      <c r="B2257" s="148"/>
      <c r="C2257" s="148"/>
      <c r="D2257" s="138"/>
      <c r="E2257" s="138"/>
      <c r="F2257" s="50">
        <v>43647</v>
      </c>
      <c r="G2257" s="50">
        <v>43830</v>
      </c>
      <c r="H2257" s="150"/>
      <c r="I2257" s="15" t="s">
        <v>23</v>
      </c>
      <c r="J2257" s="15" t="s">
        <v>23</v>
      </c>
      <c r="K2257" s="13">
        <v>29.090399999999999</v>
      </c>
      <c r="L2257" s="13">
        <v>1600.9363636363637</v>
      </c>
      <c r="M2257" s="198"/>
    </row>
    <row r="2258" spans="1:13" ht="15" customHeight="1" outlineLevel="1" x14ac:dyDescent="0.25">
      <c r="A2258" s="148"/>
      <c r="B2258" s="148"/>
      <c r="C2258" s="148"/>
      <c r="D2258" s="138"/>
      <c r="E2258" s="138"/>
      <c r="F2258" s="50">
        <v>43466</v>
      </c>
      <c r="G2258" s="50">
        <v>43646</v>
      </c>
      <c r="H2258" s="150"/>
      <c r="I2258" s="15" t="s">
        <v>23</v>
      </c>
      <c r="J2258" s="15" t="s">
        <v>23</v>
      </c>
      <c r="K2258" s="13">
        <v>28.52</v>
      </c>
      <c r="L2258" s="13">
        <v>1698.1967213114758</v>
      </c>
      <c r="M2258" s="196" t="s">
        <v>425</v>
      </c>
    </row>
    <row r="2259" spans="1:13" ht="15" customHeight="1" outlineLevel="1" x14ac:dyDescent="0.25">
      <c r="A2259" s="148"/>
      <c r="B2259" s="148"/>
      <c r="C2259" s="148"/>
      <c r="D2259" s="138"/>
      <c r="E2259" s="138"/>
      <c r="F2259" s="50">
        <v>43647</v>
      </c>
      <c r="G2259" s="50">
        <v>43830</v>
      </c>
      <c r="H2259" s="150"/>
      <c r="I2259" s="15" t="s">
        <v>23</v>
      </c>
      <c r="J2259" s="15" t="s">
        <v>23</v>
      </c>
      <c r="K2259" s="13">
        <v>29.090399999999999</v>
      </c>
      <c r="L2259" s="13">
        <v>1732.1606557377052</v>
      </c>
      <c r="M2259" s="198"/>
    </row>
    <row r="2260" spans="1:13" ht="15" customHeight="1" outlineLevel="1" x14ac:dyDescent="0.25">
      <c r="A2260" s="148"/>
      <c r="B2260" s="148"/>
      <c r="C2260" s="148"/>
      <c r="D2260" s="138"/>
      <c r="E2260" s="138"/>
      <c r="F2260" s="50">
        <v>43466</v>
      </c>
      <c r="G2260" s="50">
        <v>43646</v>
      </c>
      <c r="H2260" s="150"/>
      <c r="I2260" s="15" t="s">
        <v>23</v>
      </c>
      <c r="J2260" s="15" t="s">
        <v>23</v>
      </c>
      <c r="K2260" s="13">
        <v>28.52</v>
      </c>
      <c r="L2260" s="13">
        <v>1438.7500000000005</v>
      </c>
      <c r="M2260" s="196" t="s">
        <v>426</v>
      </c>
    </row>
    <row r="2261" spans="1:13" ht="15" customHeight="1" outlineLevel="1" x14ac:dyDescent="0.25">
      <c r="A2261" s="148"/>
      <c r="B2261" s="148"/>
      <c r="C2261" s="148"/>
      <c r="D2261" s="138"/>
      <c r="E2261" s="138"/>
      <c r="F2261" s="50">
        <v>43647</v>
      </c>
      <c r="G2261" s="50">
        <v>43830</v>
      </c>
      <c r="H2261" s="150"/>
      <c r="I2261" s="15" t="s">
        <v>23</v>
      </c>
      <c r="J2261" s="15" t="s">
        <v>23</v>
      </c>
      <c r="K2261" s="13">
        <v>29.090399999999999</v>
      </c>
      <c r="L2261" s="13">
        <v>1467.5250000000003</v>
      </c>
      <c r="M2261" s="198"/>
    </row>
    <row r="2262" spans="1:13" ht="15" customHeight="1" outlineLevel="1" x14ac:dyDescent="0.25">
      <c r="A2262" s="148"/>
      <c r="B2262" s="148"/>
      <c r="C2262" s="148"/>
      <c r="D2262" s="138"/>
      <c r="E2262" s="138"/>
      <c r="F2262" s="50">
        <v>43466</v>
      </c>
      <c r="G2262" s="50">
        <v>43646</v>
      </c>
      <c r="H2262" s="150"/>
      <c r="I2262" s="15" t="s">
        <v>23</v>
      </c>
      <c r="J2262" s="15" t="s">
        <v>23</v>
      </c>
      <c r="K2262" s="13">
        <v>28.52</v>
      </c>
      <c r="L2262" s="13">
        <v>1569.5454545454547</v>
      </c>
      <c r="M2262" s="196" t="s">
        <v>427</v>
      </c>
    </row>
    <row r="2263" spans="1:13" ht="15" customHeight="1" outlineLevel="1" x14ac:dyDescent="0.25">
      <c r="A2263" s="147"/>
      <c r="B2263" s="147"/>
      <c r="C2263" s="148"/>
      <c r="D2263" s="141"/>
      <c r="E2263" s="141"/>
      <c r="F2263" s="50">
        <v>43647</v>
      </c>
      <c r="G2263" s="50">
        <v>43830</v>
      </c>
      <c r="H2263" s="151"/>
      <c r="I2263" s="15" t="s">
        <v>23</v>
      </c>
      <c r="J2263" s="15" t="s">
        <v>23</v>
      </c>
      <c r="K2263" s="13">
        <v>29.090399999999999</v>
      </c>
      <c r="L2263" s="13">
        <v>1600.9363636363637</v>
      </c>
      <c r="M2263" s="198"/>
    </row>
    <row r="2264" spans="1:13" ht="15" customHeight="1" outlineLevel="1" x14ac:dyDescent="0.25">
      <c r="A2264" s="146" t="s">
        <v>20</v>
      </c>
      <c r="B2264" s="146" t="s">
        <v>36</v>
      </c>
      <c r="C2264" s="148"/>
      <c r="D2264" s="137">
        <v>42706</v>
      </c>
      <c r="E2264" s="137" t="s">
        <v>820</v>
      </c>
      <c r="F2264" s="12">
        <v>43466</v>
      </c>
      <c r="G2264" s="12">
        <v>43646</v>
      </c>
      <c r="H2264" s="149" t="s">
        <v>821</v>
      </c>
      <c r="I2264" s="66">
        <v>57.08</v>
      </c>
      <c r="J2264" s="13">
        <v>3639.53</v>
      </c>
      <c r="K2264" s="15" t="s">
        <v>23</v>
      </c>
      <c r="L2264" s="15" t="s">
        <v>23</v>
      </c>
      <c r="M2264" s="153"/>
    </row>
    <row r="2265" spans="1:13" ht="15" customHeight="1" outlineLevel="1" x14ac:dyDescent="0.25">
      <c r="A2265" s="148"/>
      <c r="B2265" s="148"/>
      <c r="C2265" s="148"/>
      <c r="D2265" s="141"/>
      <c r="E2265" s="141"/>
      <c r="F2265" s="12">
        <v>43647</v>
      </c>
      <c r="G2265" s="12">
        <v>43830</v>
      </c>
      <c r="H2265" s="151"/>
      <c r="I2265" s="66">
        <v>57.94</v>
      </c>
      <c r="J2265" s="13">
        <v>3793.53</v>
      </c>
      <c r="K2265" s="15" t="s">
        <v>23</v>
      </c>
      <c r="L2265" s="15" t="s">
        <v>23</v>
      </c>
      <c r="M2265" s="152"/>
    </row>
    <row r="2266" spans="1:13" ht="15" customHeight="1" outlineLevel="1" x14ac:dyDescent="0.25">
      <c r="A2266" s="148"/>
      <c r="B2266" s="148"/>
      <c r="C2266" s="148"/>
      <c r="D2266" s="137">
        <v>43454</v>
      </c>
      <c r="E2266" s="137" t="s">
        <v>817</v>
      </c>
      <c r="F2266" s="50">
        <v>43466</v>
      </c>
      <c r="G2266" s="50">
        <v>43646</v>
      </c>
      <c r="H2266" s="149"/>
      <c r="I2266" s="15" t="s">
        <v>23</v>
      </c>
      <c r="J2266" s="15" t="s">
        <v>23</v>
      </c>
      <c r="K2266" s="13">
        <v>33.549999999999997</v>
      </c>
      <c r="L2266" s="13">
        <v>1765.6521739130433</v>
      </c>
      <c r="M2266" s="196" t="s">
        <v>420</v>
      </c>
    </row>
    <row r="2267" spans="1:13" ht="15" customHeight="1" outlineLevel="1" x14ac:dyDescent="0.25">
      <c r="A2267" s="148"/>
      <c r="B2267" s="148"/>
      <c r="C2267" s="148"/>
      <c r="D2267" s="138"/>
      <c r="E2267" s="138"/>
      <c r="F2267" s="50">
        <v>43647</v>
      </c>
      <c r="G2267" s="50">
        <v>43830</v>
      </c>
      <c r="H2267" s="150"/>
      <c r="I2267" s="15" t="s">
        <v>23</v>
      </c>
      <c r="J2267" s="15" t="s">
        <v>23</v>
      </c>
      <c r="K2267" s="13">
        <v>34.220999999999997</v>
      </c>
      <c r="L2267" s="13">
        <v>1800.9652173913039</v>
      </c>
      <c r="M2267" s="198"/>
    </row>
    <row r="2268" spans="1:13" ht="15" customHeight="1" outlineLevel="1" x14ac:dyDescent="0.25">
      <c r="A2268" s="148"/>
      <c r="B2268" s="148"/>
      <c r="C2268" s="148"/>
      <c r="D2268" s="138"/>
      <c r="E2268" s="138"/>
      <c r="F2268" s="50">
        <v>43466</v>
      </c>
      <c r="G2268" s="50">
        <v>43646</v>
      </c>
      <c r="H2268" s="150"/>
      <c r="I2268" s="15" t="s">
        <v>23</v>
      </c>
      <c r="J2268" s="15" t="s">
        <v>23</v>
      </c>
      <c r="K2268" s="13">
        <v>33.549999999999997</v>
      </c>
      <c r="L2268" s="13">
        <v>1933.8095238095239</v>
      </c>
      <c r="M2268" s="196" t="s">
        <v>421</v>
      </c>
    </row>
    <row r="2269" spans="1:13" ht="15" customHeight="1" outlineLevel="1" x14ac:dyDescent="0.25">
      <c r="A2269" s="148"/>
      <c r="B2269" s="148"/>
      <c r="C2269" s="148"/>
      <c r="D2269" s="138"/>
      <c r="E2269" s="138"/>
      <c r="F2269" s="50">
        <v>43647</v>
      </c>
      <c r="G2269" s="50">
        <v>43830</v>
      </c>
      <c r="H2269" s="150"/>
      <c r="I2269" s="15" t="s">
        <v>23</v>
      </c>
      <c r="J2269" s="15" t="s">
        <v>23</v>
      </c>
      <c r="K2269" s="13">
        <v>34.220999999999997</v>
      </c>
      <c r="L2269" s="13">
        <v>1972.485714285714</v>
      </c>
      <c r="M2269" s="198"/>
    </row>
    <row r="2270" spans="1:13" ht="15" customHeight="1" outlineLevel="1" x14ac:dyDescent="0.25">
      <c r="A2270" s="148"/>
      <c r="B2270" s="148"/>
      <c r="C2270" s="148"/>
      <c r="D2270" s="138"/>
      <c r="E2270" s="138"/>
      <c r="F2270" s="50">
        <v>43466</v>
      </c>
      <c r="G2270" s="50">
        <v>43646</v>
      </c>
      <c r="H2270" s="150"/>
      <c r="I2270" s="15" t="s">
        <v>23</v>
      </c>
      <c r="J2270" s="15" t="s">
        <v>23</v>
      </c>
      <c r="K2270" s="13">
        <v>33.549999999999997</v>
      </c>
      <c r="L2270" s="13">
        <v>1646.3513513513515</v>
      </c>
      <c r="M2270" s="196" t="s">
        <v>422</v>
      </c>
    </row>
    <row r="2271" spans="1:13" ht="15" customHeight="1" outlineLevel="1" x14ac:dyDescent="0.25">
      <c r="A2271" s="148"/>
      <c r="B2271" s="148"/>
      <c r="C2271" s="148"/>
      <c r="D2271" s="138"/>
      <c r="E2271" s="138"/>
      <c r="F2271" s="50">
        <v>43647</v>
      </c>
      <c r="G2271" s="50">
        <v>43830</v>
      </c>
      <c r="H2271" s="150"/>
      <c r="I2271" s="15" t="s">
        <v>23</v>
      </c>
      <c r="J2271" s="15" t="s">
        <v>23</v>
      </c>
      <c r="K2271" s="13">
        <v>34.220999999999997</v>
      </c>
      <c r="L2271" s="13">
        <v>1679.2783783783782</v>
      </c>
      <c r="M2271" s="198"/>
    </row>
    <row r="2272" spans="1:13" ht="15" customHeight="1" outlineLevel="1" x14ac:dyDescent="0.25">
      <c r="A2272" s="148"/>
      <c r="B2272" s="148"/>
      <c r="C2272" s="148"/>
      <c r="D2272" s="138"/>
      <c r="E2272" s="138"/>
      <c r="F2272" s="50">
        <v>43466</v>
      </c>
      <c r="G2272" s="50">
        <v>43646</v>
      </c>
      <c r="H2272" s="150"/>
      <c r="I2272" s="15" t="s">
        <v>23</v>
      </c>
      <c r="J2272" s="15" t="s">
        <v>23</v>
      </c>
      <c r="K2272" s="13">
        <v>33.549999999999997</v>
      </c>
      <c r="L2272" s="13">
        <v>1765.6521739130433</v>
      </c>
      <c r="M2272" s="196" t="s">
        <v>423</v>
      </c>
    </row>
    <row r="2273" spans="1:13" ht="15" customHeight="1" outlineLevel="1" x14ac:dyDescent="0.25">
      <c r="A2273" s="148"/>
      <c r="B2273" s="148"/>
      <c r="C2273" s="148"/>
      <c r="D2273" s="138"/>
      <c r="E2273" s="138"/>
      <c r="F2273" s="50">
        <v>43647</v>
      </c>
      <c r="G2273" s="50">
        <v>43830</v>
      </c>
      <c r="H2273" s="150"/>
      <c r="I2273" s="15" t="s">
        <v>23</v>
      </c>
      <c r="J2273" s="15" t="s">
        <v>23</v>
      </c>
      <c r="K2273" s="13">
        <v>34.220999999999997</v>
      </c>
      <c r="L2273" s="13">
        <v>1800.9652173913039</v>
      </c>
      <c r="M2273" s="198"/>
    </row>
    <row r="2274" spans="1:13" ht="15" customHeight="1" outlineLevel="1" x14ac:dyDescent="0.25">
      <c r="A2274" s="148"/>
      <c r="B2274" s="148"/>
      <c r="C2274" s="148"/>
      <c r="D2274" s="138"/>
      <c r="E2274" s="138"/>
      <c r="F2274" s="50">
        <v>43466</v>
      </c>
      <c r="G2274" s="50">
        <v>43646</v>
      </c>
      <c r="H2274" s="150"/>
      <c r="I2274" s="15" t="s">
        <v>23</v>
      </c>
      <c r="J2274" s="15" t="s">
        <v>23</v>
      </c>
      <c r="K2274" s="13">
        <v>33.549999999999997</v>
      </c>
      <c r="L2274" s="13">
        <v>1845.9090909090908</v>
      </c>
      <c r="M2274" s="196" t="s">
        <v>424</v>
      </c>
    </row>
    <row r="2275" spans="1:13" ht="15" customHeight="1" outlineLevel="1" x14ac:dyDescent="0.25">
      <c r="A2275" s="148"/>
      <c r="B2275" s="148"/>
      <c r="C2275" s="148"/>
      <c r="D2275" s="138"/>
      <c r="E2275" s="138"/>
      <c r="F2275" s="50">
        <v>43647</v>
      </c>
      <c r="G2275" s="50">
        <v>43830</v>
      </c>
      <c r="H2275" s="150"/>
      <c r="I2275" s="15" t="s">
        <v>23</v>
      </c>
      <c r="J2275" s="15" t="s">
        <v>23</v>
      </c>
      <c r="K2275" s="13">
        <v>34.220999999999997</v>
      </c>
      <c r="L2275" s="13">
        <v>1882.8272727272724</v>
      </c>
      <c r="M2275" s="198"/>
    </row>
    <row r="2276" spans="1:13" ht="15" customHeight="1" outlineLevel="1" x14ac:dyDescent="0.25">
      <c r="A2276" s="148"/>
      <c r="B2276" s="148"/>
      <c r="C2276" s="148"/>
      <c r="D2276" s="138"/>
      <c r="E2276" s="138"/>
      <c r="F2276" s="50">
        <v>43466</v>
      </c>
      <c r="G2276" s="50">
        <v>43646</v>
      </c>
      <c r="H2276" s="150"/>
      <c r="I2276" s="15" t="s">
        <v>23</v>
      </c>
      <c r="J2276" s="15" t="s">
        <v>23</v>
      </c>
      <c r="K2276" s="13">
        <v>33.549999999999997</v>
      </c>
      <c r="L2276" s="13">
        <v>1997.2131147540983</v>
      </c>
      <c r="M2276" s="196" t="s">
        <v>425</v>
      </c>
    </row>
    <row r="2277" spans="1:13" ht="15" customHeight="1" outlineLevel="1" x14ac:dyDescent="0.25">
      <c r="A2277" s="148"/>
      <c r="B2277" s="148"/>
      <c r="C2277" s="148"/>
      <c r="D2277" s="138"/>
      <c r="E2277" s="138"/>
      <c r="F2277" s="50">
        <v>43647</v>
      </c>
      <c r="G2277" s="50">
        <v>43830</v>
      </c>
      <c r="H2277" s="150"/>
      <c r="I2277" s="15" t="s">
        <v>23</v>
      </c>
      <c r="J2277" s="15" t="s">
        <v>23</v>
      </c>
      <c r="K2277" s="13">
        <v>34.220999999999997</v>
      </c>
      <c r="L2277" s="13">
        <v>2037.15737704918</v>
      </c>
      <c r="M2277" s="198"/>
    </row>
    <row r="2278" spans="1:13" ht="15" customHeight="1" outlineLevel="1" x14ac:dyDescent="0.25">
      <c r="A2278" s="148"/>
      <c r="B2278" s="148"/>
      <c r="C2278" s="148"/>
      <c r="D2278" s="138"/>
      <c r="E2278" s="138"/>
      <c r="F2278" s="50">
        <v>43466</v>
      </c>
      <c r="G2278" s="50">
        <v>43646</v>
      </c>
      <c r="H2278" s="150"/>
      <c r="I2278" s="15" t="s">
        <v>23</v>
      </c>
      <c r="J2278" s="15" t="s">
        <v>23</v>
      </c>
      <c r="K2278" s="13">
        <v>33.549999999999997</v>
      </c>
      <c r="L2278" s="13">
        <v>1692.0833333333335</v>
      </c>
      <c r="M2278" s="196" t="s">
        <v>426</v>
      </c>
    </row>
    <row r="2279" spans="1:13" ht="15" customHeight="1" outlineLevel="1" x14ac:dyDescent="0.25">
      <c r="A2279" s="148"/>
      <c r="B2279" s="148"/>
      <c r="C2279" s="148"/>
      <c r="D2279" s="138"/>
      <c r="E2279" s="138"/>
      <c r="F2279" s="50">
        <v>43647</v>
      </c>
      <c r="G2279" s="50">
        <v>43830</v>
      </c>
      <c r="H2279" s="150"/>
      <c r="I2279" s="15" t="s">
        <v>23</v>
      </c>
      <c r="J2279" s="15" t="s">
        <v>23</v>
      </c>
      <c r="K2279" s="13">
        <v>34.220999999999997</v>
      </c>
      <c r="L2279" s="13">
        <v>1725.925</v>
      </c>
      <c r="M2279" s="198"/>
    </row>
    <row r="2280" spans="1:13" ht="15" customHeight="1" outlineLevel="1" x14ac:dyDescent="0.25">
      <c r="A2280" s="148"/>
      <c r="B2280" s="148"/>
      <c r="C2280" s="148"/>
      <c r="D2280" s="138"/>
      <c r="E2280" s="138"/>
      <c r="F2280" s="50">
        <v>43466</v>
      </c>
      <c r="G2280" s="50">
        <v>43646</v>
      </c>
      <c r="H2280" s="150"/>
      <c r="I2280" s="15" t="s">
        <v>23</v>
      </c>
      <c r="J2280" s="15" t="s">
        <v>23</v>
      </c>
      <c r="K2280" s="13">
        <v>33.549999999999997</v>
      </c>
      <c r="L2280" s="13">
        <v>1845.9090909090908</v>
      </c>
      <c r="M2280" s="196" t="s">
        <v>427</v>
      </c>
    </row>
    <row r="2281" spans="1:13" ht="15" customHeight="1" outlineLevel="1" x14ac:dyDescent="0.25">
      <c r="A2281" s="147"/>
      <c r="B2281" s="147"/>
      <c r="C2281" s="147"/>
      <c r="D2281" s="141"/>
      <c r="E2281" s="141"/>
      <c r="F2281" s="50">
        <v>43647</v>
      </c>
      <c r="G2281" s="50">
        <v>43830</v>
      </c>
      <c r="H2281" s="151"/>
      <c r="I2281" s="15" t="s">
        <v>23</v>
      </c>
      <c r="J2281" s="15" t="s">
        <v>23</v>
      </c>
      <c r="K2281" s="13">
        <v>34.220999999999997</v>
      </c>
      <c r="L2281" s="13">
        <v>1882.8272727272724</v>
      </c>
      <c r="M2281" s="198"/>
    </row>
    <row r="2282" spans="1:13" ht="15" customHeight="1" outlineLevel="1" x14ac:dyDescent="0.25">
      <c r="A2282" s="146" t="s">
        <v>20</v>
      </c>
      <c r="B2282" s="146" t="s">
        <v>26</v>
      </c>
      <c r="C2282" s="146" t="s">
        <v>296</v>
      </c>
      <c r="D2282" s="156">
        <v>43453</v>
      </c>
      <c r="E2282" s="156" t="s">
        <v>815</v>
      </c>
      <c r="F2282" s="51">
        <v>43466</v>
      </c>
      <c r="G2282" s="51">
        <v>43646</v>
      </c>
      <c r="H2282" s="168"/>
      <c r="I2282" s="66">
        <v>186.05</v>
      </c>
      <c r="J2282" s="13">
        <v>4326.43</v>
      </c>
      <c r="K2282" s="15" t="s">
        <v>23</v>
      </c>
      <c r="L2282" s="15" t="s">
        <v>23</v>
      </c>
      <c r="M2282" s="183"/>
    </row>
    <row r="2283" spans="1:13" ht="15" customHeight="1" outlineLevel="1" x14ac:dyDescent="0.25">
      <c r="A2283" s="147"/>
      <c r="B2283" s="147"/>
      <c r="C2283" s="147"/>
      <c r="D2283" s="156"/>
      <c r="E2283" s="156"/>
      <c r="F2283" s="51">
        <v>43647</v>
      </c>
      <c r="G2283" s="51">
        <v>43830</v>
      </c>
      <c r="H2283" s="168"/>
      <c r="I2283" s="66">
        <v>210.41</v>
      </c>
      <c r="J2283" s="13">
        <v>7243.94</v>
      </c>
      <c r="K2283" s="15" t="s">
        <v>23</v>
      </c>
      <c r="L2283" s="15" t="s">
        <v>23</v>
      </c>
      <c r="M2283" s="183"/>
    </row>
    <row r="2284" spans="1:13" ht="15" customHeight="1" outlineLevel="1" x14ac:dyDescent="0.25">
      <c r="A2284" s="59">
        <v>9</v>
      </c>
      <c r="B2284" s="7" t="s">
        <v>152</v>
      </c>
      <c r="C2284" s="60"/>
      <c r="D2284" s="61"/>
      <c r="E2284" s="61"/>
      <c r="F2284" s="61"/>
      <c r="G2284" s="61"/>
      <c r="H2284" s="61"/>
      <c r="I2284" s="61"/>
      <c r="J2284" s="61"/>
      <c r="K2284" s="62"/>
      <c r="L2284" s="62"/>
      <c r="M2284" s="63"/>
    </row>
    <row r="2285" spans="1:13" ht="15" customHeight="1" outlineLevel="1" x14ac:dyDescent="0.25">
      <c r="A2285" s="146" t="s">
        <v>57</v>
      </c>
      <c r="B2285" s="146" t="s">
        <v>73</v>
      </c>
      <c r="C2285" s="146" t="s">
        <v>448</v>
      </c>
      <c r="D2285" s="137">
        <v>43083</v>
      </c>
      <c r="E2285" s="137" t="s">
        <v>608</v>
      </c>
      <c r="F2285" s="12">
        <v>43466</v>
      </c>
      <c r="G2285" s="12">
        <v>43646</v>
      </c>
      <c r="H2285" s="149" t="s">
        <v>807</v>
      </c>
      <c r="I2285" s="66">
        <v>28.36</v>
      </c>
      <c r="J2285" s="13">
        <v>2872.24</v>
      </c>
      <c r="K2285" s="15" t="s">
        <v>23</v>
      </c>
      <c r="L2285" s="15" t="s">
        <v>23</v>
      </c>
      <c r="M2285" s="153"/>
    </row>
    <row r="2286" spans="1:13" ht="15" customHeight="1" outlineLevel="1" x14ac:dyDescent="0.25">
      <c r="A2286" s="148"/>
      <c r="B2286" s="148"/>
      <c r="C2286" s="148"/>
      <c r="D2286" s="141"/>
      <c r="E2286" s="141"/>
      <c r="F2286" s="12">
        <v>43647</v>
      </c>
      <c r="G2286" s="12">
        <v>43830</v>
      </c>
      <c r="H2286" s="151"/>
      <c r="I2286" s="66">
        <v>31.31</v>
      </c>
      <c r="J2286" s="13">
        <v>3270.55</v>
      </c>
      <c r="K2286" s="15" t="s">
        <v>23</v>
      </c>
      <c r="L2286" s="15" t="s">
        <v>23</v>
      </c>
      <c r="M2286" s="152"/>
    </row>
    <row r="2287" spans="1:13" ht="15" customHeight="1" outlineLevel="1" x14ac:dyDescent="0.25">
      <c r="A2287" s="148"/>
      <c r="B2287" s="148"/>
      <c r="C2287" s="148"/>
      <c r="D2287" s="137">
        <v>43454</v>
      </c>
      <c r="E2287" s="137" t="s">
        <v>808</v>
      </c>
      <c r="F2287" s="50">
        <v>43466</v>
      </c>
      <c r="G2287" s="50">
        <v>43646</v>
      </c>
      <c r="H2287" s="149"/>
      <c r="I2287" s="15" t="s">
        <v>23</v>
      </c>
      <c r="J2287" s="15" t="s">
        <v>23</v>
      </c>
      <c r="K2287" s="13">
        <v>25.32</v>
      </c>
      <c r="L2287" s="13">
        <v>2229.5799557848122</v>
      </c>
      <c r="M2287" s="196" t="s">
        <v>420</v>
      </c>
    </row>
    <row r="2288" spans="1:13" ht="15" customHeight="1" outlineLevel="1" x14ac:dyDescent="0.25">
      <c r="A2288" s="148"/>
      <c r="B2288" s="148"/>
      <c r="C2288" s="148"/>
      <c r="D2288" s="138"/>
      <c r="E2288" s="138"/>
      <c r="F2288" s="50">
        <v>43647</v>
      </c>
      <c r="G2288" s="50">
        <v>43830</v>
      </c>
      <c r="H2288" s="150"/>
      <c r="I2288" s="15" t="s">
        <v>23</v>
      </c>
      <c r="J2288" s="15" t="s">
        <v>23</v>
      </c>
      <c r="K2288" s="13">
        <v>25.32</v>
      </c>
      <c r="L2288" s="13">
        <v>2229.5799557848122</v>
      </c>
      <c r="M2288" s="198"/>
    </row>
    <row r="2289" spans="1:13" ht="15" customHeight="1" outlineLevel="1" x14ac:dyDescent="0.25">
      <c r="A2289" s="148"/>
      <c r="B2289" s="148"/>
      <c r="C2289" s="148"/>
      <c r="D2289" s="138"/>
      <c r="E2289" s="138"/>
      <c r="F2289" s="50">
        <v>43466</v>
      </c>
      <c r="G2289" s="50">
        <v>43646</v>
      </c>
      <c r="H2289" s="150"/>
      <c r="I2289" s="15" t="s">
        <v>23</v>
      </c>
      <c r="J2289" s="15" t="s">
        <v>23</v>
      </c>
      <c r="K2289" s="13">
        <v>25.32</v>
      </c>
      <c r="L2289" s="13">
        <v>2441.9209039547945</v>
      </c>
      <c r="M2289" s="196" t="s">
        <v>421</v>
      </c>
    </row>
    <row r="2290" spans="1:13" ht="15" customHeight="1" outlineLevel="1" x14ac:dyDescent="0.25">
      <c r="A2290" s="148"/>
      <c r="B2290" s="148"/>
      <c r="C2290" s="148"/>
      <c r="D2290" s="138"/>
      <c r="E2290" s="138"/>
      <c r="F2290" s="50">
        <v>43647</v>
      </c>
      <c r="G2290" s="50">
        <v>43830</v>
      </c>
      <c r="H2290" s="150"/>
      <c r="I2290" s="15" t="s">
        <v>23</v>
      </c>
      <c r="J2290" s="15" t="s">
        <v>23</v>
      </c>
      <c r="K2290" s="13">
        <v>25.32</v>
      </c>
      <c r="L2290" s="13">
        <v>2441.9209039547945</v>
      </c>
      <c r="M2290" s="198"/>
    </row>
    <row r="2291" spans="1:13" ht="15" customHeight="1" outlineLevel="1" x14ac:dyDescent="0.25">
      <c r="A2291" s="148"/>
      <c r="B2291" s="148"/>
      <c r="C2291" s="148"/>
      <c r="D2291" s="138"/>
      <c r="E2291" s="138"/>
      <c r="F2291" s="50">
        <v>43466</v>
      </c>
      <c r="G2291" s="50">
        <v>43646</v>
      </c>
      <c r="H2291" s="150"/>
      <c r="I2291" s="15" t="s">
        <v>23</v>
      </c>
      <c r="J2291" s="15" t="s">
        <v>23</v>
      </c>
      <c r="K2291" s="13">
        <v>25.32</v>
      </c>
      <c r="L2291" s="13">
        <v>2078.932661475028</v>
      </c>
      <c r="M2291" s="196" t="s">
        <v>422</v>
      </c>
    </row>
    <row r="2292" spans="1:13" ht="15" customHeight="1" outlineLevel="1" x14ac:dyDescent="0.25">
      <c r="A2292" s="148"/>
      <c r="B2292" s="148"/>
      <c r="C2292" s="148"/>
      <c r="D2292" s="138"/>
      <c r="E2292" s="138"/>
      <c r="F2292" s="50">
        <v>43647</v>
      </c>
      <c r="G2292" s="50">
        <v>43830</v>
      </c>
      <c r="H2292" s="150"/>
      <c r="I2292" s="15" t="s">
        <v>23</v>
      </c>
      <c r="J2292" s="15" t="s">
        <v>23</v>
      </c>
      <c r="K2292" s="13">
        <v>25.32</v>
      </c>
      <c r="L2292" s="13">
        <v>2078.932661475028</v>
      </c>
      <c r="M2292" s="198"/>
    </row>
    <row r="2293" spans="1:13" ht="15" customHeight="1" outlineLevel="1" x14ac:dyDescent="0.25">
      <c r="A2293" s="148"/>
      <c r="B2293" s="148"/>
      <c r="C2293" s="148"/>
      <c r="D2293" s="138"/>
      <c r="E2293" s="138"/>
      <c r="F2293" s="50">
        <v>43466</v>
      </c>
      <c r="G2293" s="50">
        <v>43646</v>
      </c>
      <c r="H2293" s="150"/>
      <c r="I2293" s="15" t="s">
        <v>23</v>
      </c>
      <c r="J2293" s="15" t="s">
        <v>23</v>
      </c>
      <c r="K2293" s="13">
        <v>25.32</v>
      </c>
      <c r="L2293" s="13">
        <v>2229.5799557848122</v>
      </c>
      <c r="M2293" s="196" t="s">
        <v>423</v>
      </c>
    </row>
    <row r="2294" spans="1:13" ht="15" customHeight="1" outlineLevel="1" x14ac:dyDescent="0.25">
      <c r="A2294" s="148"/>
      <c r="B2294" s="148"/>
      <c r="C2294" s="148"/>
      <c r="D2294" s="138"/>
      <c r="E2294" s="138"/>
      <c r="F2294" s="50">
        <v>43647</v>
      </c>
      <c r="G2294" s="50">
        <v>43830</v>
      </c>
      <c r="H2294" s="150"/>
      <c r="I2294" s="15" t="s">
        <v>23</v>
      </c>
      <c r="J2294" s="15" t="s">
        <v>23</v>
      </c>
      <c r="K2294" s="13">
        <v>25.32</v>
      </c>
      <c r="L2294" s="13">
        <v>2229.5799557848122</v>
      </c>
      <c r="M2294" s="198"/>
    </row>
    <row r="2295" spans="1:13" ht="15" customHeight="1" outlineLevel="1" x14ac:dyDescent="0.25">
      <c r="A2295" s="148"/>
      <c r="B2295" s="148"/>
      <c r="C2295" s="148"/>
      <c r="D2295" s="138"/>
      <c r="E2295" s="138"/>
      <c r="F2295" s="50">
        <v>43466</v>
      </c>
      <c r="G2295" s="50">
        <v>43646</v>
      </c>
      <c r="H2295" s="150"/>
      <c r="I2295" s="15" t="s">
        <v>23</v>
      </c>
      <c r="J2295" s="15" t="s">
        <v>23</v>
      </c>
      <c r="K2295" s="13">
        <v>25.32</v>
      </c>
      <c r="L2295" s="13">
        <v>2330.9244992295762</v>
      </c>
      <c r="M2295" s="196" t="s">
        <v>424</v>
      </c>
    </row>
    <row r="2296" spans="1:13" ht="15" customHeight="1" outlineLevel="1" x14ac:dyDescent="0.25">
      <c r="A2296" s="148"/>
      <c r="B2296" s="148"/>
      <c r="C2296" s="148"/>
      <c r="D2296" s="138"/>
      <c r="E2296" s="138"/>
      <c r="F2296" s="50">
        <v>43647</v>
      </c>
      <c r="G2296" s="50">
        <v>43830</v>
      </c>
      <c r="H2296" s="150"/>
      <c r="I2296" s="15" t="s">
        <v>23</v>
      </c>
      <c r="J2296" s="15" t="s">
        <v>23</v>
      </c>
      <c r="K2296" s="13">
        <v>25.32</v>
      </c>
      <c r="L2296" s="13">
        <v>2330.9244992295762</v>
      </c>
      <c r="M2296" s="198"/>
    </row>
    <row r="2297" spans="1:13" ht="15" customHeight="1" outlineLevel="1" x14ac:dyDescent="0.25">
      <c r="A2297" s="148"/>
      <c r="B2297" s="148"/>
      <c r="C2297" s="148"/>
      <c r="D2297" s="138"/>
      <c r="E2297" s="138"/>
      <c r="F2297" s="50">
        <v>43466</v>
      </c>
      <c r="G2297" s="50">
        <v>43646</v>
      </c>
      <c r="H2297" s="150"/>
      <c r="I2297" s="15" t="s">
        <v>23</v>
      </c>
      <c r="J2297" s="15" t="s">
        <v>23</v>
      </c>
      <c r="K2297" s="13">
        <v>25.32</v>
      </c>
      <c r="L2297" s="13">
        <v>2521.9838844123287</v>
      </c>
      <c r="M2297" s="196" t="s">
        <v>425</v>
      </c>
    </row>
    <row r="2298" spans="1:13" ht="15" customHeight="1" outlineLevel="1" x14ac:dyDescent="0.25">
      <c r="A2298" s="148"/>
      <c r="B2298" s="148"/>
      <c r="C2298" s="148"/>
      <c r="D2298" s="138"/>
      <c r="E2298" s="138"/>
      <c r="F2298" s="50">
        <v>43647</v>
      </c>
      <c r="G2298" s="50">
        <v>43830</v>
      </c>
      <c r="H2298" s="150"/>
      <c r="I2298" s="15" t="s">
        <v>23</v>
      </c>
      <c r="J2298" s="15" t="s">
        <v>23</v>
      </c>
      <c r="K2298" s="13">
        <v>25.32</v>
      </c>
      <c r="L2298" s="13">
        <v>2521.9838844123287</v>
      </c>
      <c r="M2298" s="198"/>
    </row>
    <row r="2299" spans="1:13" ht="15" customHeight="1" outlineLevel="1" x14ac:dyDescent="0.25">
      <c r="A2299" s="148"/>
      <c r="B2299" s="148"/>
      <c r="C2299" s="148"/>
      <c r="D2299" s="138"/>
      <c r="E2299" s="138"/>
      <c r="F2299" s="50">
        <v>43466</v>
      </c>
      <c r="G2299" s="50">
        <v>43646</v>
      </c>
      <c r="H2299" s="150"/>
      <c r="I2299" s="15" t="s">
        <v>23</v>
      </c>
      <c r="J2299" s="15" t="s">
        <v>23</v>
      </c>
      <c r="K2299" s="13">
        <v>25.32</v>
      </c>
      <c r="L2299" s="13">
        <v>2136.6807909604454</v>
      </c>
      <c r="M2299" s="196" t="s">
        <v>426</v>
      </c>
    </row>
    <row r="2300" spans="1:13" ht="15" customHeight="1" outlineLevel="1" x14ac:dyDescent="0.25">
      <c r="A2300" s="148"/>
      <c r="B2300" s="148"/>
      <c r="C2300" s="148"/>
      <c r="D2300" s="138"/>
      <c r="E2300" s="138"/>
      <c r="F2300" s="50">
        <v>43647</v>
      </c>
      <c r="G2300" s="50">
        <v>43830</v>
      </c>
      <c r="H2300" s="150"/>
      <c r="I2300" s="15" t="s">
        <v>23</v>
      </c>
      <c r="J2300" s="15" t="s">
        <v>23</v>
      </c>
      <c r="K2300" s="13">
        <v>25.32</v>
      </c>
      <c r="L2300" s="13">
        <v>2136.6807909604454</v>
      </c>
      <c r="M2300" s="198"/>
    </row>
    <row r="2301" spans="1:13" ht="15" customHeight="1" outlineLevel="1" x14ac:dyDescent="0.25">
      <c r="A2301" s="148"/>
      <c r="B2301" s="148"/>
      <c r="C2301" s="148"/>
      <c r="D2301" s="138"/>
      <c r="E2301" s="138"/>
      <c r="F2301" s="50">
        <v>43466</v>
      </c>
      <c r="G2301" s="50">
        <v>43646</v>
      </c>
      <c r="H2301" s="150"/>
      <c r="I2301" s="15" t="s">
        <v>23</v>
      </c>
      <c r="J2301" s="15" t="s">
        <v>23</v>
      </c>
      <c r="K2301" s="13">
        <v>25.32</v>
      </c>
      <c r="L2301" s="13">
        <v>2330.9244992295762</v>
      </c>
      <c r="M2301" s="196" t="s">
        <v>427</v>
      </c>
    </row>
    <row r="2302" spans="1:13" ht="15" customHeight="1" outlineLevel="1" x14ac:dyDescent="0.25">
      <c r="A2302" s="147"/>
      <c r="B2302" s="147"/>
      <c r="C2302" s="147"/>
      <c r="D2302" s="141"/>
      <c r="E2302" s="141"/>
      <c r="F2302" s="50">
        <v>43647</v>
      </c>
      <c r="G2302" s="50">
        <v>43830</v>
      </c>
      <c r="H2302" s="151"/>
      <c r="I2302" s="15" t="s">
        <v>23</v>
      </c>
      <c r="J2302" s="15" t="s">
        <v>23</v>
      </c>
      <c r="K2302" s="13">
        <v>25.32</v>
      </c>
      <c r="L2302" s="13">
        <v>2330.9244992295762</v>
      </c>
      <c r="M2302" s="198"/>
    </row>
    <row r="2303" spans="1:13" ht="15" customHeight="1" outlineLevel="1" x14ac:dyDescent="0.25">
      <c r="A2303" s="146" t="s">
        <v>57</v>
      </c>
      <c r="B2303" s="146" t="s">
        <v>75</v>
      </c>
      <c r="C2303" s="146" t="s">
        <v>76</v>
      </c>
      <c r="D2303" s="137">
        <v>43434</v>
      </c>
      <c r="E2303" s="156" t="s">
        <v>707</v>
      </c>
      <c r="F2303" s="12">
        <v>43466</v>
      </c>
      <c r="G2303" s="12">
        <v>43646</v>
      </c>
      <c r="H2303" s="149"/>
      <c r="I2303" s="66">
        <v>32.58</v>
      </c>
      <c r="J2303" s="13">
        <v>2108.89</v>
      </c>
      <c r="K2303" s="119" t="s">
        <v>23</v>
      </c>
      <c r="L2303" s="119" t="s">
        <v>23</v>
      </c>
      <c r="M2303" s="153"/>
    </row>
    <row r="2304" spans="1:13" ht="15" customHeight="1" outlineLevel="1" x14ac:dyDescent="0.25">
      <c r="A2304" s="148"/>
      <c r="B2304" s="148"/>
      <c r="C2304" s="148"/>
      <c r="D2304" s="141"/>
      <c r="E2304" s="156"/>
      <c r="F2304" s="12">
        <v>43647</v>
      </c>
      <c r="G2304" s="12">
        <v>43830</v>
      </c>
      <c r="H2304" s="151"/>
      <c r="I2304" s="66">
        <v>25.58</v>
      </c>
      <c r="J2304" s="13">
        <v>2150.9208268353409</v>
      </c>
      <c r="K2304" s="119" t="s">
        <v>23</v>
      </c>
      <c r="L2304" s="119" t="s">
        <v>23</v>
      </c>
      <c r="M2304" s="152"/>
    </row>
    <row r="2305" spans="1:13" ht="15" customHeight="1" outlineLevel="1" x14ac:dyDescent="0.25">
      <c r="A2305" s="148"/>
      <c r="B2305" s="148"/>
      <c r="C2305" s="148"/>
      <c r="D2305" s="137">
        <v>43454</v>
      </c>
      <c r="E2305" s="137" t="s">
        <v>708</v>
      </c>
      <c r="F2305" s="50">
        <v>43466</v>
      </c>
      <c r="G2305" s="50">
        <v>43646</v>
      </c>
      <c r="H2305" s="149"/>
      <c r="I2305" s="119" t="s">
        <v>23</v>
      </c>
      <c r="J2305" s="119" t="s">
        <v>23</v>
      </c>
      <c r="K2305" s="13">
        <v>18.71</v>
      </c>
      <c r="L2305" s="13">
        <v>1808.9898305084744</v>
      </c>
      <c r="M2305" s="196" t="s">
        <v>420</v>
      </c>
    </row>
    <row r="2306" spans="1:13" ht="15" customHeight="1" outlineLevel="1" x14ac:dyDescent="0.25">
      <c r="A2306" s="148"/>
      <c r="B2306" s="148"/>
      <c r="C2306" s="148"/>
      <c r="D2306" s="138"/>
      <c r="E2306" s="138"/>
      <c r="F2306" s="50">
        <v>43647</v>
      </c>
      <c r="G2306" s="50">
        <v>43830</v>
      </c>
      <c r="H2306" s="150"/>
      <c r="I2306" s="119" t="s">
        <v>23</v>
      </c>
      <c r="J2306" s="119" t="s">
        <v>23</v>
      </c>
      <c r="K2306" s="13">
        <v>19.079999999999998</v>
      </c>
      <c r="L2306" s="13">
        <v>1845.1696271186438</v>
      </c>
      <c r="M2306" s="198"/>
    </row>
    <row r="2307" spans="1:13" ht="15" customHeight="1" outlineLevel="1" x14ac:dyDescent="0.25">
      <c r="A2307" s="148"/>
      <c r="B2307" s="148"/>
      <c r="C2307" s="148"/>
      <c r="D2307" s="138"/>
      <c r="E2307" s="138"/>
      <c r="F2307" s="50">
        <v>43466</v>
      </c>
      <c r="G2307" s="50">
        <v>43646</v>
      </c>
      <c r="H2307" s="150"/>
      <c r="I2307" s="119" t="s">
        <v>23</v>
      </c>
      <c r="J2307" s="119" t="s">
        <v>23</v>
      </c>
      <c r="K2307" s="13">
        <v>18.71</v>
      </c>
      <c r="L2307" s="13">
        <v>1981.2711864406779</v>
      </c>
      <c r="M2307" s="196" t="s">
        <v>421</v>
      </c>
    </row>
    <row r="2308" spans="1:13" ht="15" customHeight="1" outlineLevel="1" x14ac:dyDescent="0.25">
      <c r="A2308" s="148"/>
      <c r="B2308" s="148"/>
      <c r="C2308" s="148"/>
      <c r="D2308" s="138"/>
      <c r="E2308" s="138"/>
      <c r="F2308" s="50">
        <v>43647</v>
      </c>
      <c r="G2308" s="50">
        <v>43830</v>
      </c>
      <c r="H2308" s="150"/>
      <c r="I2308" s="119" t="s">
        <v>23</v>
      </c>
      <c r="J2308" s="119" t="s">
        <v>23</v>
      </c>
      <c r="K2308" s="13">
        <v>19.079999999999998</v>
      </c>
      <c r="L2308" s="13">
        <v>2020.8966101694914</v>
      </c>
      <c r="M2308" s="198"/>
    </row>
    <row r="2309" spans="1:13" ht="15" customHeight="1" outlineLevel="1" x14ac:dyDescent="0.25">
      <c r="A2309" s="148"/>
      <c r="B2309" s="148"/>
      <c r="C2309" s="148"/>
      <c r="D2309" s="138"/>
      <c r="E2309" s="138"/>
      <c r="F2309" s="50">
        <v>43466</v>
      </c>
      <c r="G2309" s="50">
        <v>43646</v>
      </c>
      <c r="H2309" s="150"/>
      <c r="I2309" s="119" t="s">
        <v>23</v>
      </c>
      <c r="J2309" s="119" t="s">
        <v>23</v>
      </c>
      <c r="K2309" s="13">
        <v>18.71</v>
      </c>
      <c r="L2309" s="13">
        <v>1686.762711864407</v>
      </c>
      <c r="M2309" s="196" t="s">
        <v>422</v>
      </c>
    </row>
    <row r="2310" spans="1:13" ht="15" customHeight="1" outlineLevel="1" x14ac:dyDescent="0.25">
      <c r="A2310" s="148"/>
      <c r="B2310" s="148"/>
      <c r="C2310" s="148"/>
      <c r="D2310" s="138"/>
      <c r="E2310" s="138"/>
      <c r="F2310" s="50">
        <v>43647</v>
      </c>
      <c r="G2310" s="50">
        <v>43830</v>
      </c>
      <c r="H2310" s="150"/>
      <c r="I2310" s="119" t="s">
        <v>23</v>
      </c>
      <c r="J2310" s="119" t="s">
        <v>23</v>
      </c>
      <c r="K2310" s="13">
        <v>19.079999999999998</v>
      </c>
      <c r="L2310" s="13">
        <v>1720.4979661016953</v>
      </c>
      <c r="M2310" s="198"/>
    </row>
    <row r="2311" spans="1:13" ht="15" customHeight="1" outlineLevel="1" x14ac:dyDescent="0.25">
      <c r="A2311" s="148"/>
      <c r="B2311" s="148"/>
      <c r="C2311" s="148"/>
      <c r="D2311" s="138"/>
      <c r="E2311" s="138"/>
      <c r="F2311" s="50">
        <v>43466</v>
      </c>
      <c r="G2311" s="50">
        <v>43646</v>
      </c>
      <c r="H2311" s="150"/>
      <c r="I2311" s="119" t="s">
        <v>23</v>
      </c>
      <c r="J2311" s="119" t="s">
        <v>23</v>
      </c>
      <c r="K2311" s="13">
        <v>18.71</v>
      </c>
      <c r="L2311" s="13">
        <v>1808.9898305084744</v>
      </c>
      <c r="M2311" s="196" t="s">
        <v>423</v>
      </c>
    </row>
    <row r="2312" spans="1:13" ht="15" customHeight="1" outlineLevel="1" x14ac:dyDescent="0.25">
      <c r="A2312" s="148"/>
      <c r="B2312" s="148"/>
      <c r="C2312" s="148"/>
      <c r="D2312" s="138"/>
      <c r="E2312" s="138"/>
      <c r="F2312" s="50">
        <v>43647</v>
      </c>
      <c r="G2312" s="50">
        <v>43830</v>
      </c>
      <c r="H2312" s="150"/>
      <c r="I2312" s="119" t="s">
        <v>23</v>
      </c>
      <c r="J2312" s="119" t="s">
        <v>23</v>
      </c>
      <c r="K2312" s="13">
        <v>19.079999999999998</v>
      </c>
      <c r="L2312" s="13">
        <v>1845.1696271186438</v>
      </c>
      <c r="M2312" s="198"/>
    </row>
    <row r="2313" spans="1:13" ht="15" customHeight="1" outlineLevel="1" x14ac:dyDescent="0.25">
      <c r="A2313" s="148"/>
      <c r="B2313" s="148"/>
      <c r="C2313" s="148"/>
      <c r="D2313" s="138"/>
      <c r="E2313" s="138"/>
      <c r="F2313" s="50">
        <v>43466</v>
      </c>
      <c r="G2313" s="50">
        <v>43646</v>
      </c>
      <c r="H2313" s="150"/>
      <c r="I2313" s="119" t="s">
        <v>23</v>
      </c>
      <c r="J2313" s="119" t="s">
        <v>23</v>
      </c>
      <c r="K2313" s="13">
        <v>18.71</v>
      </c>
      <c r="L2313" s="13">
        <v>1891.2203389830511</v>
      </c>
      <c r="M2313" s="196" t="s">
        <v>424</v>
      </c>
    </row>
    <row r="2314" spans="1:13" ht="15" customHeight="1" outlineLevel="1" x14ac:dyDescent="0.25">
      <c r="A2314" s="148"/>
      <c r="B2314" s="148"/>
      <c r="C2314" s="148"/>
      <c r="D2314" s="138"/>
      <c r="E2314" s="138"/>
      <c r="F2314" s="50">
        <v>43647</v>
      </c>
      <c r="G2314" s="50">
        <v>43830</v>
      </c>
      <c r="H2314" s="150"/>
      <c r="I2314" s="119" t="s">
        <v>23</v>
      </c>
      <c r="J2314" s="119" t="s">
        <v>23</v>
      </c>
      <c r="K2314" s="13">
        <v>19.079999999999998</v>
      </c>
      <c r="L2314" s="13">
        <v>1929.0447457627122</v>
      </c>
      <c r="M2314" s="198"/>
    </row>
    <row r="2315" spans="1:13" ht="15" customHeight="1" outlineLevel="1" x14ac:dyDescent="0.25">
      <c r="A2315" s="148"/>
      <c r="B2315" s="148"/>
      <c r="C2315" s="148"/>
      <c r="D2315" s="138"/>
      <c r="E2315" s="138"/>
      <c r="F2315" s="50">
        <v>43466</v>
      </c>
      <c r="G2315" s="50">
        <v>43646</v>
      </c>
      <c r="H2315" s="150"/>
      <c r="I2315" s="119" t="s">
        <v>23</v>
      </c>
      <c r="J2315" s="119" t="s">
        <v>23</v>
      </c>
      <c r="K2315" s="13">
        <v>18.71</v>
      </c>
      <c r="L2315" s="13">
        <v>2046.2338983050849</v>
      </c>
      <c r="M2315" s="196" t="s">
        <v>425</v>
      </c>
    </row>
    <row r="2316" spans="1:13" ht="15" customHeight="1" outlineLevel="1" x14ac:dyDescent="0.25">
      <c r="A2316" s="148"/>
      <c r="B2316" s="148"/>
      <c r="C2316" s="148"/>
      <c r="D2316" s="138"/>
      <c r="E2316" s="138"/>
      <c r="F2316" s="50">
        <v>43647</v>
      </c>
      <c r="G2316" s="50">
        <v>43830</v>
      </c>
      <c r="H2316" s="150"/>
      <c r="I2316" s="119" t="s">
        <v>23</v>
      </c>
      <c r="J2316" s="119" t="s">
        <v>23</v>
      </c>
      <c r="K2316" s="13">
        <v>19.079999999999998</v>
      </c>
      <c r="L2316" s="13">
        <v>2087.1585762711866</v>
      </c>
      <c r="M2316" s="198"/>
    </row>
    <row r="2317" spans="1:13" ht="15" customHeight="1" outlineLevel="1" x14ac:dyDescent="0.25">
      <c r="A2317" s="148"/>
      <c r="B2317" s="148"/>
      <c r="C2317" s="148"/>
      <c r="D2317" s="138"/>
      <c r="E2317" s="138"/>
      <c r="F2317" s="50">
        <v>43466</v>
      </c>
      <c r="G2317" s="50">
        <v>43646</v>
      </c>
      <c r="H2317" s="150"/>
      <c r="I2317" s="119" t="s">
        <v>23</v>
      </c>
      <c r="J2317" s="119" t="s">
        <v>23</v>
      </c>
      <c r="K2317" s="13">
        <v>18.71</v>
      </c>
      <c r="L2317" s="13">
        <v>1733.613559322034</v>
      </c>
      <c r="M2317" s="196" t="s">
        <v>426</v>
      </c>
    </row>
    <row r="2318" spans="1:13" ht="15" customHeight="1" outlineLevel="1" x14ac:dyDescent="0.25">
      <c r="A2318" s="148"/>
      <c r="B2318" s="148"/>
      <c r="C2318" s="148"/>
      <c r="D2318" s="138"/>
      <c r="E2318" s="138"/>
      <c r="F2318" s="50">
        <v>43647</v>
      </c>
      <c r="G2318" s="50">
        <v>43830</v>
      </c>
      <c r="H2318" s="150"/>
      <c r="I2318" s="119" t="s">
        <v>23</v>
      </c>
      <c r="J2318" s="119" t="s">
        <v>23</v>
      </c>
      <c r="K2318" s="13">
        <v>19.079999999999998</v>
      </c>
      <c r="L2318" s="13">
        <v>1768.2858305084746</v>
      </c>
      <c r="M2318" s="198"/>
    </row>
    <row r="2319" spans="1:13" ht="15" customHeight="1" outlineLevel="1" x14ac:dyDescent="0.25">
      <c r="A2319" s="148"/>
      <c r="B2319" s="148"/>
      <c r="C2319" s="148"/>
      <c r="D2319" s="138"/>
      <c r="E2319" s="138"/>
      <c r="F2319" s="50">
        <v>43466</v>
      </c>
      <c r="G2319" s="50">
        <v>43646</v>
      </c>
      <c r="H2319" s="150"/>
      <c r="I2319" s="119" t="s">
        <v>23</v>
      </c>
      <c r="J2319" s="119" t="s">
        <v>23</v>
      </c>
      <c r="K2319" s="13">
        <v>18.71</v>
      </c>
      <c r="L2319" s="13">
        <v>1891.2203389830511</v>
      </c>
      <c r="M2319" s="196" t="s">
        <v>427</v>
      </c>
    </row>
    <row r="2320" spans="1:13" ht="15" customHeight="1" outlineLevel="1" x14ac:dyDescent="0.25">
      <c r="A2320" s="147"/>
      <c r="B2320" s="147"/>
      <c r="C2320" s="147"/>
      <c r="D2320" s="141"/>
      <c r="E2320" s="141"/>
      <c r="F2320" s="50">
        <v>43647</v>
      </c>
      <c r="G2320" s="50">
        <v>43830</v>
      </c>
      <c r="H2320" s="151"/>
      <c r="I2320" s="119" t="s">
        <v>23</v>
      </c>
      <c r="J2320" s="119" t="s">
        <v>23</v>
      </c>
      <c r="K2320" s="13">
        <v>19.079999999999998</v>
      </c>
      <c r="L2320" s="13">
        <v>1929.0447457627122</v>
      </c>
      <c r="M2320" s="198"/>
    </row>
    <row r="2321" spans="1:13" ht="15" customHeight="1" outlineLevel="1" x14ac:dyDescent="0.25">
      <c r="A2321" s="146" t="s">
        <v>57</v>
      </c>
      <c r="B2321" s="146" t="s">
        <v>78</v>
      </c>
      <c r="C2321" s="146" t="s">
        <v>824</v>
      </c>
      <c r="D2321" s="137">
        <v>43453</v>
      </c>
      <c r="E2321" s="156" t="s">
        <v>709</v>
      </c>
      <c r="F2321" s="12">
        <v>43466</v>
      </c>
      <c r="G2321" s="12">
        <v>43646</v>
      </c>
      <c r="H2321" s="149"/>
      <c r="I2321" s="66">
        <v>18.37</v>
      </c>
      <c r="J2321" s="13">
        <v>1962.5302179722676</v>
      </c>
      <c r="K2321" s="119" t="s">
        <v>23</v>
      </c>
      <c r="L2321" s="119" t="s">
        <v>23</v>
      </c>
      <c r="M2321" s="153"/>
    </row>
    <row r="2322" spans="1:13" ht="15" customHeight="1" outlineLevel="1" x14ac:dyDescent="0.25">
      <c r="A2322" s="148"/>
      <c r="B2322" s="148"/>
      <c r="C2322" s="148"/>
      <c r="D2322" s="141"/>
      <c r="E2322" s="156"/>
      <c r="F2322" s="12">
        <v>43647</v>
      </c>
      <c r="G2322" s="12">
        <v>43830</v>
      </c>
      <c r="H2322" s="151"/>
      <c r="I2322" s="66">
        <v>53.56</v>
      </c>
      <c r="J2322" s="13">
        <v>2220.6825228448865</v>
      </c>
      <c r="K2322" s="119" t="s">
        <v>23</v>
      </c>
      <c r="L2322" s="119" t="s">
        <v>23</v>
      </c>
      <c r="M2322" s="152"/>
    </row>
    <row r="2323" spans="1:13" ht="15" customHeight="1" outlineLevel="1" x14ac:dyDescent="0.25">
      <c r="A2323" s="148"/>
      <c r="B2323" s="148"/>
      <c r="C2323" s="148"/>
      <c r="D2323" s="137">
        <f>D2305</f>
        <v>43454</v>
      </c>
      <c r="E2323" s="137" t="str">
        <f>E2305</f>
        <v>678-п</v>
      </c>
      <c r="F2323" s="50">
        <v>43466</v>
      </c>
      <c r="G2323" s="50">
        <v>43646</v>
      </c>
      <c r="H2323" s="149"/>
      <c r="I2323" s="119" t="s">
        <v>23</v>
      </c>
      <c r="J2323" s="119" t="s">
        <v>23</v>
      </c>
      <c r="K2323" s="13">
        <v>13.34</v>
      </c>
      <c r="L2323" s="13">
        <v>1253.6440677966102</v>
      </c>
      <c r="M2323" s="196" t="s">
        <v>420</v>
      </c>
    </row>
    <row r="2324" spans="1:13" ht="15" customHeight="1" outlineLevel="1" x14ac:dyDescent="0.25">
      <c r="A2324" s="148"/>
      <c r="B2324" s="148"/>
      <c r="C2324" s="148"/>
      <c r="D2324" s="138"/>
      <c r="E2324" s="138"/>
      <c r="F2324" s="50">
        <v>43647</v>
      </c>
      <c r="G2324" s="50">
        <v>43830</v>
      </c>
      <c r="H2324" s="150"/>
      <c r="I2324" s="119" t="s">
        <v>23</v>
      </c>
      <c r="J2324" s="119" t="s">
        <v>23</v>
      </c>
      <c r="K2324" s="13">
        <v>13.61</v>
      </c>
      <c r="L2324" s="13">
        <v>1278.7169491525424</v>
      </c>
      <c r="M2324" s="198"/>
    </row>
    <row r="2325" spans="1:13" ht="15" customHeight="1" outlineLevel="1" x14ac:dyDescent="0.25">
      <c r="A2325" s="148"/>
      <c r="B2325" s="148"/>
      <c r="C2325" s="148"/>
      <c r="D2325" s="138"/>
      <c r="E2325" s="138"/>
      <c r="F2325" s="50">
        <v>43466</v>
      </c>
      <c r="G2325" s="50">
        <v>43646</v>
      </c>
      <c r="H2325" s="150"/>
      <c r="I2325" s="119" t="s">
        <v>23</v>
      </c>
      <c r="J2325" s="119" t="s">
        <v>23</v>
      </c>
      <c r="K2325" s="13">
        <v>13.34</v>
      </c>
      <c r="L2325" s="13">
        <v>1373.0440677966101</v>
      </c>
      <c r="M2325" s="196" t="s">
        <v>421</v>
      </c>
    </row>
    <row r="2326" spans="1:13" ht="15" customHeight="1" outlineLevel="1" x14ac:dyDescent="0.25">
      <c r="A2326" s="148"/>
      <c r="B2326" s="148"/>
      <c r="C2326" s="148"/>
      <c r="D2326" s="138"/>
      <c r="E2326" s="138"/>
      <c r="F2326" s="50">
        <v>43647</v>
      </c>
      <c r="G2326" s="50">
        <v>43830</v>
      </c>
      <c r="H2326" s="150"/>
      <c r="I2326" s="119" t="s">
        <v>23</v>
      </c>
      <c r="J2326" s="119" t="s">
        <v>23</v>
      </c>
      <c r="K2326" s="13">
        <v>13.61</v>
      </c>
      <c r="L2326" s="13">
        <v>1400.5049491525424</v>
      </c>
      <c r="M2326" s="198"/>
    </row>
    <row r="2327" spans="1:13" ht="15" customHeight="1" outlineLevel="1" x14ac:dyDescent="0.25">
      <c r="A2327" s="148"/>
      <c r="B2327" s="148"/>
      <c r="C2327" s="148"/>
      <c r="D2327" s="138"/>
      <c r="E2327" s="138"/>
      <c r="F2327" s="50">
        <v>43466</v>
      </c>
      <c r="G2327" s="50">
        <v>43646</v>
      </c>
      <c r="H2327" s="150"/>
      <c r="I2327" s="119" t="s">
        <v>23</v>
      </c>
      <c r="J2327" s="119" t="s">
        <v>23</v>
      </c>
      <c r="K2327" s="13">
        <v>13.34</v>
      </c>
      <c r="L2327" s="13">
        <v>1168.9423728813561</v>
      </c>
      <c r="M2327" s="196" t="s">
        <v>422</v>
      </c>
    </row>
    <row r="2328" spans="1:13" ht="15" customHeight="1" outlineLevel="1" x14ac:dyDescent="0.25">
      <c r="A2328" s="148"/>
      <c r="B2328" s="148"/>
      <c r="C2328" s="148"/>
      <c r="D2328" s="138"/>
      <c r="E2328" s="138"/>
      <c r="F2328" s="50">
        <v>43647</v>
      </c>
      <c r="G2328" s="50">
        <v>43830</v>
      </c>
      <c r="H2328" s="150"/>
      <c r="I2328" s="119" t="s">
        <v>23</v>
      </c>
      <c r="J2328" s="119" t="s">
        <v>23</v>
      </c>
      <c r="K2328" s="13">
        <v>13.61</v>
      </c>
      <c r="L2328" s="13">
        <v>1192.3212203389833</v>
      </c>
      <c r="M2328" s="198"/>
    </row>
    <row r="2329" spans="1:13" ht="15" customHeight="1" outlineLevel="1" x14ac:dyDescent="0.25">
      <c r="A2329" s="148"/>
      <c r="B2329" s="148"/>
      <c r="C2329" s="148"/>
      <c r="D2329" s="138"/>
      <c r="E2329" s="138"/>
      <c r="F2329" s="50">
        <v>43466</v>
      </c>
      <c r="G2329" s="50">
        <v>43646</v>
      </c>
      <c r="H2329" s="150"/>
      <c r="I2329" s="119" t="s">
        <v>23</v>
      </c>
      <c r="J2329" s="119" t="s">
        <v>23</v>
      </c>
      <c r="K2329" s="13">
        <v>13.34</v>
      </c>
      <c r="L2329" s="13">
        <v>1253.6440677966102</v>
      </c>
      <c r="M2329" s="196" t="s">
        <v>423</v>
      </c>
    </row>
    <row r="2330" spans="1:13" ht="15" customHeight="1" outlineLevel="1" x14ac:dyDescent="0.25">
      <c r="A2330" s="148"/>
      <c r="B2330" s="148"/>
      <c r="C2330" s="148"/>
      <c r="D2330" s="138"/>
      <c r="E2330" s="138"/>
      <c r="F2330" s="50">
        <v>43647</v>
      </c>
      <c r="G2330" s="50">
        <v>43830</v>
      </c>
      <c r="H2330" s="150"/>
      <c r="I2330" s="119" t="s">
        <v>23</v>
      </c>
      <c r="J2330" s="119" t="s">
        <v>23</v>
      </c>
      <c r="K2330" s="13">
        <v>13.61</v>
      </c>
      <c r="L2330" s="13">
        <v>1278.7169491525424</v>
      </c>
      <c r="M2330" s="198"/>
    </row>
    <row r="2331" spans="1:13" ht="15" customHeight="1" outlineLevel="1" x14ac:dyDescent="0.25">
      <c r="A2331" s="148"/>
      <c r="B2331" s="148"/>
      <c r="C2331" s="148"/>
      <c r="D2331" s="138"/>
      <c r="E2331" s="138"/>
      <c r="F2331" s="50">
        <v>43466</v>
      </c>
      <c r="G2331" s="50">
        <v>43646</v>
      </c>
      <c r="H2331" s="150"/>
      <c r="I2331" s="119" t="s">
        <v>23</v>
      </c>
      <c r="J2331" s="119" t="s">
        <v>23</v>
      </c>
      <c r="K2331" s="13">
        <v>13.34</v>
      </c>
      <c r="L2331" s="13">
        <v>1310.6338983050846</v>
      </c>
      <c r="M2331" s="196" t="s">
        <v>424</v>
      </c>
    </row>
    <row r="2332" spans="1:13" ht="15" customHeight="1" outlineLevel="1" x14ac:dyDescent="0.25">
      <c r="A2332" s="148"/>
      <c r="B2332" s="148"/>
      <c r="C2332" s="148"/>
      <c r="D2332" s="138"/>
      <c r="E2332" s="138"/>
      <c r="F2332" s="50">
        <v>43647</v>
      </c>
      <c r="G2332" s="50">
        <v>43830</v>
      </c>
      <c r="H2332" s="150"/>
      <c r="I2332" s="119" t="s">
        <v>23</v>
      </c>
      <c r="J2332" s="119" t="s">
        <v>23</v>
      </c>
      <c r="K2332" s="13">
        <v>13.61</v>
      </c>
      <c r="L2332" s="13">
        <v>1336.8465762711862</v>
      </c>
      <c r="M2332" s="198"/>
    </row>
    <row r="2333" spans="1:13" ht="15" customHeight="1" outlineLevel="1" x14ac:dyDescent="0.25">
      <c r="A2333" s="148"/>
      <c r="B2333" s="148"/>
      <c r="C2333" s="148"/>
      <c r="D2333" s="138"/>
      <c r="E2333" s="138"/>
      <c r="F2333" s="50">
        <v>43466</v>
      </c>
      <c r="G2333" s="50">
        <v>43646</v>
      </c>
      <c r="H2333" s="150"/>
      <c r="I2333" s="119" t="s">
        <v>23</v>
      </c>
      <c r="J2333" s="119" t="s">
        <v>23</v>
      </c>
      <c r="K2333" s="13">
        <v>13.34</v>
      </c>
      <c r="L2333" s="13">
        <v>1418.0644067796609</v>
      </c>
      <c r="M2333" s="196" t="s">
        <v>425</v>
      </c>
    </row>
    <row r="2334" spans="1:13" ht="15" customHeight="1" outlineLevel="1" x14ac:dyDescent="0.25">
      <c r="A2334" s="148"/>
      <c r="B2334" s="148"/>
      <c r="C2334" s="148"/>
      <c r="D2334" s="138"/>
      <c r="E2334" s="138"/>
      <c r="F2334" s="50">
        <v>43647</v>
      </c>
      <c r="G2334" s="50">
        <v>43830</v>
      </c>
      <c r="H2334" s="150"/>
      <c r="I2334" s="119" t="s">
        <v>23</v>
      </c>
      <c r="J2334" s="119" t="s">
        <v>23</v>
      </c>
      <c r="K2334" s="13">
        <v>13.61</v>
      </c>
      <c r="L2334" s="13">
        <v>1446.4256949152541</v>
      </c>
      <c r="M2334" s="198"/>
    </row>
    <row r="2335" spans="1:13" ht="15" customHeight="1" outlineLevel="1" x14ac:dyDescent="0.25">
      <c r="A2335" s="148"/>
      <c r="B2335" s="148"/>
      <c r="C2335" s="148"/>
      <c r="D2335" s="138"/>
      <c r="E2335" s="138"/>
      <c r="F2335" s="50">
        <v>43466</v>
      </c>
      <c r="G2335" s="50">
        <v>43646</v>
      </c>
      <c r="H2335" s="150"/>
      <c r="I2335" s="119" t="s">
        <v>23</v>
      </c>
      <c r="J2335" s="119" t="s">
        <v>23</v>
      </c>
      <c r="K2335" s="13">
        <v>13.34</v>
      </c>
      <c r="L2335" s="13">
        <v>1201.413559322034</v>
      </c>
      <c r="M2335" s="196" t="s">
        <v>426</v>
      </c>
    </row>
    <row r="2336" spans="1:13" ht="15" customHeight="1" outlineLevel="1" x14ac:dyDescent="0.25">
      <c r="A2336" s="148"/>
      <c r="B2336" s="148"/>
      <c r="C2336" s="148"/>
      <c r="D2336" s="138"/>
      <c r="E2336" s="138"/>
      <c r="F2336" s="50">
        <v>43647</v>
      </c>
      <c r="G2336" s="50">
        <v>43830</v>
      </c>
      <c r="H2336" s="150"/>
      <c r="I2336" s="119" t="s">
        <v>23</v>
      </c>
      <c r="J2336" s="119" t="s">
        <v>23</v>
      </c>
      <c r="K2336" s="13">
        <v>13.61</v>
      </c>
      <c r="L2336" s="13">
        <v>1225.4418305084746</v>
      </c>
      <c r="M2336" s="198"/>
    </row>
    <row r="2337" spans="1:13" ht="15" customHeight="1" outlineLevel="1" x14ac:dyDescent="0.25">
      <c r="A2337" s="148"/>
      <c r="B2337" s="148"/>
      <c r="C2337" s="148"/>
      <c r="D2337" s="138"/>
      <c r="E2337" s="138"/>
      <c r="F2337" s="50">
        <v>43466</v>
      </c>
      <c r="G2337" s="50">
        <v>43646</v>
      </c>
      <c r="H2337" s="150"/>
      <c r="I2337" s="119" t="s">
        <v>23</v>
      </c>
      <c r="J2337" s="119" t="s">
        <v>23</v>
      </c>
      <c r="K2337" s="13">
        <v>13.34</v>
      </c>
      <c r="L2337" s="13">
        <v>1310.6338983050846</v>
      </c>
      <c r="M2337" s="196" t="s">
        <v>427</v>
      </c>
    </row>
    <row r="2338" spans="1:13" ht="15" customHeight="1" outlineLevel="1" x14ac:dyDescent="0.25">
      <c r="A2338" s="147"/>
      <c r="B2338" s="147"/>
      <c r="C2338" s="148"/>
      <c r="D2338" s="141"/>
      <c r="E2338" s="141"/>
      <c r="F2338" s="50">
        <v>43647</v>
      </c>
      <c r="G2338" s="50">
        <v>43830</v>
      </c>
      <c r="H2338" s="151"/>
      <c r="I2338" s="119" t="s">
        <v>23</v>
      </c>
      <c r="J2338" s="119" t="s">
        <v>23</v>
      </c>
      <c r="K2338" s="13">
        <v>13.61</v>
      </c>
      <c r="L2338" s="13">
        <v>1336.8465762711862</v>
      </c>
      <c r="M2338" s="198"/>
    </row>
    <row r="2339" spans="1:13" ht="15" customHeight="1" outlineLevel="1" x14ac:dyDescent="0.25">
      <c r="A2339" s="146" t="s">
        <v>57</v>
      </c>
      <c r="B2339" s="146" t="s">
        <v>90</v>
      </c>
      <c r="C2339" s="148"/>
      <c r="D2339" s="137">
        <v>43453</v>
      </c>
      <c r="E2339" s="156" t="s">
        <v>615</v>
      </c>
      <c r="F2339" s="12">
        <v>43466</v>
      </c>
      <c r="G2339" s="12">
        <v>43646</v>
      </c>
      <c r="H2339" s="149"/>
      <c r="I2339" s="66">
        <v>32.58</v>
      </c>
      <c r="J2339" s="13">
        <v>2108.89</v>
      </c>
      <c r="K2339" s="119" t="s">
        <v>23</v>
      </c>
      <c r="L2339" s="119" t="s">
        <v>23</v>
      </c>
      <c r="M2339" s="153"/>
    </row>
    <row r="2340" spans="1:13" ht="15" customHeight="1" outlineLevel="1" x14ac:dyDescent="0.25">
      <c r="A2340" s="148"/>
      <c r="B2340" s="148"/>
      <c r="C2340" s="148"/>
      <c r="D2340" s="141"/>
      <c r="E2340" s="156"/>
      <c r="F2340" s="12">
        <v>43647</v>
      </c>
      <c r="G2340" s="12">
        <v>43830</v>
      </c>
      <c r="H2340" s="151"/>
      <c r="I2340" s="66">
        <v>25.58</v>
      </c>
      <c r="J2340" s="13">
        <v>2150.9208268353409</v>
      </c>
      <c r="K2340" s="119" t="s">
        <v>23</v>
      </c>
      <c r="L2340" s="119" t="s">
        <v>23</v>
      </c>
      <c r="M2340" s="152"/>
    </row>
    <row r="2341" spans="1:13" ht="15" customHeight="1" outlineLevel="1" x14ac:dyDescent="0.25">
      <c r="A2341" s="148"/>
      <c r="B2341" s="148"/>
      <c r="C2341" s="148"/>
      <c r="D2341" s="137">
        <f>D2323</f>
        <v>43454</v>
      </c>
      <c r="E2341" s="137" t="str">
        <f>E2323</f>
        <v>678-п</v>
      </c>
      <c r="F2341" s="50">
        <v>43466</v>
      </c>
      <c r="G2341" s="50">
        <v>43646</v>
      </c>
      <c r="H2341" s="149"/>
      <c r="I2341" s="119" t="s">
        <v>23</v>
      </c>
      <c r="J2341" s="119" t="s">
        <v>23</v>
      </c>
      <c r="K2341" s="13">
        <v>25.6066</v>
      </c>
      <c r="L2341" s="13">
        <v>1875.9050847457629</v>
      </c>
      <c r="M2341" s="196" t="s">
        <v>420</v>
      </c>
    </row>
    <row r="2342" spans="1:13" ht="15" customHeight="1" outlineLevel="1" x14ac:dyDescent="0.25">
      <c r="A2342" s="148"/>
      <c r="B2342" s="148"/>
      <c r="C2342" s="148"/>
      <c r="D2342" s="138"/>
      <c r="E2342" s="138"/>
      <c r="F2342" s="50">
        <v>43647</v>
      </c>
      <c r="G2342" s="50">
        <v>43830</v>
      </c>
      <c r="H2342" s="150"/>
      <c r="I2342" s="119" t="s">
        <v>23</v>
      </c>
      <c r="J2342" s="119" t="s">
        <v>23</v>
      </c>
      <c r="K2342" s="13">
        <v>26.118732000000001</v>
      </c>
      <c r="L2342" s="13">
        <v>1913.4231864406781</v>
      </c>
      <c r="M2342" s="198"/>
    </row>
    <row r="2343" spans="1:13" ht="15" customHeight="1" outlineLevel="1" x14ac:dyDescent="0.25">
      <c r="A2343" s="148"/>
      <c r="B2343" s="148"/>
      <c r="C2343" s="148"/>
      <c r="D2343" s="138"/>
      <c r="E2343" s="138"/>
      <c r="F2343" s="50">
        <v>43466</v>
      </c>
      <c r="G2343" s="50">
        <v>43646</v>
      </c>
      <c r="H2343" s="150"/>
      <c r="I2343" s="119" t="s">
        <v>23</v>
      </c>
      <c r="J2343" s="119" t="s">
        <v>23</v>
      </c>
      <c r="K2343" s="13">
        <v>25.6066</v>
      </c>
      <c r="L2343" s="13">
        <v>2054.5627118644065</v>
      </c>
      <c r="M2343" s="196" t="s">
        <v>421</v>
      </c>
    </row>
    <row r="2344" spans="1:13" ht="15" customHeight="1" outlineLevel="1" x14ac:dyDescent="0.25">
      <c r="A2344" s="148"/>
      <c r="B2344" s="148"/>
      <c r="C2344" s="148"/>
      <c r="D2344" s="138"/>
      <c r="E2344" s="138"/>
      <c r="F2344" s="50">
        <v>43647</v>
      </c>
      <c r="G2344" s="50">
        <v>43830</v>
      </c>
      <c r="H2344" s="150"/>
      <c r="I2344" s="119" t="s">
        <v>23</v>
      </c>
      <c r="J2344" s="119" t="s">
        <v>23</v>
      </c>
      <c r="K2344" s="13">
        <v>26.118732000000001</v>
      </c>
      <c r="L2344" s="13">
        <v>2095.6539661016946</v>
      </c>
      <c r="M2344" s="198"/>
    </row>
    <row r="2345" spans="1:13" ht="15" customHeight="1" outlineLevel="1" x14ac:dyDescent="0.25">
      <c r="A2345" s="148"/>
      <c r="B2345" s="148"/>
      <c r="C2345" s="148"/>
      <c r="D2345" s="138"/>
      <c r="E2345" s="138"/>
      <c r="F2345" s="50">
        <v>43466</v>
      </c>
      <c r="G2345" s="50">
        <v>43646</v>
      </c>
      <c r="H2345" s="150"/>
      <c r="I2345" s="119" t="s">
        <v>23</v>
      </c>
      <c r="J2345" s="119" t="s">
        <v>23</v>
      </c>
      <c r="K2345" s="13">
        <v>25.6066</v>
      </c>
      <c r="L2345" s="13">
        <v>1749.1525423728815</v>
      </c>
      <c r="M2345" s="196" t="s">
        <v>422</v>
      </c>
    </row>
    <row r="2346" spans="1:13" ht="15" customHeight="1" outlineLevel="1" x14ac:dyDescent="0.25">
      <c r="A2346" s="148"/>
      <c r="B2346" s="148"/>
      <c r="C2346" s="148"/>
      <c r="D2346" s="138"/>
      <c r="E2346" s="138"/>
      <c r="F2346" s="50">
        <v>43647</v>
      </c>
      <c r="G2346" s="50">
        <v>43830</v>
      </c>
      <c r="H2346" s="150"/>
      <c r="I2346" s="119" t="s">
        <v>23</v>
      </c>
      <c r="J2346" s="119" t="s">
        <v>23</v>
      </c>
      <c r="K2346" s="13">
        <v>26.118732000000001</v>
      </c>
      <c r="L2346" s="13">
        <v>1784.1355932203392</v>
      </c>
      <c r="M2346" s="198"/>
    </row>
    <row r="2347" spans="1:13" ht="15" customHeight="1" outlineLevel="1" x14ac:dyDescent="0.25">
      <c r="A2347" s="148"/>
      <c r="B2347" s="148"/>
      <c r="C2347" s="148"/>
      <c r="D2347" s="138"/>
      <c r="E2347" s="138"/>
      <c r="F2347" s="50">
        <v>43466</v>
      </c>
      <c r="G2347" s="50">
        <v>43646</v>
      </c>
      <c r="H2347" s="150"/>
      <c r="I2347" s="119" t="s">
        <v>23</v>
      </c>
      <c r="J2347" s="119" t="s">
        <v>23</v>
      </c>
      <c r="K2347" s="13">
        <v>25.6066</v>
      </c>
      <c r="L2347" s="13">
        <v>1875.9050847457629</v>
      </c>
      <c r="M2347" s="196" t="s">
        <v>423</v>
      </c>
    </row>
    <row r="2348" spans="1:13" ht="15" customHeight="1" outlineLevel="1" x14ac:dyDescent="0.25">
      <c r="A2348" s="148"/>
      <c r="B2348" s="148"/>
      <c r="C2348" s="148"/>
      <c r="D2348" s="138"/>
      <c r="E2348" s="138"/>
      <c r="F2348" s="50">
        <v>43647</v>
      </c>
      <c r="G2348" s="50">
        <v>43830</v>
      </c>
      <c r="H2348" s="150"/>
      <c r="I2348" s="119" t="s">
        <v>23</v>
      </c>
      <c r="J2348" s="119" t="s">
        <v>23</v>
      </c>
      <c r="K2348" s="13">
        <v>26.118732000000001</v>
      </c>
      <c r="L2348" s="13">
        <v>1913.4231864406781</v>
      </c>
      <c r="M2348" s="198"/>
    </row>
    <row r="2349" spans="1:13" ht="15" customHeight="1" outlineLevel="1" x14ac:dyDescent="0.25">
      <c r="A2349" s="148"/>
      <c r="B2349" s="148"/>
      <c r="C2349" s="148"/>
      <c r="D2349" s="138"/>
      <c r="E2349" s="138"/>
      <c r="F2349" s="50">
        <v>43466</v>
      </c>
      <c r="G2349" s="50">
        <v>43646</v>
      </c>
      <c r="H2349" s="150"/>
      <c r="I2349" s="119" t="s">
        <v>23</v>
      </c>
      <c r="J2349" s="119" t="s">
        <v>23</v>
      </c>
      <c r="K2349" s="13">
        <v>25.6066</v>
      </c>
      <c r="L2349" s="13">
        <v>1961.1661016949151</v>
      </c>
      <c r="M2349" s="196" t="s">
        <v>424</v>
      </c>
    </row>
    <row r="2350" spans="1:13" ht="15" customHeight="1" outlineLevel="1" x14ac:dyDescent="0.25">
      <c r="A2350" s="148"/>
      <c r="B2350" s="148"/>
      <c r="C2350" s="148"/>
      <c r="D2350" s="138"/>
      <c r="E2350" s="138"/>
      <c r="F2350" s="50">
        <v>43647</v>
      </c>
      <c r="G2350" s="50">
        <v>43830</v>
      </c>
      <c r="H2350" s="150"/>
      <c r="I2350" s="119" t="s">
        <v>23</v>
      </c>
      <c r="J2350" s="119" t="s">
        <v>23</v>
      </c>
      <c r="K2350" s="13">
        <v>26.118732000000001</v>
      </c>
      <c r="L2350" s="13">
        <v>2000.3894237288134</v>
      </c>
      <c r="M2350" s="198"/>
    </row>
    <row r="2351" spans="1:13" ht="15" customHeight="1" outlineLevel="1" x14ac:dyDescent="0.25">
      <c r="A2351" s="148"/>
      <c r="B2351" s="148"/>
      <c r="C2351" s="148"/>
      <c r="D2351" s="138"/>
      <c r="E2351" s="138"/>
      <c r="F2351" s="50">
        <v>43466</v>
      </c>
      <c r="G2351" s="50">
        <v>43646</v>
      </c>
      <c r="H2351" s="150"/>
      <c r="I2351" s="119" t="s">
        <v>23</v>
      </c>
      <c r="J2351" s="119" t="s">
        <v>23</v>
      </c>
      <c r="K2351" s="13">
        <v>25.6066</v>
      </c>
      <c r="L2351" s="13">
        <v>2121.9254237288137</v>
      </c>
      <c r="M2351" s="196" t="s">
        <v>425</v>
      </c>
    </row>
    <row r="2352" spans="1:13" ht="15" customHeight="1" outlineLevel="1" x14ac:dyDescent="0.25">
      <c r="A2352" s="148"/>
      <c r="B2352" s="148"/>
      <c r="C2352" s="148"/>
      <c r="D2352" s="138"/>
      <c r="E2352" s="138"/>
      <c r="F2352" s="50">
        <v>43647</v>
      </c>
      <c r="G2352" s="50">
        <v>43830</v>
      </c>
      <c r="H2352" s="150"/>
      <c r="I2352" s="119" t="s">
        <v>23</v>
      </c>
      <c r="J2352" s="119" t="s">
        <v>23</v>
      </c>
      <c r="K2352" s="13">
        <v>26.118732000000001</v>
      </c>
      <c r="L2352" s="13">
        <v>2164.36393220339</v>
      </c>
      <c r="M2352" s="198"/>
    </row>
    <row r="2353" spans="1:13" ht="15" customHeight="1" outlineLevel="1" x14ac:dyDescent="0.25">
      <c r="A2353" s="148"/>
      <c r="B2353" s="148"/>
      <c r="C2353" s="148"/>
      <c r="D2353" s="138"/>
      <c r="E2353" s="138"/>
      <c r="F2353" s="50">
        <v>43466</v>
      </c>
      <c r="G2353" s="50">
        <v>43646</v>
      </c>
      <c r="H2353" s="150"/>
      <c r="I2353" s="119" t="s">
        <v>23</v>
      </c>
      <c r="J2353" s="119" t="s">
        <v>23</v>
      </c>
      <c r="K2353" s="13">
        <v>25.6066</v>
      </c>
      <c r="L2353" s="13">
        <v>1797.7423728813558</v>
      </c>
      <c r="M2353" s="196" t="s">
        <v>426</v>
      </c>
    </row>
    <row r="2354" spans="1:13" ht="15" customHeight="1" outlineLevel="1" x14ac:dyDescent="0.25">
      <c r="A2354" s="148"/>
      <c r="B2354" s="148"/>
      <c r="C2354" s="148"/>
      <c r="D2354" s="138"/>
      <c r="E2354" s="138"/>
      <c r="F2354" s="50">
        <v>43647</v>
      </c>
      <c r="G2354" s="50">
        <v>43830</v>
      </c>
      <c r="H2354" s="150"/>
      <c r="I2354" s="119" t="s">
        <v>23</v>
      </c>
      <c r="J2354" s="119" t="s">
        <v>23</v>
      </c>
      <c r="K2354" s="13">
        <v>26.118732000000001</v>
      </c>
      <c r="L2354" s="13">
        <v>1833.697220338983</v>
      </c>
      <c r="M2354" s="198"/>
    </row>
    <row r="2355" spans="1:13" ht="15" customHeight="1" outlineLevel="1" x14ac:dyDescent="0.25">
      <c r="A2355" s="148"/>
      <c r="B2355" s="148"/>
      <c r="C2355" s="148"/>
      <c r="D2355" s="138"/>
      <c r="E2355" s="138"/>
      <c r="F2355" s="50">
        <v>43466</v>
      </c>
      <c r="G2355" s="50">
        <v>43646</v>
      </c>
      <c r="H2355" s="150"/>
      <c r="I2355" s="119" t="s">
        <v>23</v>
      </c>
      <c r="J2355" s="119" t="s">
        <v>23</v>
      </c>
      <c r="K2355" s="13">
        <v>25.6066</v>
      </c>
      <c r="L2355" s="13">
        <v>1961.1661016949151</v>
      </c>
      <c r="M2355" s="196" t="s">
        <v>427</v>
      </c>
    </row>
    <row r="2356" spans="1:13" ht="15" customHeight="1" outlineLevel="1" x14ac:dyDescent="0.25">
      <c r="A2356" s="147"/>
      <c r="B2356" s="147"/>
      <c r="C2356" s="148"/>
      <c r="D2356" s="141"/>
      <c r="E2356" s="141"/>
      <c r="F2356" s="50">
        <v>43647</v>
      </c>
      <c r="G2356" s="50">
        <v>43830</v>
      </c>
      <c r="H2356" s="151"/>
      <c r="I2356" s="119" t="s">
        <v>23</v>
      </c>
      <c r="J2356" s="119" t="s">
        <v>23</v>
      </c>
      <c r="K2356" s="13">
        <v>26.118732000000001</v>
      </c>
      <c r="L2356" s="13">
        <v>2000.3894237288134</v>
      </c>
      <c r="M2356" s="198"/>
    </row>
    <row r="2357" spans="1:13" ht="15" customHeight="1" outlineLevel="1" x14ac:dyDescent="0.25">
      <c r="A2357" s="146" t="s">
        <v>57</v>
      </c>
      <c r="B2357" s="146" t="s">
        <v>84</v>
      </c>
      <c r="C2357" s="148"/>
      <c r="D2357" s="156">
        <v>43453</v>
      </c>
      <c r="E2357" s="156" t="s">
        <v>717</v>
      </c>
      <c r="F2357" s="12">
        <v>43466</v>
      </c>
      <c r="G2357" s="12">
        <v>43646</v>
      </c>
      <c r="H2357" s="149"/>
      <c r="I2357" s="66">
        <v>29.49</v>
      </c>
      <c r="J2357" s="13">
        <v>3420.7945830080384</v>
      </c>
      <c r="K2357" s="119" t="s">
        <v>23</v>
      </c>
      <c r="L2357" s="119" t="s">
        <v>23</v>
      </c>
      <c r="M2357" s="153"/>
    </row>
    <row r="2358" spans="1:13" ht="15" customHeight="1" outlineLevel="1" x14ac:dyDescent="0.25">
      <c r="A2358" s="148"/>
      <c r="B2358" s="148"/>
      <c r="C2358" s="148"/>
      <c r="D2358" s="156"/>
      <c r="E2358" s="156"/>
      <c r="F2358" s="12">
        <v>43647</v>
      </c>
      <c r="G2358" s="12">
        <v>43830</v>
      </c>
      <c r="H2358" s="151"/>
      <c r="I2358" s="66">
        <v>29.5</v>
      </c>
      <c r="J2358" s="13">
        <v>3561.6195263959785</v>
      </c>
      <c r="K2358" s="119" t="s">
        <v>23</v>
      </c>
      <c r="L2358" s="119" t="s">
        <v>23</v>
      </c>
      <c r="M2358" s="152"/>
    </row>
    <row r="2359" spans="1:13" ht="15" customHeight="1" outlineLevel="1" x14ac:dyDescent="0.25">
      <c r="A2359" s="148"/>
      <c r="B2359" s="148"/>
      <c r="C2359" s="148"/>
      <c r="D2359" s="137">
        <f>D2341</f>
        <v>43454</v>
      </c>
      <c r="E2359" s="137" t="str">
        <f>E2341</f>
        <v>678-п</v>
      </c>
      <c r="F2359" s="50">
        <v>43466</v>
      </c>
      <c r="G2359" s="50">
        <v>43646</v>
      </c>
      <c r="H2359" s="149"/>
      <c r="I2359" s="119" t="s">
        <v>23</v>
      </c>
      <c r="J2359" s="119" t="s">
        <v>23</v>
      </c>
      <c r="K2359" s="13">
        <v>15.85</v>
      </c>
      <c r="L2359" s="13">
        <v>2152.5457627118644</v>
      </c>
      <c r="M2359" s="196" t="s">
        <v>420</v>
      </c>
    </row>
    <row r="2360" spans="1:13" ht="15" customHeight="1" outlineLevel="1" x14ac:dyDescent="0.25">
      <c r="A2360" s="148"/>
      <c r="B2360" s="148"/>
      <c r="C2360" s="148"/>
      <c r="D2360" s="138"/>
      <c r="E2360" s="138"/>
      <c r="F2360" s="50">
        <v>43647</v>
      </c>
      <c r="G2360" s="50">
        <v>43830</v>
      </c>
      <c r="H2360" s="150"/>
      <c r="I2360" s="119" t="s">
        <v>23</v>
      </c>
      <c r="J2360" s="119" t="s">
        <v>23</v>
      </c>
      <c r="K2360" s="13">
        <v>16.170000000000002</v>
      </c>
      <c r="L2360" s="13">
        <v>2195.5966779661017</v>
      </c>
      <c r="M2360" s="198"/>
    </row>
    <row r="2361" spans="1:13" ht="15" customHeight="1" outlineLevel="1" x14ac:dyDescent="0.25">
      <c r="A2361" s="148"/>
      <c r="B2361" s="148"/>
      <c r="C2361" s="148"/>
      <c r="D2361" s="138"/>
      <c r="E2361" s="138"/>
      <c r="F2361" s="50">
        <v>43466</v>
      </c>
      <c r="G2361" s="50">
        <v>43646</v>
      </c>
      <c r="H2361" s="150"/>
      <c r="I2361" s="119" t="s">
        <v>23</v>
      </c>
      <c r="J2361" s="119" t="s">
        <v>23</v>
      </c>
      <c r="K2361" s="13">
        <v>15.85</v>
      </c>
      <c r="L2361" s="13">
        <v>2357.5423728813562</v>
      </c>
      <c r="M2361" s="196" t="s">
        <v>421</v>
      </c>
    </row>
    <row r="2362" spans="1:13" ht="15" customHeight="1" outlineLevel="1" x14ac:dyDescent="0.25">
      <c r="A2362" s="148"/>
      <c r="B2362" s="148"/>
      <c r="C2362" s="148"/>
      <c r="D2362" s="138"/>
      <c r="E2362" s="138"/>
      <c r="F2362" s="50">
        <v>43647</v>
      </c>
      <c r="G2362" s="50">
        <v>43830</v>
      </c>
      <c r="H2362" s="150"/>
      <c r="I2362" s="119" t="s">
        <v>23</v>
      </c>
      <c r="J2362" s="119" t="s">
        <v>23</v>
      </c>
      <c r="K2362" s="13">
        <v>16.170000000000002</v>
      </c>
      <c r="L2362" s="13">
        <v>2404.6932203389833</v>
      </c>
      <c r="M2362" s="198"/>
    </row>
    <row r="2363" spans="1:13" ht="15" customHeight="1" outlineLevel="1" x14ac:dyDescent="0.25">
      <c r="A2363" s="148"/>
      <c r="B2363" s="148"/>
      <c r="C2363" s="148"/>
      <c r="D2363" s="138"/>
      <c r="E2363" s="138"/>
      <c r="F2363" s="50">
        <v>43466</v>
      </c>
      <c r="G2363" s="50">
        <v>43646</v>
      </c>
      <c r="H2363" s="150"/>
      <c r="I2363" s="119" t="s">
        <v>23</v>
      </c>
      <c r="J2363" s="119" t="s">
        <v>23</v>
      </c>
      <c r="K2363" s="13">
        <v>15.85</v>
      </c>
      <c r="L2363" s="13">
        <v>2007.1016949152543</v>
      </c>
      <c r="M2363" s="196" t="s">
        <v>422</v>
      </c>
    </row>
    <row r="2364" spans="1:13" ht="15" customHeight="1" outlineLevel="1" x14ac:dyDescent="0.25">
      <c r="A2364" s="148"/>
      <c r="B2364" s="148"/>
      <c r="C2364" s="148"/>
      <c r="D2364" s="138"/>
      <c r="E2364" s="138"/>
      <c r="F2364" s="50">
        <v>43647</v>
      </c>
      <c r="G2364" s="50">
        <v>43830</v>
      </c>
      <c r="H2364" s="150"/>
      <c r="I2364" s="119" t="s">
        <v>23</v>
      </c>
      <c r="J2364" s="119" t="s">
        <v>23</v>
      </c>
      <c r="K2364" s="13">
        <v>16.170000000000002</v>
      </c>
      <c r="L2364" s="13">
        <v>2047.2437288135593</v>
      </c>
      <c r="M2364" s="198"/>
    </row>
    <row r="2365" spans="1:13" ht="15" customHeight="1" outlineLevel="1" x14ac:dyDescent="0.25">
      <c r="A2365" s="148"/>
      <c r="B2365" s="148"/>
      <c r="C2365" s="148"/>
      <c r="D2365" s="138"/>
      <c r="E2365" s="138"/>
      <c r="F2365" s="50">
        <v>43466</v>
      </c>
      <c r="G2365" s="50">
        <v>43646</v>
      </c>
      <c r="H2365" s="150"/>
      <c r="I2365" s="119" t="s">
        <v>23</v>
      </c>
      <c r="J2365" s="119" t="s">
        <v>23</v>
      </c>
      <c r="K2365" s="13">
        <v>15.85</v>
      </c>
      <c r="L2365" s="13">
        <v>2152.5457627118644</v>
      </c>
      <c r="M2365" s="196" t="s">
        <v>423</v>
      </c>
    </row>
    <row r="2366" spans="1:13" ht="15" customHeight="1" outlineLevel="1" x14ac:dyDescent="0.25">
      <c r="A2366" s="148"/>
      <c r="B2366" s="148"/>
      <c r="C2366" s="148"/>
      <c r="D2366" s="138"/>
      <c r="E2366" s="138"/>
      <c r="F2366" s="50">
        <v>43647</v>
      </c>
      <c r="G2366" s="50">
        <v>43830</v>
      </c>
      <c r="H2366" s="150"/>
      <c r="I2366" s="119" t="s">
        <v>23</v>
      </c>
      <c r="J2366" s="119" t="s">
        <v>23</v>
      </c>
      <c r="K2366" s="13">
        <v>16.170000000000002</v>
      </c>
      <c r="L2366" s="13">
        <v>2195.5966779661017</v>
      </c>
      <c r="M2366" s="198"/>
    </row>
    <row r="2367" spans="1:13" ht="15" customHeight="1" outlineLevel="1" x14ac:dyDescent="0.25">
      <c r="A2367" s="148"/>
      <c r="B2367" s="148"/>
      <c r="C2367" s="148"/>
      <c r="D2367" s="138"/>
      <c r="E2367" s="138"/>
      <c r="F2367" s="50">
        <v>43466</v>
      </c>
      <c r="G2367" s="50">
        <v>43646</v>
      </c>
      <c r="H2367" s="150"/>
      <c r="I2367" s="119" t="s">
        <v>23</v>
      </c>
      <c r="J2367" s="119" t="s">
        <v>23</v>
      </c>
      <c r="K2367" s="13">
        <v>15.85</v>
      </c>
      <c r="L2367" s="13">
        <v>2250.3864406779662</v>
      </c>
      <c r="M2367" s="196" t="s">
        <v>424</v>
      </c>
    </row>
    <row r="2368" spans="1:13" ht="15" customHeight="1" outlineLevel="1" x14ac:dyDescent="0.25">
      <c r="A2368" s="148"/>
      <c r="B2368" s="148"/>
      <c r="C2368" s="148"/>
      <c r="D2368" s="138"/>
      <c r="E2368" s="138"/>
      <c r="F2368" s="50">
        <v>43647</v>
      </c>
      <c r="G2368" s="50">
        <v>43830</v>
      </c>
      <c r="H2368" s="150"/>
      <c r="I2368" s="119" t="s">
        <v>23</v>
      </c>
      <c r="J2368" s="119" t="s">
        <v>23</v>
      </c>
      <c r="K2368" s="13">
        <v>16.170000000000002</v>
      </c>
      <c r="L2368" s="13">
        <v>2295.3941694915256</v>
      </c>
      <c r="M2368" s="198"/>
    </row>
    <row r="2369" spans="1:13" ht="15" customHeight="1" outlineLevel="1" x14ac:dyDescent="0.25">
      <c r="A2369" s="148"/>
      <c r="B2369" s="148"/>
      <c r="C2369" s="148"/>
      <c r="D2369" s="138"/>
      <c r="E2369" s="138"/>
      <c r="F2369" s="50">
        <v>43466</v>
      </c>
      <c r="G2369" s="50">
        <v>43646</v>
      </c>
      <c r="H2369" s="150"/>
      <c r="I2369" s="119" t="s">
        <v>23</v>
      </c>
      <c r="J2369" s="119" t="s">
        <v>23</v>
      </c>
      <c r="K2369" s="13">
        <v>15.85</v>
      </c>
      <c r="L2369" s="13">
        <v>2434.8406779661022</v>
      </c>
      <c r="M2369" s="196" t="s">
        <v>425</v>
      </c>
    </row>
    <row r="2370" spans="1:13" ht="15" customHeight="1" outlineLevel="1" x14ac:dyDescent="0.25">
      <c r="A2370" s="148"/>
      <c r="B2370" s="148"/>
      <c r="C2370" s="148"/>
      <c r="D2370" s="138"/>
      <c r="E2370" s="138"/>
      <c r="F2370" s="50">
        <v>43647</v>
      </c>
      <c r="G2370" s="50">
        <v>43830</v>
      </c>
      <c r="H2370" s="150"/>
      <c r="I2370" s="119" t="s">
        <v>23</v>
      </c>
      <c r="J2370" s="119" t="s">
        <v>23</v>
      </c>
      <c r="K2370" s="13">
        <v>16.170000000000002</v>
      </c>
      <c r="L2370" s="13">
        <v>2483.5374915254242</v>
      </c>
      <c r="M2370" s="198"/>
    </row>
    <row r="2371" spans="1:13" ht="15" customHeight="1" outlineLevel="1" x14ac:dyDescent="0.25">
      <c r="A2371" s="148"/>
      <c r="B2371" s="148"/>
      <c r="C2371" s="148"/>
      <c r="D2371" s="138"/>
      <c r="E2371" s="138"/>
      <c r="F2371" s="50">
        <v>43466</v>
      </c>
      <c r="G2371" s="50">
        <v>43646</v>
      </c>
      <c r="H2371" s="150"/>
      <c r="I2371" s="119" t="s">
        <v>23</v>
      </c>
      <c r="J2371" s="119" t="s">
        <v>23</v>
      </c>
      <c r="K2371" s="13">
        <v>15.85</v>
      </c>
      <c r="L2371" s="13">
        <v>2062.850847457627</v>
      </c>
      <c r="M2371" s="196" t="s">
        <v>426</v>
      </c>
    </row>
    <row r="2372" spans="1:13" ht="15" customHeight="1" outlineLevel="1" x14ac:dyDescent="0.25">
      <c r="A2372" s="148"/>
      <c r="B2372" s="148"/>
      <c r="C2372" s="148"/>
      <c r="D2372" s="138"/>
      <c r="E2372" s="138"/>
      <c r="F2372" s="50">
        <v>43647</v>
      </c>
      <c r="G2372" s="50">
        <v>43830</v>
      </c>
      <c r="H2372" s="150"/>
      <c r="I2372" s="119" t="s">
        <v>23</v>
      </c>
      <c r="J2372" s="119" t="s">
        <v>23</v>
      </c>
      <c r="K2372" s="13">
        <v>16.170000000000002</v>
      </c>
      <c r="L2372" s="13">
        <v>2104.1078644067798</v>
      </c>
      <c r="M2372" s="198"/>
    </row>
    <row r="2373" spans="1:13" ht="15" customHeight="1" outlineLevel="1" x14ac:dyDescent="0.25">
      <c r="A2373" s="148"/>
      <c r="B2373" s="148"/>
      <c r="C2373" s="148"/>
      <c r="D2373" s="138"/>
      <c r="E2373" s="138"/>
      <c r="F2373" s="50">
        <v>43466</v>
      </c>
      <c r="G2373" s="50">
        <v>43646</v>
      </c>
      <c r="H2373" s="150"/>
      <c r="I2373" s="119" t="s">
        <v>23</v>
      </c>
      <c r="J2373" s="119" t="s">
        <v>23</v>
      </c>
      <c r="K2373" s="13">
        <v>15.85</v>
      </c>
      <c r="L2373" s="13">
        <v>2250.3864406779662</v>
      </c>
      <c r="M2373" s="196" t="s">
        <v>427</v>
      </c>
    </row>
    <row r="2374" spans="1:13" ht="15" customHeight="1" outlineLevel="1" x14ac:dyDescent="0.25">
      <c r="A2374" s="147"/>
      <c r="B2374" s="147"/>
      <c r="C2374" s="148"/>
      <c r="D2374" s="141"/>
      <c r="E2374" s="141"/>
      <c r="F2374" s="50">
        <v>43647</v>
      </c>
      <c r="G2374" s="50">
        <v>43830</v>
      </c>
      <c r="H2374" s="151"/>
      <c r="I2374" s="119" t="s">
        <v>23</v>
      </c>
      <c r="J2374" s="119" t="s">
        <v>23</v>
      </c>
      <c r="K2374" s="13">
        <v>16.170000000000002</v>
      </c>
      <c r="L2374" s="13">
        <v>2295.3941694915256</v>
      </c>
      <c r="M2374" s="198"/>
    </row>
    <row r="2375" spans="1:13" ht="15" customHeight="1" outlineLevel="1" x14ac:dyDescent="0.25">
      <c r="A2375" s="146" t="s">
        <v>57</v>
      </c>
      <c r="B2375" s="146" t="s">
        <v>78</v>
      </c>
      <c r="C2375" s="146" t="s">
        <v>293</v>
      </c>
      <c r="D2375" s="137">
        <v>43427</v>
      </c>
      <c r="E2375" s="156" t="s">
        <v>710</v>
      </c>
      <c r="F2375" s="12">
        <v>43466</v>
      </c>
      <c r="G2375" s="12">
        <v>43646</v>
      </c>
      <c r="H2375" s="149"/>
      <c r="I2375" s="66">
        <v>18.37</v>
      </c>
      <c r="J2375" s="13">
        <v>1998.64</v>
      </c>
      <c r="K2375" s="119" t="s">
        <v>23</v>
      </c>
      <c r="L2375" s="119" t="s">
        <v>23</v>
      </c>
      <c r="M2375" s="153"/>
    </row>
    <row r="2376" spans="1:13" ht="15" customHeight="1" outlineLevel="1" x14ac:dyDescent="0.25">
      <c r="A2376" s="148"/>
      <c r="B2376" s="148"/>
      <c r="C2376" s="148"/>
      <c r="D2376" s="141"/>
      <c r="E2376" s="156"/>
      <c r="F2376" s="12">
        <v>43647</v>
      </c>
      <c r="G2376" s="12">
        <v>43830</v>
      </c>
      <c r="H2376" s="151"/>
      <c r="I2376" s="66">
        <v>19.22</v>
      </c>
      <c r="J2376" s="13">
        <v>2074.8729893517084</v>
      </c>
      <c r="K2376" s="119" t="s">
        <v>23</v>
      </c>
      <c r="L2376" s="119" t="s">
        <v>23</v>
      </c>
      <c r="M2376" s="152"/>
    </row>
    <row r="2377" spans="1:13" ht="15" customHeight="1" outlineLevel="1" x14ac:dyDescent="0.25">
      <c r="A2377" s="148"/>
      <c r="B2377" s="148"/>
      <c r="C2377" s="148"/>
      <c r="D2377" s="137">
        <f>D2359</f>
        <v>43454</v>
      </c>
      <c r="E2377" s="137" t="str">
        <f>E2359</f>
        <v>678-п</v>
      </c>
      <c r="F2377" s="50">
        <v>43466</v>
      </c>
      <c r="G2377" s="50">
        <v>43646</v>
      </c>
      <c r="H2377" s="149"/>
      <c r="I2377" s="119" t="s">
        <v>23</v>
      </c>
      <c r="J2377" s="119" t="s">
        <v>23</v>
      </c>
      <c r="K2377" s="13">
        <v>9.1199999999999992</v>
      </c>
      <c r="L2377" s="13">
        <v>993.81355932203394</v>
      </c>
      <c r="M2377" s="196" t="s">
        <v>420</v>
      </c>
    </row>
    <row r="2378" spans="1:13" ht="15" customHeight="1" outlineLevel="1" x14ac:dyDescent="0.25">
      <c r="A2378" s="148"/>
      <c r="B2378" s="148"/>
      <c r="C2378" s="148"/>
      <c r="D2378" s="138"/>
      <c r="E2378" s="138"/>
      <c r="F2378" s="50">
        <v>43647</v>
      </c>
      <c r="G2378" s="50">
        <v>43830</v>
      </c>
      <c r="H2378" s="150"/>
      <c r="I2378" s="119" t="s">
        <v>23</v>
      </c>
      <c r="J2378" s="119" t="s">
        <v>23</v>
      </c>
      <c r="K2378" s="13">
        <v>9.3023999999999987</v>
      </c>
      <c r="L2378" s="13">
        <v>1013.6898305084746</v>
      </c>
      <c r="M2378" s="198"/>
    </row>
    <row r="2379" spans="1:13" ht="15" customHeight="1" outlineLevel="1" x14ac:dyDescent="0.25">
      <c r="A2379" s="148"/>
      <c r="B2379" s="148"/>
      <c r="C2379" s="148"/>
      <c r="D2379" s="138"/>
      <c r="E2379" s="138"/>
      <c r="F2379" s="50">
        <v>43466</v>
      </c>
      <c r="G2379" s="50">
        <v>43646</v>
      </c>
      <c r="H2379" s="150"/>
      <c r="I2379" s="119" t="s">
        <v>23</v>
      </c>
      <c r="J2379" s="119" t="s">
        <v>23</v>
      </c>
      <c r="K2379" s="13">
        <v>9.1199999999999992</v>
      </c>
      <c r="L2379" s="13">
        <v>1088.4610169491525</v>
      </c>
      <c r="M2379" s="196" t="s">
        <v>421</v>
      </c>
    </row>
    <row r="2380" spans="1:13" ht="15" customHeight="1" outlineLevel="1" x14ac:dyDescent="0.25">
      <c r="A2380" s="148"/>
      <c r="B2380" s="148"/>
      <c r="C2380" s="148"/>
      <c r="D2380" s="138"/>
      <c r="E2380" s="138"/>
      <c r="F2380" s="50">
        <v>43647</v>
      </c>
      <c r="G2380" s="50">
        <v>43830</v>
      </c>
      <c r="H2380" s="150"/>
      <c r="I2380" s="119" t="s">
        <v>23</v>
      </c>
      <c r="J2380" s="119" t="s">
        <v>23</v>
      </c>
      <c r="K2380" s="13">
        <v>9.3023999999999987</v>
      </c>
      <c r="L2380" s="13">
        <v>1110.2302372881356</v>
      </c>
      <c r="M2380" s="198"/>
    </row>
    <row r="2381" spans="1:13" ht="15" customHeight="1" outlineLevel="1" x14ac:dyDescent="0.25">
      <c r="A2381" s="148"/>
      <c r="B2381" s="148"/>
      <c r="C2381" s="148"/>
      <c r="D2381" s="138"/>
      <c r="E2381" s="138"/>
      <c r="F2381" s="50">
        <v>43466</v>
      </c>
      <c r="G2381" s="50">
        <v>43646</v>
      </c>
      <c r="H2381" s="150"/>
      <c r="I2381" s="119" t="s">
        <v>23</v>
      </c>
      <c r="J2381" s="119" t="s">
        <v>23</v>
      </c>
      <c r="K2381" s="13">
        <v>9.1199999999999992</v>
      </c>
      <c r="L2381" s="13">
        <v>926.66440677966114</v>
      </c>
      <c r="M2381" s="196" t="s">
        <v>422</v>
      </c>
    </row>
    <row r="2382" spans="1:13" ht="15" customHeight="1" outlineLevel="1" x14ac:dyDescent="0.25">
      <c r="A2382" s="148"/>
      <c r="B2382" s="148"/>
      <c r="C2382" s="148"/>
      <c r="D2382" s="138"/>
      <c r="E2382" s="138"/>
      <c r="F2382" s="50">
        <v>43647</v>
      </c>
      <c r="G2382" s="50">
        <v>43830</v>
      </c>
      <c r="H2382" s="150"/>
      <c r="I2382" s="119" t="s">
        <v>23</v>
      </c>
      <c r="J2382" s="119" t="s">
        <v>23</v>
      </c>
      <c r="K2382" s="13">
        <v>9.3023999999999987</v>
      </c>
      <c r="L2382" s="13">
        <v>945.19769491525437</v>
      </c>
      <c r="M2382" s="198"/>
    </row>
    <row r="2383" spans="1:13" ht="15" customHeight="1" outlineLevel="1" x14ac:dyDescent="0.25">
      <c r="A2383" s="148"/>
      <c r="B2383" s="148"/>
      <c r="C2383" s="148"/>
      <c r="D2383" s="138"/>
      <c r="E2383" s="138"/>
      <c r="F2383" s="50">
        <v>43466</v>
      </c>
      <c r="G2383" s="50">
        <v>43646</v>
      </c>
      <c r="H2383" s="150"/>
      <c r="I2383" s="119" t="s">
        <v>23</v>
      </c>
      <c r="J2383" s="119" t="s">
        <v>23</v>
      </c>
      <c r="K2383" s="13">
        <v>9.1199999999999992</v>
      </c>
      <c r="L2383" s="13">
        <v>993.81355932203394</v>
      </c>
      <c r="M2383" s="196" t="s">
        <v>423</v>
      </c>
    </row>
    <row r="2384" spans="1:13" ht="15" customHeight="1" outlineLevel="1" x14ac:dyDescent="0.25">
      <c r="A2384" s="148"/>
      <c r="B2384" s="148"/>
      <c r="C2384" s="148"/>
      <c r="D2384" s="138"/>
      <c r="E2384" s="138"/>
      <c r="F2384" s="50">
        <v>43647</v>
      </c>
      <c r="G2384" s="50">
        <v>43830</v>
      </c>
      <c r="H2384" s="150"/>
      <c r="I2384" s="119" t="s">
        <v>23</v>
      </c>
      <c r="J2384" s="119" t="s">
        <v>23</v>
      </c>
      <c r="K2384" s="13">
        <v>9.3023999999999987</v>
      </c>
      <c r="L2384" s="13">
        <v>1013.6898305084746</v>
      </c>
      <c r="M2384" s="198"/>
    </row>
    <row r="2385" spans="1:20" ht="15" customHeight="1" outlineLevel="1" x14ac:dyDescent="0.25">
      <c r="A2385" s="148"/>
      <c r="B2385" s="148"/>
      <c r="C2385" s="148"/>
      <c r="D2385" s="138"/>
      <c r="E2385" s="138"/>
      <c r="F2385" s="50">
        <v>43466</v>
      </c>
      <c r="G2385" s="50">
        <v>43646</v>
      </c>
      <c r="H2385" s="150"/>
      <c r="I2385" s="119" t="s">
        <v>23</v>
      </c>
      <c r="J2385" s="119" t="s">
        <v>23</v>
      </c>
      <c r="K2385" s="13">
        <v>9.1199999999999992</v>
      </c>
      <c r="L2385" s="13">
        <v>1038.9864406779661</v>
      </c>
      <c r="M2385" s="196" t="s">
        <v>424</v>
      </c>
    </row>
    <row r="2386" spans="1:20" ht="15" customHeight="1" outlineLevel="1" x14ac:dyDescent="0.25">
      <c r="A2386" s="148"/>
      <c r="B2386" s="148"/>
      <c r="C2386" s="148"/>
      <c r="D2386" s="138"/>
      <c r="E2386" s="138"/>
      <c r="F2386" s="50">
        <v>43647</v>
      </c>
      <c r="G2386" s="50">
        <v>43830</v>
      </c>
      <c r="H2386" s="150"/>
      <c r="I2386" s="119" t="s">
        <v>23</v>
      </c>
      <c r="J2386" s="119" t="s">
        <v>23</v>
      </c>
      <c r="K2386" s="13">
        <v>9.3023999999999987</v>
      </c>
      <c r="L2386" s="13">
        <v>1059.7661694915255</v>
      </c>
      <c r="M2386" s="198"/>
    </row>
    <row r="2387" spans="1:20" ht="15" customHeight="1" outlineLevel="1" x14ac:dyDescent="0.25">
      <c r="A2387" s="148"/>
      <c r="B2387" s="148"/>
      <c r="C2387" s="148"/>
      <c r="D2387" s="138"/>
      <c r="E2387" s="138"/>
      <c r="F2387" s="50">
        <v>43466</v>
      </c>
      <c r="G2387" s="50">
        <v>43646</v>
      </c>
      <c r="H2387" s="150"/>
      <c r="I2387" s="119" t="s">
        <v>23</v>
      </c>
      <c r="J2387" s="119" t="s">
        <v>23</v>
      </c>
      <c r="K2387" s="13">
        <v>9.1199999999999992</v>
      </c>
      <c r="L2387" s="13">
        <v>1124.1457627118646</v>
      </c>
      <c r="M2387" s="196" t="s">
        <v>425</v>
      </c>
    </row>
    <row r="2388" spans="1:20" ht="15" customHeight="1" outlineLevel="1" x14ac:dyDescent="0.25">
      <c r="A2388" s="148"/>
      <c r="B2388" s="148"/>
      <c r="C2388" s="148"/>
      <c r="D2388" s="138"/>
      <c r="E2388" s="138"/>
      <c r="F2388" s="50">
        <v>43647</v>
      </c>
      <c r="G2388" s="50">
        <v>43830</v>
      </c>
      <c r="H2388" s="150"/>
      <c r="I2388" s="119" t="s">
        <v>23</v>
      </c>
      <c r="J2388" s="119" t="s">
        <v>23</v>
      </c>
      <c r="K2388" s="13">
        <v>9.3023999999999987</v>
      </c>
      <c r="L2388" s="13">
        <v>1146.6286779661018</v>
      </c>
      <c r="M2388" s="198"/>
    </row>
    <row r="2389" spans="1:20" ht="15" customHeight="1" outlineLevel="1" x14ac:dyDescent="0.25">
      <c r="A2389" s="148"/>
      <c r="B2389" s="148"/>
      <c r="C2389" s="148"/>
      <c r="D2389" s="138"/>
      <c r="E2389" s="138"/>
      <c r="F2389" s="50">
        <v>43466</v>
      </c>
      <c r="G2389" s="50">
        <v>43646</v>
      </c>
      <c r="H2389" s="150"/>
      <c r="I2389" s="119" t="s">
        <v>23</v>
      </c>
      <c r="J2389" s="119" t="s">
        <v>23</v>
      </c>
      <c r="K2389" s="13">
        <v>9.1199999999999992</v>
      </c>
      <c r="L2389" s="13">
        <v>952.40338983050844</v>
      </c>
      <c r="M2389" s="196" t="s">
        <v>426</v>
      </c>
    </row>
    <row r="2390" spans="1:20" ht="15" customHeight="1" outlineLevel="1" x14ac:dyDescent="0.25">
      <c r="A2390" s="148"/>
      <c r="B2390" s="148"/>
      <c r="C2390" s="148"/>
      <c r="D2390" s="138"/>
      <c r="E2390" s="138"/>
      <c r="F2390" s="50">
        <v>43647</v>
      </c>
      <c r="G2390" s="50">
        <v>43830</v>
      </c>
      <c r="H2390" s="150"/>
      <c r="I2390" s="119" t="s">
        <v>23</v>
      </c>
      <c r="J2390" s="119" t="s">
        <v>23</v>
      </c>
      <c r="K2390" s="13">
        <v>9.3023999999999987</v>
      </c>
      <c r="L2390" s="13">
        <v>971.45145762711866</v>
      </c>
      <c r="M2390" s="198"/>
    </row>
    <row r="2391" spans="1:20" ht="15" customHeight="1" outlineLevel="1" x14ac:dyDescent="0.25">
      <c r="A2391" s="148"/>
      <c r="B2391" s="148"/>
      <c r="C2391" s="148"/>
      <c r="D2391" s="138"/>
      <c r="E2391" s="138"/>
      <c r="F2391" s="50">
        <v>43466</v>
      </c>
      <c r="G2391" s="50">
        <v>43646</v>
      </c>
      <c r="H2391" s="150"/>
      <c r="I2391" s="119" t="s">
        <v>23</v>
      </c>
      <c r="J2391" s="119" t="s">
        <v>23</v>
      </c>
      <c r="K2391" s="13">
        <v>9.1199999999999992</v>
      </c>
      <c r="L2391" s="13">
        <v>1038.9864406779661</v>
      </c>
      <c r="M2391" s="196" t="s">
        <v>427</v>
      </c>
    </row>
    <row r="2392" spans="1:20" ht="15" customHeight="1" outlineLevel="1" x14ac:dyDescent="0.25">
      <c r="A2392" s="147"/>
      <c r="B2392" s="147"/>
      <c r="C2392" s="147"/>
      <c r="D2392" s="141"/>
      <c r="E2392" s="141"/>
      <c r="F2392" s="50">
        <v>43647</v>
      </c>
      <c r="G2392" s="50">
        <v>43830</v>
      </c>
      <c r="H2392" s="151"/>
      <c r="I2392" s="119" t="s">
        <v>23</v>
      </c>
      <c r="J2392" s="119" t="s">
        <v>23</v>
      </c>
      <c r="K2392" s="13">
        <v>9.3023999999999987</v>
      </c>
      <c r="L2392" s="13">
        <v>1059.7661694915255</v>
      </c>
      <c r="M2392" s="198"/>
    </row>
    <row r="2393" spans="1:20" ht="15" customHeight="1" outlineLevel="1" x14ac:dyDescent="0.25">
      <c r="A2393" s="146" t="s">
        <v>57</v>
      </c>
      <c r="B2393" s="146" t="s">
        <v>84</v>
      </c>
      <c r="C2393" s="146" t="s">
        <v>319</v>
      </c>
      <c r="D2393" s="137">
        <v>43454</v>
      </c>
      <c r="E2393" s="137" t="s">
        <v>792</v>
      </c>
      <c r="F2393" s="12">
        <v>43466</v>
      </c>
      <c r="G2393" s="12">
        <v>43646</v>
      </c>
      <c r="H2393" s="149"/>
      <c r="I2393" s="66">
        <v>30.75</v>
      </c>
      <c r="J2393" s="13">
        <v>3163.12</v>
      </c>
      <c r="K2393" s="15" t="s">
        <v>23</v>
      </c>
      <c r="L2393" s="15" t="s">
        <v>23</v>
      </c>
      <c r="M2393" s="153"/>
    </row>
    <row r="2394" spans="1:20" ht="15" customHeight="1" outlineLevel="1" x14ac:dyDescent="0.25">
      <c r="A2394" s="148"/>
      <c r="B2394" s="148"/>
      <c r="C2394" s="148"/>
      <c r="D2394" s="141"/>
      <c r="E2394" s="141"/>
      <c r="F2394" s="12">
        <v>43647</v>
      </c>
      <c r="G2394" s="12">
        <v>43830</v>
      </c>
      <c r="H2394" s="151"/>
      <c r="I2394" s="66">
        <v>30.89</v>
      </c>
      <c r="J2394" s="13">
        <v>4000.88</v>
      </c>
      <c r="K2394" s="15" t="s">
        <v>23</v>
      </c>
      <c r="L2394" s="15" t="s">
        <v>23</v>
      </c>
      <c r="M2394" s="152"/>
    </row>
    <row r="2395" spans="1:20" ht="15" customHeight="1" outlineLevel="1" x14ac:dyDescent="0.25">
      <c r="A2395" s="148"/>
      <c r="B2395" s="148"/>
      <c r="C2395" s="148"/>
      <c r="D2395" s="137">
        <v>43454</v>
      </c>
      <c r="E2395" s="137" t="s">
        <v>708</v>
      </c>
      <c r="F2395" s="50">
        <v>43466</v>
      </c>
      <c r="G2395" s="50">
        <v>43646</v>
      </c>
      <c r="H2395" s="149"/>
      <c r="I2395" s="15" t="s">
        <v>23</v>
      </c>
      <c r="J2395" s="15" t="s">
        <v>23</v>
      </c>
      <c r="K2395" s="13">
        <v>30.518644067796615</v>
      </c>
      <c r="L2395" s="13">
        <v>1638.762711864407</v>
      </c>
      <c r="M2395" s="196" t="s">
        <v>420</v>
      </c>
      <c r="N2395" s="55">
        <f>K2395/1.2</f>
        <v>25.432203389830512</v>
      </c>
      <c r="O2395" s="55">
        <f>L2395/1.2</f>
        <v>1365.6355932203392</v>
      </c>
      <c r="P2395" s="121">
        <f>$I$2393-N2395</f>
        <v>5.3177966101694878</v>
      </c>
      <c r="Q2395" s="57">
        <f>$J$2393-O2395</f>
        <v>1797.4844067796607</v>
      </c>
    </row>
    <row r="2396" spans="1:20" ht="15" customHeight="1" outlineLevel="1" x14ac:dyDescent="0.25">
      <c r="A2396" s="148"/>
      <c r="B2396" s="148"/>
      <c r="C2396" s="148"/>
      <c r="D2396" s="138"/>
      <c r="E2396" s="138"/>
      <c r="F2396" s="50">
        <v>43647</v>
      </c>
      <c r="G2396" s="50">
        <v>43830</v>
      </c>
      <c r="H2396" s="150"/>
      <c r="I2396" s="15" t="s">
        <v>23</v>
      </c>
      <c r="J2396" s="15" t="s">
        <v>23</v>
      </c>
      <c r="K2396" s="13">
        <v>31.129016949152547</v>
      </c>
      <c r="L2396" s="13">
        <v>1671.5379661016952</v>
      </c>
      <c r="M2396" s="198"/>
      <c r="N2396" s="55">
        <f t="shared" ref="N2396:N2410" si="211">K2396/1.2</f>
        <v>25.940847457627122</v>
      </c>
      <c r="O2396" s="55">
        <f t="shared" ref="O2396:O2410" si="212">L2396/1.2</f>
        <v>1392.9483050847462</v>
      </c>
      <c r="P2396" s="121"/>
    </row>
    <row r="2397" spans="1:20" ht="15" customHeight="1" outlineLevel="1" x14ac:dyDescent="0.25">
      <c r="A2397" s="148"/>
      <c r="B2397" s="148"/>
      <c r="C2397" s="148"/>
      <c r="D2397" s="138"/>
      <c r="E2397" s="138"/>
      <c r="F2397" s="50">
        <v>43466</v>
      </c>
      <c r="G2397" s="50">
        <v>43646</v>
      </c>
      <c r="H2397" s="150"/>
      <c r="I2397" s="15" t="s">
        <v>23</v>
      </c>
      <c r="J2397" s="15" t="s">
        <v>23</v>
      </c>
      <c r="K2397" s="13">
        <v>30.518644067796615</v>
      </c>
      <c r="L2397" s="13">
        <v>1794.8338983050849</v>
      </c>
      <c r="M2397" s="196" t="s">
        <v>421</v>
      </c>
      <c r="N2397" s="55">
        <f t="shared" si="211"/>
        <v>25.432203389830512</v>
      </c>
      <c r="O2397" s="55">
        <f t="shared" si="212"/>
        <v>1495.6949152542375</v>
      </c>
      <c r="P2397" s="121">
        <f t="shared" ref="P2397:P2409" si="213">$I$2393-N2397</f>
        <v>5.3177966101694878</v>
      </c>
      <c r="Q2397" s="57">
        <f t="shared" ref="Q2397:Q2409" si="214">$J$2393-O2397</f>
        <v>1667.4250847457624</v>
      </c>
    </row>
    <row r="2398" spans="1:20" ht="15" customHeight="1" outlineLevel="1" x14ac:dyDescent="0.25">
      <c r="A2398" s="148"/>
      <c r="B2398" s="148"/>
      <c r="C2398" s="148"/>
      <c r="D2398" s="138"/>
      <c r="E2398" s="138"/>
      <c r="F2398" s="50">
        <v>43647</v>
      </c>
      <c r="G2398" s="50">
        <v>43830</v>
      </c>
      <c r="H2398" s="150"/>
      <c r="I2398" s="15" t="s">
        <v>23</v>
      </c>
      <c r="J2398" s="15" t="s">
        <v>23</v>
      </c>
      <c r="K2398" s="13">
        <v>31.129016949152547</v>
      </c>
      <c r="L2398" s="13">
        <v>1830.7305762711867</v>
      </c>
      <c r="M2398" s="198"/>
      <c r="N2398" s="55">
        <f t="shared" si="211"/>
        <v>25.940847457627122</v>
      </c>
      <c r="O2398" s="55">
        <f t="shared" si="212"/>
        <v>1525.6088135593222</v>
      </c>
      <c r="P2398" s="121"/>
    </row>
    <row r="2399" spans="1:20" ht="15" customHeight="1" outlineLevel="1" x14ac:dyDescent="0.25">
      <c r="A2399" s="148"/>
      <c r="B2399" s="148"/>
      <c r="C2399" s="148"/>
      <c r="D2399" s="138"/>
      <c r="E2399" s="138"/>
      <c r="F2399" s="50">
        <v>43466</v>
      </c>
      <c r="G2399" s="50">
        <v>43646</v>
      </c>
      <c r="H2399" s="150"/>
      <c r="I2399" s="15" t="s">
        <v>23</v>
      </c>
      <c r="J2399" s="15" t="s">
        <v>23</v>
      </c>
      <c r="K2399" s="13">
        <v>30.518644067796615</v>
      </c>
      <c r="L2399" s="13">
        <v>1528.0372881355931</v>
      </c>
      <c r="M2399" s="196" t="s">
        <v>422</v>
      </c>
      <c r="N2399" s="55">
        <f t="shared" si="211"/>
        <v>25.432203389830512</v>
      </c>
      <c r="O2399" s="55">
        <f t="shared" si="212"/>
        <v>1273.3644067796611</v>
      </c>
      <c r="P2399" s="121">
        <f t="shared" si="213"/>
        <v>5.3177966101694878</v>
      </c>
      <c r="Q2399" s="57">
        <f t="shared" si="214"/>
        <v>1889.7555932203388</v>
      </c>
      <c r="R2399" s="57">
        <f>P2399*5.84</f>
        <v>31.055932203389808</v>
      </c>
      <c r="S2399" s="58">
        <f>Q2399*0.432</f>
        <v>816.37441627118642</v>
      </c>
      <c r="T2399" s="55">
        <f>R2399+S2399</f>
        <v>847.43034847457625</v>
      </c>
    </row>
    <row r="2400" spans="1:20" ht="15" customHeight="1" outlineLevel="1" x14ac:dyDescent="0.25">
      <c r="A2400" s="148"/>
      <c r="B2400" s="148"/>
      <c r="C2400" s="148"/>
      <c r="D2400" s="138"/>
      <c r="E2400" s="138"/>
      <c r="F2400" s="50">
        <v>43647</v>
      </c>
      <c r="G2400" s="50">
        <v>43830</v>
      </c>
      <c r="H2400" s="150"/>
      <c r="I2400" s="15" t="s">
        <v>23</v>
      </c>
      <c r="J2400" s="15" t="s">
        <v>23</v>
      </c>
      <c r="K2400" s="13">
        <v>31.129016949152547</v>
      </c>
      <c r="L2400" s="13">
        <v>1558.5980338983049</v>
      </c>
      <c r="M2400" s="198"/>
      <c r="N2400" s="55">
        <f t="shared" si="211"/>
        <v>25.940847457627122</v>
      </c>
      <c r="O2400" s="55">
        <f t="shared" si="212"/>
        <v>1298.8316949152543</v>
      </c>
      <c r="P2400" s="121"/>
    </row>
    <row r="2401" spans="1:20" ht="15" customHeight="1" outlineLevel="1" x14ac:dyDescent="0.25">
      <c r="A2401" s="148"/>
      <c r="B2401" s="148"/>
      <c r="C2401" s="148"/>
      <c r="D2401" s="138"/>
      <c r="E2401" s="138"/>
      <c r="F2401" s="50">
        <v>43466</v>
      </c>
      <c r="G2401" s="50">
        <v>43646</v>
      </c>
      <c r="H2401" s="150"/>
      <c r="I2401" s="15" t="s">
        <v>23</v>
      </c>
      <c r="J2401" s="15" t="s">
        <v>23</v>
      </c>
      <c r="K2401" s="13">
        <v>30.518644067796615</v>
      </c>
      <c r="L2401" s="13">
        <v>1638.762711864407</v>
      </c>
      <c r="M2401" s="196" t="s">
        <v>423</v>
      </c>
      <c r="N2401" s="55">
        <f t="shared" si="211"/>
        <v>25.432203389830512</v>
      </c>
      <c r="O2401" s="55">
        <f t="shared" si="212"/>
        <v>1365.6355932203392</v>
      </c>
      <c r="P2401" s="121">
        <f t="shared" si="213"/>
        <v>5.3177966101694878</v>
      </c>
      <c r="Q2401" s="57">
        <f t="shared" si="214"/>
        <v>1797.4844067796607</v>
      </c>
      <c r="R2401" s="57">
        <f>P2401*39.798</f>
        <v>211.63766949152529</v>
      </c>
      <c r="S2401" s="58">
        <f>Q2401*2.747</f>
        <v>4937.689665423728</v>
      </c>
      <c r="T2401" s="55">
        <f>R2401+S2401</f>
        <v>5149.3273349152532</v>
      </c>
    </row>
    <row r="2402" spans="1:20" ht="15" customHeight="1" outlineLevel="1" x14ac:dyDescent="0.25">
      <c r="A2402" s="148"/>
      <c r="B2402" s="148"/>
      <c r="C2402" s="148"/>
      <c r="D2402" s="138"/>
      <c r="E2402" s="138"/>
      <c r="F2402" s="50">
        <v>43647</v>
      </c>
      <c r="G2402" s="50">
        <v>43830</v>
      </c>
      <c r="H2402" s="150"/>
      <c r="I2402" s="15" t="s">
        <v>23</v>
      </c>
      <c r="J2402" s="15" t="s">
        <v>23</v>
      </c>
      <c r="K2402" s="13">
        <v>31.129016949152547</v>
      </c>
      <c r="L2402" s="13">
        <v>1671.5379661016952</v>
      </c>
      <c r="M2402" s="198"/>
      <c r="N2402" s="55">
        <f t="shared" si="211"/>
        <v>25.940847457627122</v>
      </c>
      <c r="O2402" s="55">
        <f t="shared" si="212"/>
        <v>1392.9483050847462</v>
      </c>
      <c r="P2402" s="121"/>
    </row>
    <row r="2403" spans="1:20" ht="15" customHeight="1" outlineLevel="1" x14ac:dyDescent="0.25">
      <c r="A2403" s="148"/>
      <c r="B2403" s="148"/>
      <c r="C2403" s="148"/>
      <c r="D2403" s="138"/>
      <c r="E2403" s="138"/>
      <c r="F2403" s="50">
        <v>43466</v>
      </c>
      <c r="G2403" s="50">
        <v>43646</v>
      </c>
      <c r="H2403" s="150"/>
      <c r="I2403" s="15" t="s">
        <v>23</v>
      </c>
      <c r="J2403" s="15" t="s">
        <v>23</v>
      </c>
      <c r="K2403" s="13">
        <v>30.518644067796615</v>
      </c>
      <c r="L2403" s="13">
        <v>1713.2542372881358</v>
      </c>
      <c r="M2403" s="196" t="s">
        <v>424</v>
      </c>
      <c r="N2403" s="55">
        <f t="shared" si="211"/>
        <v>25.432203389830512</v>
      </c>
      <c r="O2403" s="55">
        <f t="shared" si="212"/>
        <v>1427.7118644067798</v>
      </c>
      <c r="P2403" s="121">
        <f t="shared" si="213"/>
        <v>5.3177966101694878</v>
      </c>
      <c r="Q2403" s="57">
        <f t="shared" si="214"/>
        <v>1735.4081355932201</v>
      </c>
    </row>
    <row r="2404" spans="1:20" ht="15" customHeight="1" outlineLevel="1" x14ac:dyDescent="0.25">
      <c r="A2404" s="148"/>
      <c r="B2404" s="148"/>
      <c r="C2404" s="148"/>
      <c r="D2404" s="138"/>
      <c r="E2404" s="138"/>
      <c r="F2404" s="50">
        <v>43647</v>
      </c>
      <c r="G2404" s="50">
        <v>43830</v>
      </c>
      <c r="H2404" s="150"/>
      <c r="I2404" s="15" t="s">
        <v>23</v>
      </c>
      <c r="J2404" s="15" t="s">
        <v>23</v>
      </c>
      <c r="K2404" s="13">
        <v>31.129016949152547</v>
      </c>
      <c r="L2404" s="13">
        <v>1747.5193220338986</v>
      </c>
      <c r="M2404" s="198"/>
      <c r="N2404" s="55">
        <f t="shared" si="211"/>
        <v>25.940847457627122</v>
      </c>
      <c r="O2404" s="55">
        <f t="shared" si="212"/>
        <v>1456.2661016949155</v>
      </c>
      <c r="P2404" s="121"/>
    </row>
    <row r="2405" spans="1:20" ht="15" customHeight="1" outlineLevel="1" x14ac:dyDescent="0.25">
      <c r="A2405" s="148"/>
      <c r="B2405" s="148"/>
      <c r="C2405" s="148"/>
      <c r="D2405" s="138"/>
      <c r="E2405" s="138"/>
      <c r="F2405" s="50">
        <v>43466</v>
      </c>
      <c r="G2405" s="50">
        <v>43646</v>
      </c>
      <c r="H2405" s="150"/>
      <c r="I2405" s="15" t="s">
        <v>23</v>
      </c>
      <c r="J2405" s="15" t="s">
        <v>23</v>
      </c>
      <c r="K2405" s="13">
        <v>30.518644067796615</v>
      </c>
      <c r="L2405" s="13">
        <v>1853.6847457627118</v>
      </c>
      <c r="M2405" s="196" t="s">
        <v>425</v>
      </c>
      <c r="N2405" s="55">
        <f t="shared" si="211"/>
        <v>25.432203389830512</v>
      </c>
      <c r="O2405" s="55">
        <f t="shared" si="212"/>
        <v>1544.7372881355932</v>
      </c>
      <c r="P2405" s="121">
        <f t="shared" si="213"/>
        <v>5.3177966101694878</v>
      </c>
      <c r="Q2405" s="57">
        <f t="shared" si="214"/>
        <v>1618.3827118644067</v>
      </c>
    </row>
    <row r="2406" spans="1:20" ht="15" customHeight="1" outlineLevel="1" x14ac:dyDescent="0.25">
      <c r="A2406" s="148"/>
      <c r="B2406" s="148"/>
      <c r="C2406" s="148"/>
      <c r="D2406" s="138"/>
      <c r="E2406" s="138"/>
      <c r="F2406" s="50">
        <v>43647</v>
      </c>
      <c r="G2406" s="50">
        <v>43830</v>
      </c>
      <c r="H2406" s="150"/>
      <c r="I2406" s="15" t="s">
        <v>23</v>
      </c>
      <c r="J2406" s="15" t="s">
        <v>23</v>
      </c>
      <c r="K2406" s="13">
        <v>31.129016949152547</v>
      </c>
      <c r="L2406" s="13">
        <v>1890.7584406779661</v>
      </c>
      <c r="M2406" s="198"/>
      <c r="N2406" s="55">
        <f t="shared" si="211"/>
        <v>25.940847457627122</v>
      </c>
      <c r="O2406" s="55">
        <f t="shared" si="212"/>
        <v>1575.6320338983051</v>
      </c>
      <c r="P2406" s="121"/>
    </row>
    <row r="2407" spans="1:20" ht="15" customHeight="1" outlineLevel="1" x14ac:dyDescent="0.25">
      <c r="A2407" s="148"/>
      <c r="B2407" s="148"/>
      <c r="C2407" s="148"/>
      <c r="D2407" s="138"/>
      <c r="E2407" s="138"/>
      <c r="F2407" s="50">
        <v>43466</v>
      </c>
      <c r="G2407" s="50">
        <v>43646</v>
      </c>
      <c r="H2407" s="150"/>
      <c r="I2407" s="15" t="s">
        <v>23</v>
      </c>
      <c r="J2407" s="15" t="s">
        <v>23</v>
      </c>
      <c r="K2407" s="13">
        <v>30.518644067796615</v>
      </c>
      <c r="L2407" s="13">
        <v>1570.4847457627118</v>
      </c>
      <c r="M2407" s="196" t="s">
        <v>426</v>
      </c>
      <c r="N2407" s="55">
        <f t="shared" si="211"/>
        <v>25.432203389830512</v>
      </c>
      <c r="O2407" s="55">
        <f t="shared" si="212"/>
        <v>1308.7372881355932</v>
      </c>
      <c r="P2407" s="121">
        <f t="shared" si="213"/>
        <v>5.3177966101694878</v>
      </c>
      <c r="Q2407" s="57">
        <f t="shared" si="214"/>
        <v>1854.3827118644067</v>
      </c>
      <c r="R2407" s="57">
        <f>P2407*15131.989</f>
        <v>80468.839809321973</v>
      </c>
      <c r="S2407" s="58">
        <f>Q2407*1089.504</f>
        <v>2020357.3821071184</v>
      </c>
      <c r="T2407" s="55">
        <f>R2407+S2407</f>
        <v>2100826.2219164404</v>
      </c>
    </row>
    <row r="2408" spans="1:20" ht="15" customHeight="1" outlineLevel="1" x14ac:dyDescent="0.25">
      <c r="A2408" s="148"/>
      <c r="B2408" s="148"/>
      <c r="C2408" s="148"/>
      <c r="D2408" s="138"/>
      <c r="E2408" s="138"/>
      <c r="F2408" s="50">
        <v>43647</v>
      </c>
      <c r="G2408" s="50">
        <v>43830</v>
      </c>
      <c r="H2408" s="150"/>
      <c r="I2408" s="15" t="s">
        <v>23</v>
      </c>
      <c r="J2408" s="15" t="s">
        <v>23</v>
      </c>
      <c r="K2408" s="13">
        <v>31.129016949152547</v>
      </c>
      <c r="L2408" s="13">
        <v>1601.894440677966</v>
      </c>
      <c r="M2408" s="198"/>
      <c r="N2408" s="55">
        <f t="shared" si="211"/>
        <v>25.940847457627122</v>
      </c>
      <c r="O2408" s="55">
        <f t="shared" si="212"/>
        <v>1334.912033898305</v>
      </c>
      <c r="P2408" s="121"/>
    </row>
    <row r="2409" spans="1:20" ht="15" customHeight="1" outlineLevel="1" x14ac:dyDescent="0.25">
      <c r="A2409" s="148"/>
      <c r="B2409" s="148"/>
      <c r="C2409" s="148"/>
      <c r="D2409" s="138"/>
      <c r="E2409" s="138"/>
      <c r="F2409" s="50">
        <v>43466</v>
      </c>
      <c r="G2409" s="50">
        <v>43646</v>
      </c>
      <c r="H2409" s="150"/>
      <c r="I2409" s="15" t="s">
        <v>23</v>
      </c>
      <c r="J2409" s="15" t="s">
        <v>23</v>
      </c>
      <c r="K2409" s="13">
        <v>30.518644067796615</v>
      </c>
      <c r="L2409" s="13">
        <v>1713.2542372881358</v>
      </c>
      <c r="M2409" s="196" t="s">
        <v>427</v>
      </c>
      <c r="N2409" s="55">
        <f t="shared" si="211"/>
        <v>25.432203389830512</v>
      </c>
      <c r="O2409" s="55">
        <f t="shared" si="212"/>
        <v>1427.7118644067798</v>
      </c>
      <c r="P2409" s="121">
        <f t="shared" si="213"/>
        <v>5.3177966101694878</v>
      </c>
      <c r="Q2409" s="57">
        <f t="shared" si="214"/>
        <v>1735.4081355932201</v>
      </c>
      <c r="R2409" s="57">
        <f>P2409*18694.059</f>
        <v>99411.203580508416</v>
      </c>
      <c r="S2409" s="58">
        <f>Q2409*1233.803</f>
        <v>2141151.7639193218</v>
      </c>
      <c r="T2409" s="55">
        <f>R2409+S2409</f>
        <v>2240562.9674998303</v>
      </c>
    </row>
    <row r="2410" spans="1:20" ht="15" customHeight="1" outlineLevel="1" x14ac:dyDescent="0.25">
      <c r="A2410" s="147"/>
      <c r="B2410" s="147"/>
      <c r="C2410" s="147"/>
      <c r="D2410" s="141"/>
      <c r="E2410" s="141"/>
      <c r="F2410" s="50">
        <v>43647</v>
      </c>
      <c r="G2410" s="50">
        <v>43830</v>
      </c>
      <c r="H2410" s="151"/>
      <c r="I2410" s="15" t="s">
        <v>23</v>
      </c>
      <c r="J2410" s="15" t="s">
        <v>23</v>
      </c>
      <c r="K2410" s="13">
        <v>31.129016949152547</v>
      </c>
      <c r="L2410" s="13">
        <v>1747.5193220338986</v>
      </c>
      <c r="M2410" s="198"/>
      <c r="N2410" s="55">
        <f t="shared" si="211"/>
        <v>25.940847457627122</v>
      </c>
      <c r="O2410" s="55">
        <f t="shared" si="212"/>
        <v>1456.2661016949155</v>
      </c>
      <c r="P2410" s="121"/>
    </row>
    <row r="2411" spans="1:20" ht="15" customHeight="1" outlineLevel="1" x14ac:dyDescent="0.25">
      <c r="A2411" s="146" t="s">
        <v>57</v>
      </c>
      <c r="B2411" s="146" t="s">
        <v>360</v>
      </c>
      <c r="C2411" s="146" t="s">
        <v>357</v>
      </c>
      <c r="D2411" s="137">
        <v>43454</v>
      </c>
      <c r="E2411" s="137" t="s">
        <v>721</v>
      </c>
      <c r="F2411" s="12">
        <v>43466</v>
      </c>
      <c r="G2411" s="12">
        <v>43646</v>
      </c>
      <c r="H2411" s="149"/>
      <c r="I2411" s="66">
        <v>32.42</v>
      </c>
      <c r="J2411" s="13">
        <v>2940</v>
      </c>
      <c r="K2411" s="119" t="s">
        <v>23</v>
      </c>
      <c r="L2411" s="119" t="s">
        <v>23</v>
      </c>
      <c r="M2411" s="153"/>
    </row>
    <row r="2412" spans="1:20" ht="15" customHeight="1" outlineLevel="1" x14ac:dyDescent="0.25">
      <c r="A2412" s="148"/>
      <c r="B2412" s="148"/>
      <c r="C2412" s="148"/>
      <c r="D2412" s="141"/>
      <c r="E2412" s="141"/>
      <c r="F2412" s="12">
        <v>43647</v>
      </c>
      <c r="G2412" s="12">
        <v>43830</v>
      </c>
      <c r="H2412" s="151"/>
      <c r="I2412" s="66">
        <v>25.58</v>
      </c>
      <c r="J2412" s="13">
        <v>2987.71</v>
      </c>
      <c r="K2412" s="119" t="s">
        <v>23</v>
      </c>
      <c r="L2412" s="119" t="s">
        <v>23</v>
      </c>
      <c r="M2412" s="152"/>
    </row>
    <row r="2413" spans="1:20" ht="15" customHeight="1" outlineLevel="1" x14ac:dyDescent="0.25">
      <c r="A2413" s="148"/>
      <c r="B2413" s="148"/>
      <c r="C2413" s="148"/>
      <c r="D2413" s="137">
        <f>D2377</f>
        <v>43454</v>
      </c>
      <c r="E2413" s="137" t="str">
        <f>E2377</f>
        <v>678-п</v>
      </c>
      <c r="F2413" s="50">
        <v>43466</v>
      </c>
      <c r="G2413" s="50">
        <v>43646</v>
      </c>
      <c r="H2413" s="149"/>
      <c r="I2413" s="119" t="s">
        <v>23</v>
      </c>
      <c r="J2413" s="119" t="s">
        <v>23</v>
      </c>
      <c r="K2413" s="13">
        <v>16.14</v>
      </c>
      <c r="L2413" s="13">
        <v>2190.8644067796608</v>
      </c>
      <c r="M2413" s="196" t="s">
        <v>420</v>
      </c>
    </row>
    <row r="2414" spans="1:20" ht="15" customHeight="1" outlineLevel="1" x14ac:dyDescent="0.25">
      <c r="A2414" s="148"/>
      <c r="B2414" s="148"/>
      <c r="C2414" s="148"/>
      <c r="D2414" s="138"/>
      <c r="E2414" s="138"/>
      <c r="F2414" s="50">
        <v>43647</v>
      </c>
      <c r="G2414" s="50">
        <v>43830</v>
      </c>
      <c r="H2414" s="150"/>
      <c r="I2414" s="119" t="s">
        <v>23</v>
      </c>
      <c r="J2414" s="119" t="s">
        <v>23</v>
      </c>
      <c r="K2414" s="13">
        <v>16.46</v>
      </c>
      <c r="L2414" s="13">
        <v>2234.681694915254</v>
      </c>
      <c r="M2414" s="198"/>
    </row>
    <row r="2415" spans="1:20" ht="15" customHeight="1" outlineLevel="1" x14ac:dyDescent="0.25">
      <c r="A2415" s="148"/>
      <c r="B2415" s="148"/>
      <c r="C2415" s="148"/>
      <c r="D2415" s="138"/>
      <c r="E2415" s="138"/>
      <c r="F2415" s="50">
        <v>43466</v>
      </c>
      <c r="G2415" s="50">
        <v>43646</v>
      </c>
      <c r="H2415" s="150"/>
      <c r="I2415" s="119" t="s">
        <v>23</v>
      </c>
      <c r="J2415" s="119" t="s">
        <v>23</v>
      </c>
      <c r="K2415" s="13">
        <v>16.14</v>
      </c>
      <c r="L2415" s="13">
        <v>2399.5118644067798</v>
      </c>
      <c r="M2415" s="196" t="s">
        <v>421</v>
      </c>
    </row>
    <row r="2416" spans="1:20" ht="15" customHeight="1" outlineLevel="1" x14ac:dyDescent="0.25">
      <c r="A2416" s="148"/>
      <c r="B2416" s="148"/>
      <c r="C2416" s="148"/>
      <c r="D2416" s="138"/>
      <c r="E2416" s="138"/>
      <c r="F2416" s="50">
        <v>43647</v>
      </c>
      <c r="G2416" s="50">
        <v>43830</v>
      </c>
      <c r="H2416" s="150"/>
      <c r="I2416" s="119" t="s">
        <v>23</v>
      </c>
      <c r="J2416" s="119" t="s">
        <v>23</v>
      </c>
      <c r="K2416" s="13">
        <v>16.46</v>
      </c>
      <c r="L2416" s="13">
        <v>2447.5021016949154</v>
      </c>
      <c r="M2416" s="198"/>
    </row>
    <row r="2417" spans="1:21" ht="15" customHeight="1" outlineLevel="1" x14ac:dyDescent="0.25">
      <c r="A2417" s="148"/>
      <c r="B2417" s="148"/>
      <c r="C2417" s="148"/>
      <c r="D2417" s="138"/>
      <c r="E2417" s="138"/>
      <c r="F2417" s="50">
        <v>43466</v>
      </c>
      <c r="G2417" s="50">
        <v>43646</v>
      </c>
      <c r="H2417" s="150"/>
      <c r="I2417" s="119" t="s">
        <v>23</v>
      </c>
      <c r="J2417" s="119" t="s">
        <v>23</v>
      </c>
      <c r="K2417" s="13">
        <v>16.14</v>
      </c>
      <c r="L2417" s="13">
        <v>2042.8271186440677</v>
      </c>
      <c r="M2417" s="196" t="s">
        <v>422</v>
      </c>
    </row>
    <row r="2418" spans="1:21" ht="15" customHeight="1" outlineLevel="1" x14ac:dyDescent="0.25">
      <c r="A2418" s="148"/>
      <c r="B2418" s="148"/>
      <c r="C2418" s="148"/>
      <c r="D2418" s="138"/>
      <c r="E2418" s="138"/>
      <c r="F2418" s="50">
        <v>43647</v>
      </c>
      <c r="G2418" s="50">
        <v>43830</v>
      </c>
      <c r="H2418" s="150"/>
      <c r="I2418" s="119" t="s">
        <v>23</v>
      </c>
      <c r="J2418" s="119" t="s">
        <v>23</v>
      </c>
      <c r="K2418" s="13">
        <v>16.46</v>
      </c>
      <c r="L2418" s="13">
        <v>2083.6836610169489</v>
      </c>
      <c r="M2418" s="198"/>
    </row>
    <row r="2419" spans="1:21" ht="15" customHeight="1" outlineLevel="1" x14ac:dyDescent="0.25">
      <c r="A2419" s="148"/>
      <c r="B2419" s="148"/>
      <c r="C2419" s="148"/>
      <c r="D2419" s="138"/>
      <c r="E2419" s="138"/>
      <c r="F2419" s="50">
        <v>43466</v>
      </c>
      <c r="G2419" s="50">
        <v>43646</v>
      </c>
      <c r="H2419" s="150"/>
      <c r="I2419" s="119" t="s">
        <v>23</v>
      </c>
      <c r="J2419" s="119" t="s">
        <v>23</v>
      </c>
      <c r="K2419" s="13">
        <v>16.14</v>
      </c>
      <c r="L2419" s="13">
        <v>2190.8644067796608</v>
      </c>
      <c r="M2419" s="196" t="s">
        <v>423</v>
      </c>
    </row>
    <row r="2420" spans="1:21" ht="15" customHeight="1" outlineLevel="1" x14ac:dyDescent="0.25">
      <c r="A2420" s="148"/>
      <c r="B2420" s="148"/>
      <c r="C2420" s="148"/>
      <c r="D2420" s="138"/>
      <c r="E2420" s="138"/>
      <c r="F2420" s="50">
        <v>43647</v>
      </c>
      <c r="G2420" s="50">
        <v>43830</v>
      </c>
      <c r="H2420" s="150"/>
      <c r="I2420" s="119" t="s">
        <v>23</v>
      </c>
      <c r="J2420" s="119" t="s">
        <v>23</v>
      </c>
      <c r="K2420" s="13">
        <v>16.46</v>
      </c>
      <c r="L2420" s="13">
        <v>2234.681694915254</v>
      </c>
      <c r="M2420" s="198"/>
    </row>
    <row r="2421" spans="1:21" ht="15" customHeight="1" outlineLevel="1" x14ac:dyDescent="0.25">
      <c r="A2421" s="148"/>
      <c r="B2421" s="148"/>
      <c r="C2421" s="148"/>
      <c r="D2421" s="138"/>
      <c r="E2421" s="138"/>
      <c r="F2421" s="50">
        <v>43466</v>
      </c>
      <c r="G2421" s="50">
        <v>43646</v>
      </c>
      <c r="H2421" s="150"/>
      <c r="I2421" s="119" t="s">
        <v>23</v>
      </c>
      <c r="J2421" s="119" t="s">
        <v>23</v>
      </c>
      <c r="K2421" s="13">
        <v>16.14</v>
      </c>
      <c r="L2421" s="13">
        <v>2290.4440677966099</v>
      </c>
      <c r="M2421" s="196" t="s">
        <v>424</v>
      </c>
    </row>
    <row r="2422" spans="1:21" ht="15" customHeight="1" outlineLevel="1" x14ac:dyDescent="0.25">
      <c r="A2422" s="148"/>
      <c r="B2422" s="148"/>
      <c r="C2422" s="148"/>
      <c r="D2422" s="138"/>
      <c r="E2422" s="138"/>
      <c r="F2422" s="50">
        <v>43647</v>
      </c>
      <c r="G2422" s="50">
        <v>43830</v>
      </c>
      <c r="H2422" s="150"/>
      <c r="I2422" s="119" t="s">
        <v>23</v>
      </c>
      <c r="J2422" s="119" t="s">
        <v>23</v>
      </c>
      <c r="K2422" s="13">
        <v>16.46</v>
      </c>
      <c r="L2422" s="13">
        <v>2336.252949152542</v>
      </c>
      <c r="M2422" s="198"/>
    </row>
    <row r="2423" spans="1:21" ht="15" customHeight="1" outlineLevel="1" x14ac:dyDescent="0.25">
      <c r="A2423" s="148"/>
      <c r="B2423" s="148"/>
      <c r="C2423" s="148"/>
      <c r="D2423" s="138"/>
      <c r="E2423" s="138"/>
      <c r="F2423" s="50">
        <v>43466</v>
      </c>
      <c r="G2423" s="50">
        <v>43646</v>
      </c>
      <c r="H2423" s="150"/>
      <c r="I2423" s="119" t="s">
        <v>23</v>
      </c>
      <c r="J2423" s="119" t="s">
        <v>23</v>
      </c>
      <c r="K2423" s="13">
        <v>16.14</v>
      </c>
      <c r="L2423" s="13">
        <v>2478.1932203389829</v>
      </c>
      <c r="M2423" s="196" t="s">
        <v>425</v>
      </c>
      <c r="N2423" s="55">
        <f>K2423/1.2</f>
        <v>13.450000000000001</v>
      </c>
      <c r="O2423" s="55">
        <f>L2423/1.2</f>
        <v>2065.1610169491523</v>
      </c>
      <c r="P2423" s="122">
        <f>I2411-N2423</f>
        <v>18.97</v>
      </c>
      <c r="Q2423" s="57">
        <f>J2411-O2423</f>
        <v>874.83898305084767</v>
      </c>
      <c r="R2423" s="57">
        <f>P2423*283.824</f>
        <v>5384.1412799999998</v>
      </c>
      <c r="S2423" s="58">
        <f>Q2423*18.732</f>
        <v>16387.483830508478</v>
      </c>
      <c r="T2423" s="55">
        <f>R2423+S2423</f>
        <v>21771.625110508478</v>
      </c>
      <c r="U2423" s="122">
        <f>T2423+1107975.82</f>
        <v>1129747.4451105085</v>
      </c>
    </row>
    <row r="2424" spans="1:21" ht="15" customHeight="1" outlineLevel="1" x14ac:dyDescent="0.25">
      <c r="A2424" s="148"/>
      <c r="B2424" s="148"/>
      <c r="C2424" s="148"/>
      <c r="D2424" s="138"/>
      <c r="E2424" s="138"/>
      <c r="F2424" s="50">
        <v>43647</v>
      </c>
      <c r="G2424" s="50">
        <v>43830</v>
      </c>
      <c r="H2424" s="150"/>
      <c r="I2424" s="119" t="s">
        <v>23</v>
      </c>
      <c r="J2424" s="119" t="s">
        <v>23</v>
      </c>
      <c r="K2424" s="13">
        <v>16.46</v>
      </c>
      <c r="L2424" s="13">
        <v>2527.7570847457628</v>
      </c>
      <c r="M2424" s="198"/>
    </row>
    <row r="2425" spans="1:21" ht="15" customHeight="1" outlineLevel="1" x14ac:dyDescent="0.25">
      <c r="A2425" s="148"/>
      <c r="B2425" s="148"/>
      <c r="C2425" s="148"/>
      <c r="D2425" s="138"/>
      <c r="E2425" s="138"/>
      <c r="F2425" s="50">
        <v>43466</v>
      </c>
      <c r="G2425" s="50">
        <v>43646</v>
      </c>
      <c r="H2425" s="150"/>
      <c r="I2425" s="119" t="s">
        <v>23</v>
      </c>
      <c r="J2425" s="119" t="s">
        <v>23</v>
      </c>
      <c r="K2425" s="13">
        <v>16.14</v>
      </c>
      <c r="L2425" s="13">
        <v>2099.5728813559322</v>
      </c>
      <c r="M2425" s="196" t="s">
        <v>426</v>
      </c>
      <c r="N2425" s="55">
        <f>K2425/1.2</f>
        <v>13.450000000000001</v>
      </c>
      <c r="O2425" s="55">
        <f>L2425/1.2</f>
        <v>1749.6440677966102</v>
      </c>
      <c r="P2425" s="121">
        <f>I2411-N2425</f>
        <v>18.97</v>
      </c>
      <c r="Q2425" s="57">
        <f>J2411-O2425</f>
        <v>1190.3559322033898</v>
      </c>
      <c r="R2425" s="57">
        <f>P2425*10584.825</f>
        <v>200794.13024999999</v>
      </c>
      <c r="S2425" s="58">
        <f>Q2425*762.107</f>
        <v>907178.58842372871</v>
      </c>
      <c r="T2425" s="55">
        <f>R2425+S2425</f>
        <v>1107972.7186737286</v>
      </c>
    </row>
    <row r="2426" spans="1:21" ht="15" customHeight="1" outlineLevel="1" x14ac:dyDescent="0.25">
      <c r="A2426" s="148"/>
      <c r="B2426" s="148"/>
      <c r="C2426" s="148"/>
      <c r="D2426" s="138"/>
      <c r="E2426" s="138"/>
      <c r="F2426" s="50">
        <v>43647</v>
      </c>
      <c r="G2426" s="50">
        <v>43830</v>
      </c>
      <c r="H2426" s="150"/>
      <c r="I2426" s="119" t="s">
        <v>23</v>
      </c>
      <c r="J2426" s="119" t="s">
        <v>23</v>
      </c>
      <c r="K2426" s="13">
        <v>16.46</v>
      </c>
      <c r="L2426" s="13">
        <v>2141.5643389830507</v>
      </c>
      <c r="M2426" s="198"/>
    </row>
    <row r="2427" spans="1:21" ht="15" customHeight="1" outlineLevel="1" x14ac:dyDescent="0.25">
      <c r="A2427" s="148"/>
      <c r="B2427" s="148"/>
      <c r="C2427" s="148"/>
      <c r="D2427" s="138"/>
      <c r="E2427" s="138"/>
      <c r="F2427" s="50">
        <v>43466</v>
      </c>
      <c r="G2427" s="50">
        <v>43646</v>
      </c>
      <c r="H2427" s="150"/>
      <c r="I2427" s="119" t="s">
        <v>23</v>
      </c>
      <c r="J2427" s="119" t="s">
        <v>23</v>
      </c>
      <c r="K2427" s="13">
        <v>16.14</v>
      </c>
      <c r="L2427" s="13">
        <v>2290.4440677966099</v>
      </c>
      <c r="M2427" s="196" t="s">
        <v>427</v>
      </c>
      <c r="N2427" s="55">
        <f>K2427/1.2</f>
        <v>13.450000000000001</v>
      </c>
      <c r="O2427" s="55">
        <f>L2427/1.2</f>
        <v>1908.7033898305083</v>
      </c>
      <c r="P2427" s="121">
        <f>I2411-N2427</f>
        <v>18.97</v>
      </c>
      <c r="Q2427" s="57">
        <f>J2411-O2427</f>
        <v>1031.2966101694917</v>
      </c>
      <c r="R2427" s="57">
        <f>P2427*283.824</f>
        <v>5384.1412799999998</v>
      </c>
      <c r="S2427" s="58">
        <f>Q2427*18.732</f>
        <v>19318.248101694917</v>
      </c>
      <c r="T2427" s="55">
        <f>R2427+S2427</f>
        <v>24702.389381694917</v>
      </c>
    </row>
    <row r="2428" spans="1:21" ht="15" customHeight="1" outlineLevel="1" x14ac:dyDescent="0.25">
      <c r="A2428" s="147"/>
      <c r="B2428" s="147"/>
      <c r="C2428" s="147"/>
      <c r="D2428" s="141"/>
      <c r="E2428" s="141"/>
      <c r="F2428" s="50">
        <v>43647</v>
      </c>
      <c r="G2428" s="50">
        <v>43830</v>
      </c>
      <c r="H2428" s="151"/>
      <c r="I2428" s="119" t="s">
        <v>23</v>
      </c>
      <c r="J2428" s="119" t="s">
        <v>23</v>
      </c>
      <c r="K2428" s="13">
        <v>16.46</v>
      </c>
      <c r="L2428" s="13">
        <v>2336.252949152542</v>
      </c>
      <c r="M2428" s="198"/>
    </row>
    <row r="2429" spans="1:21" ht="15" customHeight="1" outlineLevel="1" x14ac:dyDescent="0.25">
      <c r="A2429" s="146" t="s">
        <v>57</v>
      </c>
      <c r="B2429" s="146" t="s">
        <v>82</v>
      </c>
      <c r="C2429" s="146" t="s">
        <v>86</v>
      </c>
      <c r="D2429" s="156">
        <v>43453</v>
      </c>
      <c r="E2429" s="137" t="s">
        <v>715</v>
      </c>
      <c r="F2429" s="12">
        <v>43466</v>
      </c>
      <c r="G2429" s="12">
        <v>43646</v>
      </c>
      <c r="H2429" s="149"/>
      <c r="I2429" s="66" t="s">
        <v>825</v>
      </c>
      <c r="J2429" s="13">
        <v>3146.15</v>
      </c>
      <c r="K2429" s="119" t="s">
        <v>23</v>
      </c>
      <c r="L2429" s="119" t="s">
        <v>23</v>
      </c>
      <c r="M2429" s="153"/>
    </row>
    <row r="2430" spans="1:21" ht="15" customHeight="1" outlineLevel="1" x14ac:dyDescent="0.25">
      <c r="A2430" s="148"/>
      <c r="B2430" s="148"/>
      <c r="C2430" s="148"/>
      <c r="D2430" s="156"/>
      <c r="E2430" s="141"/>
      <c r="F2430" s="12">
        <v>43647</v>
      </c>
      <c r="G2430" s="12">
        <v>43830</v>
      </c>
      <c r="H2430" s="151"/>
      <c r="I2430" s="66">
        <v>25.58</v>
      </c>
      <c r="J2430" s="13">
        <v>3303.4069610678416</v>
      </c>
      <c r="K2430" s="119" t="s">
        <v>23</v>
      </c>
      <c r="L2430" s="119" t="s">
        <v>23</v>
      </c>
      <c r="M2430" s="152"/>
    </row>
    <row r="2431" spans="1:21" ht="15" customHeight="1" outlineLevel="1" x14ac:dyDescent="0.25">
      <c r="A2431" s="148"/>
      <c r="B2431" s="148"/>
      <c r="C2431" s="148"/>
      <c r="D2431" s="137">
        <f>D2413</f>
        <v>43454</v>
      </c>
      <c r="E2431" s="137" t="str">
        <f>E2413</f>
        <v>678-п</v>
      </c>
      <c r="F2431" s="50">
        <v>43466</v>
      </c>
      <c r="G2431" s="50">
        <v>43646</v>
      </c>
      <c r="H2431" s="149"/>
      <c r="I2431" s="119" t="s">
        <v>23</v>
      </c>
      <c r="J2431" s="119" t="s">
        <v>23</v>
      </c>
      <c r="K2431" s="13">
        <v>16.170000000000002</v>
      </c>
      <c r="L2431" s="13">
        <v>2194.84</v>
      </c>
      <c r="M2431" s="196" t="s">
        <v>420</v>
      </c>
    </row>
    <row r="2432" spans="1:21" ht="15" customHeight="1" outlineLevel="1" x14ac:dyDescent="0.25">
      <c r="A2432" s="148"/>
      <c r="B2432" s="148"/>
      <c r="C2432" s="148"/>
      <c r="D2432" s="138"/>
      <c r="E2432" s="138"/>
      <c r="F2432" s="50">
        <v>43647</v>
      </c>
      <c r="G2432" s="50">
        <v>43830</v>
      </c>
      <c r="H2432" s="150"/>
      <c r="I2432" s="119" t="s">
        <v>23</v>
      </c>
      <c r="J2432" s="119" t="s">
        <v>23</v>
      </c>
      <c r="K2432" s="13">
        <v>16.489999999999998</v>
      </c>
      <c r="L2432" s="13">
        <v>2238.7399999999998</v>
      </c>
      <c r="M2432" s="198"/>
    </row>
    <row r="2433" spans="1:13" ht="15" customHeight="1" outlineLevel="1" x14ac:dyDescent="0.25">
      <c r="A2433" s="148"/>
      <c r="B2433" s="148"/>
      <c r="C2433" s="148"/>
      <c r="D2433" s="138"/>
      <c r="E2433" s="138"/>
      <c r="F2433" s="50">
        <v>43466</v>
      </c>
      <c r="G2433" s="50">
        <v>43646</v>
      </c>
      <c r="H2433" s="150"/>
      <c r="I2433" s="119" t="s">
        <v>23</v>
      </c>
      <c r="J2433" s="119" t="s">
        <v>23</v>
      </c>
      <c r="K2433" s="13">
        <v>16.170000000000002</v>
      </c>
      <c r="L2433" s="13">
        <v>2403.87</v>
      </c>
      <c r="M2433" s="196" t="s">
        <v>421</v>
      </c>
    </row>
    <row r="2434" spans="1:13" ht="15" customHeight="1" outlineLevel="1" x14ac:dyDescent="0.25">
      <c r="A2434" s="148"/>
      <c r="B2434" s="148"/>
      <c r="C2434" s="148"/>
      <c r="D2434" s="138"/>
      <c r="E2434" s="138"/>
      <c r="F2434" s="50">
        <v>43647</v>
      </c>
      <c r="G2434" s="50">
        <v>43830</v>
      </c>
      <c r="H2434" s="150"/>
      <c r="I2434" s="119" t="s">
        <v>23</v>
      </c>
      <c r="J2434" s="119" t="s">
        <v>23</v>
      </c>
      <c r="K2434" s="13">
        <v>16.489999999999998</v>
      </c>
      <c r="L2434" s="13">
        <v>2451.9499999999998</v>
      </c>
      <c r="M2434" s="198"/>
    </row>
    <row r="2435" spans="1:13" ht="15" customHeight="1" outlineLevel="1" x14ac:dyDescent="0.25">
      <c r="A2435" s="148"/>
      <c r="B2435" s="148"/>
      <c r="C2435" s="148"/>
      <c r="D2435" s="138"/>
      <c r="E2435" s="138"/>
      <c r="F2435" s="50">
        <v>43466</v>
      </c>
      <c r="G2435" s="50">
        <v>43646</v>
      </c>
      <c r="H2435" s="150"/>
      <c r="I2435" s="119" t="s">
        <v>23</v>
      </c>
      <c r="J2435" s="119" t="s">
        <v>23</v>
      </c>
      <c r="K2435" s="13">
        <v>16.170000000000002</v>
      </c>
      <c r="L2435" s="13">
        <v>2046.54</v>
      </c>
      <c r="M2435" s="196" t="s">
        <v>422</v>
      </c>
    </row>
    <row r="2436" spans="1:13" ht="15" customHeight="1" outlineLevel="1" x14ac:dyDescent="0.25">
      <c r="A2436" s="148"/>
      <c r="B2436" s="148"/>
      <c r="C2436" s="148"/>
      <c r="D2436" s="138"/>
      <c r="E2436" s="138"/>
      <c r="F2436" s="50">
        <v>43647</v>
      </c>
      <c r="G2436" s="50">
        <v>43830</v>
      </c>
      <c r="H2436" s="150"/>
      <c r="I2436" s="119" t="s">
        <v>23</v>
      </c>
      <c r="J2436" s="119" t="s">
        <v>23</v>
      </c>
      <c r="K2436" s="13">
        <v>16.489999999999998</v>
      </c>
      <c r="L2436" s="13">
        <v>2087.4499999999998</v>
      </c>
      <c r="M2436" s="198"/>
    </row>
    <row r="2437" spans="1:13" ht="15" customHeight="1" outlineLevel="1" x14ac:dyDescent="0.25">
      <c r="A2437" s="148"/>
      <c r="B2437" s="148"/>
      <c r="C2437" s="148"/>
      <c r="D2437" s="138"/>
      <c r="E2437" s="138"/>
      <c r="F2437" s="50">
        <v>43466</v>
      </c>
      <c r="G2437" s="50">
        <v>43646</v>
      </c>
      <c r="H2437" s="150"/>
      <c r="I2437" s="119" t="s">
        <v>23</v>
      </c>
      <c r="J2437" s="119" t="s">
        <v>23</v>
      </c>
      <c r="K2437" s="13">
        <v>16.170000000000002</v>
      </c>
      <c r="L2437" s="13">
        <v>2194.84</v>
      </c>
      <c r="M2437" s="196" t="s">
        <v>423</v>
      </c>
    </row>
    <row r="2438" spans="1:13" ht="15" customHeight="1" outlineLevel="1" x14ac:dyDescent="0.25">
      <c r="A2438" s="148"/>
      <c r="B2438" s="148"/>
      <c r="C2438" s="148"/>
      <c r="D2438" s="138"/>
      <c r="E2438" s="138"/>
      <c r="F2438" s="50">
        <v>43647</v>
      </c>
      <c r="G2438" s="50">
        <v>43830</v>
      </c>
      <c r="H2438" s="150"/>
      <c r="I2438" s="119" t="s">
        <v>23</v>
      </c>
      <c r="J2438" s="119" t="s">
        <v>23</v>
      </c>
      <c r="K2438" s="13">
        <v>16.489999999999998</v>
      </c>
      <c r="L2438" s="13">
        <v>2238.7399999999998</v>
      </c>
      <c r="M2438" s="198"/>
    </row>
    <row r="2439" spans="1:13" ht="15" customHeight="1" outlineLevel="1" x14ac:dyDescent="0.25">
      <c r="A2439" s="148"/>
      <c r="B2439" s="148"/>
      <c r="C2439" s="148"/>
      <c r="D2439" s="138"/>
      <c r="E2439" s="138"/>
      <c r="F2439" s="50">
        <v>43466</v>
      </c>
      <c r="G2439" s="50">
        <v>43646</v>
      </c>
      <c r="H2439" s="150"/>
      <c r="I2439" s="119" t="s">
        <v>23</v>
      </c>
      <c r="J2439" s="119" t="s">
        <v>23</v>
      </c>
      <c r="K2439" s="13">
        <v>16.170000000000002</v>
      </c>
      <c r="L2439" s="13">
        <v>2294.6</v>
      </c>
      <c r="M2439" s="196" t="s">
        <v>424</v>
      </c>
    </row>
    <row r="2440" spans="1:13" ht="15" customHeight="1" outlineLevel="1" x14ac:dyDescent="0.25">
      <c r="A2440" s="148"/>
      <c r="B2440" s="148"/>
      <c r="C2440" s="148"/>
      <c r="D2440" s="138"/>
      <c r="E2440" s="138"/>
      <c r="F2440" s="50">
        <v>43647</v>
      </c>
      <c r="G2440" s="50">
        <v>43830</v>
      </c>
      <c r="H2440" s="150"/>
      <c r="I2440" s="119" t="s">
        <v>23</v>
      </c>
      <c r="J2440" s="119" t="s">
        <v>23</v>
      </c>
      <c r="K2440" s="13">
        <v>16.489999999999998</v>
      </c>
      <c r="L2440" s="13">
        <v>2340.5</v>
      </c>
      <c r="M2440" s="198"/>
    </row>
    <row r="2441" spans="1:13" ht="15" customHeight="1" outlineLevel="1" x14ac:dyDescent="0.25">
      <c r="A2441" s="148"/>
      <c r="B2441" s="148"/>
      <c r="C2441" s="148"/>
      <c r="D2441" s="138"/>
      <c r="E2441" s="138"/>
      <c r="F2441" s="50">
        <v>43466</v>
      </c>
      <c r="G2441" s="50">
        <v>43646</v>
      </c>
      <c r="H2441" s="150"/>
      <c r="I2441" s="119" t="s">
        <v>23</v>
      </c>
      <c r="J2441" s="119" t="s">
        <v>23</v>
      </c>
      <c r="K2441" s="13">
        <v>16.170000000000002</v>
      </c>
      <c r="L2441" s="13">
        <v>2482.69</v>
      </c>
      <c r="M2441" s="196" t="s">
        <v>425</v>
      </c>
    </row>
    <row r="2442" spans="1:13" ht="15" customHeight="1" outlineLevel="1" x14ac:dyDescent="0.25">
      <c r="A2442" s="148"/>
      <c r="B2442" s="148"/>
      <c r="C2442" s="148"/>
      <c r="D2442" s="138"/>
      <c r="E2442" s="138"/>
      <c r="F2442" s="50">
        <v>43647</v>
      </c>
      <c r="G2442" s="50">
        <v>43830</v>
      </c>
      <c r="H2442" s="150"/>
      <c r="I2442" s="119" t="s">
        <v>23</v>
      </c>
      <c r="J2442" s="119" t="s">
        <v>23</v>
      </c>
      <c r="K2442" s="13">
        <v>16.489999999999998</v>
      </c>
      <c r="L2442" s="13">
        <v>2532.3409999999999</v>
      </c>
      <c r="M2442" s="198"/>
    </row>
    <row r="2443" spans="1:13" ht="15" customHeight="1" outlineLevel="1" x14ac:dyDescent="0.25">
      <c r="A2443" s="148"/>
      <c r="B2443" s="148"/>
      <c r="C2443" s="148"/>
      <c r="D2443" s="138"/>
      <c r="E2443" s="138"/>
      <c r="F2443" s="50">
        <v>43466</v>
      </c>
      <c r="G2443" s="50">
        <v>43646</v>
      </c>
      <c r="H2443" s="150"/>
      <c r="I2443" s="119" t="s">
        <v>23</v>
      </c>
      <c r="J2443" s="119" t="s">
        <v>23</v>
      </c>
      <c r="K2443" s="13">
        <v>16.170000000000002</v>
      </c>
      <c r="L2443" s="13">
        <v>2103.39</v>
      </c>
      <c r="M2443" s="196" t="s">
        <v>426</v>
      </c>
    </row>
    <row r="2444" spans="1:13" ht="15" customHeight="1" outlineLevel="1" x14ac:dyDescent="0.25">
      <c r="A2444" s="148"/>
      <c r="B2444" s="148"/>
      <c r="C2444" s="148"/>
      <c r="D2444" s="138"/>
      <c r="E2444" s="138"/>
      <c r="F2444" s="50">
        <v>43647</v>
      </c>
      <c r="G2444" s="50">
        <v>43830</v>
      </c>
      <c r="H2444" s="150"/>
      <c r="I2444" s="119" t="s">
        <v>23</v>
      </c>
      <c r="J2444" s="119" t="s">
        <v>23</v>
      </c>
      <c r="K2444" s="13">
        <v>16.489999999999998</v>
      </c>
      <c r="L2444" s="13">
        <v>2145.4540000000002</v>
      </c>
      <c r="M2444" s="198"/>
    </row>
    <row r="2445" spans="1:13" ht="15" customHeight="1" outlineLevel="1" x14ac:dyDescent="0.25">
      <c r="A2445" s="148"/>
      <c r="B2445" s="148"/>
      <c r="C2445" s="148"/>
      <c r="D2445" s="138"/>
      <c r="E2445" s="138"/>
      <c r="F2445" s="50">
        <v>43466</v>
      </c>
      <c r="G2445" s="50">
        <v>43646</v>
      </c>
      <c r="H2445" s="150"/>
      <c r="I2445" s="119" t="s">
        <v>23</v>
      </c>
      <c r="J2445" s="119" t="s">
        <v>23</v>
      </c>
      <c r="K2445" s="13">
        <v>16.170000000000002</v>
      </c>
      <c r="L2445" s="13">
        <v>2294.6</v>
      </c>
      <c r="M2445" s="196" t="s">
        <v>427</v>
      </c>
    </row>
    <row r="2446" spans="1:13" ht="15" customHeight="1" outlineLevel="1" x14ac:dyDescent="0.25">
      <c r="A2446" s="147"/>
      <c r="B2446" s="147"/>
      <c r="C2446" s="147"/>
      <c r="D2446" s="141"/>
      <c r="E2446" s="141"/>
      <c r="F2446" s="50">
        <v>43647</v>
      </c>
      <c r="G2446" s="50">
        <v>43830</v>
      </c>
      <c r="H2446" s="151"/>
      <c r="I2446" s="119" t="s">
        <v>23</v>
      </c>
      <c r="J2446" s="119" t="s">
        <v>23</v>
      </c>
      <c r="K2446" s="13">
        <v>16.489999999999998</v>
      </c>
      <c r="L2446" s="13">
        <v>2340.5</v>
      </c>
      <c r="M2446" s="198"/>
    </row>
    <row r="2447" spans="1:13" ht="15" customHeight="1" outlineLevel="1" x14ac:dyDescent="0.25">
      <c r="A2447" s="146" t="s">
        <v>57</v>
      </c>
      <c r="B2447" s="146" t="s">
        <v>82</v>
      </c>
      <c r="C2447" s="146" t="s">
        <v>92</v>
      </c>
      <c r="D2447" s="156">
        <v>43145</v>
      </c>
      <c r="E2447" s="137" t="s">
        <v>720</v>
      </c>
      <c r="F2447" s="12">
        <v>43466</v>
      </c>
      <c r="G2447" s="12">
        <v>43646</v>
      </c>
      <c r="H2447" s="149"/>
      <c r="I2447" s="66">
        <v>63.44</v>
      </c>
      <c r="J2447" s="13">
        <v>2420</v>
      </c>
      <c r="K2447" s="119" t="s">
        <v>23</v>
      </c>
      <c r="L2447" s="119" t="s">
        <v>23</v>
      </c>
      <c r="M2447" s="153"/>
    </row>
    <row r="2448" spans="1:13" ht="15" customHeight="1" outlineLevel="1" x14ac:dyDescent="0.25">
      <c r="A2448" s="148"/>
      <c r="B2448" s="148"/>
      <c r="C2448" s="148"/>
      <c r="D2448" s="156"/>
      <c r="E2448" s="141"/>
      <c r="F2448" s="12">
        <v>43647</v>
      </c>
      <c r="G2448" s="12">
        <v>43830</v>
      </c>
      <c r="H2448" s="151"/>
      <c r="I2448" s="66">
        <v>25.58</v>
      </c>
      <c r="J2448" s="13">
        <v>2467.3200000000002</v>
      </c>
      <c r="K2448" s="119" t="s">
        <v>23</v>
      </c>
      <c r="L2448" s="119" t="s">
        <v>23</v>
      </c>
      <c r="M2448" s="152"/>
    </row>
    <row r="2449" spans="1:13" ht="15" customHeight="1" outlineLevel="1" x14ac:dyDescent="0.25">
      <c r="A2449" s="148"/>
      <c r="B2449" s="148"/>
      <c r="C2449" s="148"/>
      <c r="D2449" s="137">
        <f>D2431</f>
        <v>43454</v>
      </c>
      <c r="E2449" s="137" t="str">
        <f>E2431</f>
        <v>678-п</v>
      </c>
      <c r="F2449" s="50">
        <v>43466</v>
      </c>
      <c r="G2449" s="50">
        <v>43646</v>
      </c>
      <c r="H2449" s="149"/>
      <c r="I2449" s="119" t="s">
        <v>23</v>
      </c>
      <c r="J2449" s="119" t="s">
        <v>23</v>
      </c>
      <c r="K2449" s="13">
        <v>56.562711864406779</v>
      </c>
      <c r="L2449" s="13">
        <v>1609.4338983050845</v>
      </c>
      <c r="M2449" s="196" t="s">
        <v>420</v>
      </c>
    </row>
    <row r="2450" spans="1:13" ht="15" customHeight="1" outlineLevel="1" x14ac:dyDescent="0.25">
      <c r="A2450" s="148"/>
      <c r="B2450" s="148"/>
      <c r="C2450" s="148"/>
      <c r="D2450" s="138"/>
      <c r="E2450" s="138"/>
      <c r="F2450" s="50">
        <v>43647</v>
      </c>
      <c r="G2450" s="50">
        <v>43830</v>
      </c>
      <c r="H2450" s="150"/>
      <c r="I2450" s="119" t="s">
        <v>23</v>
      </c>
      <c r="J2450" s="119" t="s">
        <v>23</v>
      </c>
      <c r="K2450" s="13">
        <v>30.7</v>
      </c>
      <c r="L2450" s="13">
        <v>2032.75</v>
      </c>
      <c r="M2450" s="198"/>
    </row>
    <row r="2451" spans="1:13" ht="15" customHeight="1" outlineLevel="1" x14ac:dyDescent="0.25">
      <c r="A2451" s="148"/>
      <c r="B2451" s="148"/>
      <c r="C2451" s="148"/>
      <c r="D2451" s="138"/>
      <c r="E2451" s="138"/>
      <c r="F2451" s="50">
        <v>43466</v>
      </c>
      <c r="G2451" s="50">
        <v>43646</v>
      </c>
      <c r="H2451" s="150"/>
      <c r="I2451" s="119" t="s">
        <v>23</v>
      </c>
      <c r="J2451" s="119" t="s">
        <v>23</v>
      </c>
      <c r="K2451" s="13">
        <v>56.56</v>
      </c>
      <c r="L2451" s="13">
        <v>1762.7084745762711</v>
      </c>
      <c r="M2451" s="196" t="s">
        <v>421</v>
      </c>
    </row>
    <row r="2452" spans="1:13" ht="15" customHeight="1" outlineLevel="1" x14ac:dyDescent="0.25">
      <c r="A2452" s="148"/>
      <c r="B2452" s="148"/>
      <c r="C2452" s="148"/>
      <c r="D2452" s="138"/>
      <c r="E2452" s="138"/>
      <c r="F2452" s="50">
        <v>43647</v>
      </c>
      <c r="G2452" s="50">
        <v>43830</v>
      </c>
      <c r="H2452" s="150"/>
      <c r="I2452" s="119" t="s">
        <v>23</v>
      </c>
      <c r="J2452" s="119" t="s">
        <v>23</v>
      </c>
      <c r="K2452" s="13">
        <v>30.7</v>
      </c>
      <c r="L2452" s="13">
        <v>2226.35</v>
      </c>
      <c r="M2452" s="198"/>
    </row>
    <row r="2453" spans="1:13" ht="15" customHeight="1" outlineLevel="1" x14ac:dyDescent="0.25">
      <c r="A2453" s="148"/>
      <c r="B2453" s="148"/>
      <c r="C2453" s="148"/>
      <c r="D2453" s="138"/>
      <c r="E2453" s="138"/>
      <c r="F2453" s="50">
        <v>43466</v>
      </c>
      <c r="G2453" s="50">
        <v>43646</v>
      </c>
      <c r="H2453" s="150"/>
      <c r="I2453" s="119" t="s">
        <v>23</v>
      </c>
      <c r="J2453" s="119" t="s">
        <v>23</v>
      </c>
      <c r="K2453" s="13">
        <v>56.56</v>
      </c>
      <c r="L2453" s="13">
        <v>1500.691525423729</v>
      </c>
      <c r="M2453" s="196" t="s">
        <v>422</v>
      </c>
    </row>
    <row r="2454" spans="1:13" ht="15" customHeight="1" outlineLevel="1" x14ac:dyDescent="0.25">
      <c r="A2454" s="148"/>
      <c r="B2454" s="148"/>
      <c r="C2454" s="148"/>
      <c r="D2454" s="138"/>
      <c r="E2454" s="138"/>
      <c r="F2454" s="50">
        <v>43647</v>
      </c>
      <c r="G2454" s="50">
        <v>43830</v>
      </c>
      <c r="H2454" s="150"/>
      <c r="I2454" s="119" t="s">
        <v>23</v>
      </c>
      <c r="J2454" s="119" t="s">
        <v>23</v>
      </c>
      <c r="K2454" s="13">
        <v>30.7</v>
      </c>
      <c r="L2454" s="13">
        <v>1895.41</v>
      </c>
      <c r="M2454" s="198"/>
    </row>
    <row r="2455" spans="1:13" ht="15" customHeight="1" outlineLevel="1" x14ac:dyDescent="0.25">
      <c r="A2455" s="148"/>
      <c r="B2455" s="148"/>
      <c r="C2455" s="148"/>
      <c r="D2455" s="138"/>
      <c r="E2455" s="138"/>
      <c r="F2455" s="50">
        <v>43466</v>
      </c>
      <c r="G2455" s="50">
        <v>43646</v>
      </c>
      <c r="H2455" s="150"/>
      <c r="I2455" s="119" t="s">
        <v>23</v>
      </c>
      <c r="J2455" s="119" t="s">
        <v>23</v>
      </c>
      <c r="K2455" s="13">
        <v>56.56</v>
      </c>
      <c r="L2455" s="13">
        <v>1609.4338983050845</v>
      </c>
      <c r="M2455" s="196" t="s">
        <v>423</v>
      </c>
    </row>
    <row r="2456" spans="1:13" ht="15" customHeight="1" outlineLevel="1" x14ac:dyDescent="0.25">
      <c r="A2456" s="148"/>
      <c r="B2456" s="148"/>
      <c r="C2456" s="148"/>
      <c r="D2456" s="138"/>
      <c r="E2456" s="138"/>
      <c r="F2456" s="50">
        <v>43647</v>
      </c>
      <c r="G2456" s="50">
        <v>43830</v>
      </c>
      <c r="H2456" s="150"/>
      <c r="I2456" s="119" t="s">
        <v>23</v>
      </c>
      <c r="J2456" s="119" t="s">
        <v>23</v>
      </c>
      <c r="K2456" s="13">
        <v>30.7</v>
      </c>
      <c r="L2456" s="13">
        <v>2032.75</v>
      </c>
      <c r="M2456" s="198"/>
    </row>
    <row r="2457" spans="1:13" ht="15" customHeight="1" outlineLevel="1" x14ac:dyDescent="0.25">
      <c r="A2457" s="148"/>
      <c r="B2457" s="148"/>
      <c r="C2457" s="148"/>
      <c r="D2457" s="138"/>
      <c r="E2457" s="138"/>
      <c r="F2457" s="50">
        <v>43466</v>
      </c>
      <c r="G2457" s="50">
        <v>43646</v>
      </c>
      <c r="H2457" s="150"/>
      <c r="I2457" s="119" t="s">
        <v>23</v>
      </c>
      <c r="J2457" s="119" t="s">
        <v>23</v>
      </c>
      <c r="K2457" s="13">
        <v>56.56</v>
      </c>
      <c r="L2457" s="13">
        <v>1682.593220338983</v>
      </c>
      <c r="M2457" s="196" t="s">
        <v>424</v>
      </c>
    </row>
    <row r="2458" spans="1:13" ht="15" customHeight="1" outlineLevel="1" x14ac:dyDescent="0.25">
      <c r="A2458" s="148"/>
      <c r="B2458" s="148"/>
      <c r="C2458" s="148"/>
      <c r="D2458" s="138"/>
      <c r="E2458" s="138"/>
      <c r="F2458" s="50">
        <v>43647</v>
      </c>
      <c r="G2458" s="50">
        <v>43830</v>
      </c>
      <c r="H2458" s="150"/>
      <c r="I2458" s="119" t="s">
        <v>23</v>
      </c>
      <c r="J2458" s="119" t="s">
        <v>23</v>
      </c>
      <c r="K2458" s="13">
        <v>30.7</v>
      </c>
      <c r="L2458" s="13">
        <v>2125.15</v>
      </c>
      <c r="M2458" s="198"/>
    </row>
    <row r="2459" spans="1:13" ht="15" customHeight="1" outlineLevel="1" x14ac:dyDescent="0.25">
      <c r="A2459" s="148"/>
      <c r="B2459" s="148"/>
      <c r="C2459" s="148"/>
      <c r="D2459" s="138"/>
      <c r="E2459" s="138"/>
      <c r="F2459" s="50">
        <v>43466</v>
      </c>
      <c r="G2459" s="50">
        <v>43646</v>
      </c>
      <c r="H2459" s="150"/>
      <c r="I2459" s="119" t="s">
        <v>23</v>
      </c>
      <c r="J2459" s="119" t="s">
        <v>23</v>
      </c>
      <c r="K2459" s="13">
        <v>56.56</v>
      </c>
      <c r="L2459" s="13">
        <v>1820.5016949152543</v>
      </c>
      <c r="M2459" s="196" t="s">
        <v>425</v>
      </c>
    </row>
    <row r="2460" spans="1:13" ht="15" customHeight="1" outlineLevel="1" x14ac:dyDescent="0.25">
      <c r="A2460" s="148"/>
      <c r="B2460" s="148"/>
      <c r="C2460" s="148"/>
      <c r="D2460" s="138"/>
      <c r="E2460" s="138"/>
      <c r="F2460" s="50">
        <v>43647</v>
      </c>
      <c r="G2460" s="50">
        <v>43830</v>
      </c>
      <c r="H2460" s="150"/>
      <c r="I2460" s="119" t="s">
        <v>23</v>
      </c>
      <c r="J2460" s="119" t="s">
        <v>23</v>
      </c>
      <c r="K2460" s="13">
        <v>30.7</v>
      </c>
      <c r="L2460" s="13">
        <v>2299.34</v>
      </c>
      <c r="M2460" s="198"/>
    </row>
    <row r="2461" spans="1:13" ht="15" customHeight="1" outlineLevel="1" x14ac:dyDescent="0.25">
      <c r="A2461" s="148"/>
      <c r="B2461" s="148"/>
      <c r="C2461" s="148"/>
      <c r="D2461" s="138"/>
      <c r="E2461" s="138"/>
      <c r="F2461" s="50">
        <v>43466</v>
      </c>
      <c r="G2461" s="50">
        <v>43646</v>
      </c>
      <c r="H2461" s="150"/>
      <c r="I2461" s="119" t="s">
        <v>23</v>
      </c>
      <c r="J2461" s="119" t="s">
        <v>23</v>
      </c>
      <c r="K2461" s="13">
        <v>56.56</v>
      </c>
      <c r="L2461" s="13">
        <v>1542.3762711864408</v>
      </c>
      <c r="M2461" s="196" t="s">
        <v>426</v>
      </c>
    </row>
    <row r="2462" spans="1:13" ht="15" customHeight="1" outlineLevel="1" x14ac:dyDescent="0.25">
      <c r="A2462" s="148"/>
      <c r="B2462" s="148"/>
      <c r="C2462" s="148"/>
      <c r="D2462" s="138"/>
      <c r="E2462" s="138"/>
      <c r="F2462" s="50">
        <v>43647</v>
      </c>
      <c r="G2462" s="50">
        <v>43830</v>
      </c>
      <c r="H2462" s="150"/>
      <c r="I2462" s="119" t="s">
        <v>23</v>
      </c>
      <c r="J2462" s="119" t="s">
        <v>23</v>
      </c>
      <c r="K2462" s="13">
        <v>30.7</v>
      </c>
      <c r="L2462" s="13">
        <v>1948.06</v>
      </c>
      <c r="M2462" s="198"/>
    </row>
    <row r="2463" spans="1:13" ht="15" customHeight="1" outlineLevel="1" x14ac:dyDescent="0.25">
      <c r="A2463" s="148"/>
      <c r="B2463" s="148"/>
      <c r="C2463" s="148"/>
      <c r="D2463" s="138"/>
      <c r="E2463" s="138"/>
      <c r="F2463" s="50">
        <v>43466</v>
      </c>
      <c r="G2463" s="50">
        <v>43646</v>
      </c>
      <c r="H2463" s="150"/>
      <c r="I2463" s="119" t="s">
        <v>23</v>
      </c>
      <c r="J2463" s="119" t="s">
        <v>23</v>
      </c>
      <c r="K2463" s="13">
        <v>56.56</v>
      </c>
      <c r="L2463" s="13">
        <v>1682.593220338983</v>
      </c>
      <c r="M2463" s="196" t="s">
        <v>427</v>
      </c>
    </row>
    <row r="2464" spans="1:13" ht="15" customHeight="1" outlineLevel="1" x14ac:dyDescent="0.25">
      <c r="A2464" s="147"/>
      <c r="B2464" s="147"/>
      <c r="C2464" s="147"/>
      <c r="D2464" s="141"/>
      <c r="E2464" s="141"/>
      <c r="F2464" s="50">
        <v>43647</v>
      </c>
      <c r="G2464" s="50">
        <v>43830</v>
      </c>
      <c r="H2464" s="151"/>
      <c r="I2464" s="119" t="s">
        <v>23</v>
      </c>
      <c r="J2464" s="119" t="s">
        <v>23</v>
      </c>
      <c r="K2464" s="13">
        <v>30.7</v>
      </c>
      <c r="L2464" s="13">
        <v>2125.15</v>
      </c>
      <c r="M2464" s="198"/>
    </row>
    <row r="2465" spans="1:13" ht="15" customHeight="1" outlineLevel="1" x14ac:dyDescent="0.25">
      <c r="A2465" s="59">
        <v>10</v>
      </c>
      <c r="B2465" s="7" t="s">
        <v>153</v>
      </c>
      <c r="C2465" s="60"/>
      <c r="D2465" s="61"/>
      <c r="E2465" s="61"/>
      <c r="F2465" s="61"/>
      <c r="G2465" s="61"/>
      <c r="H2465" s="61"/>
      <c r="I2465" s="61"/>
      <c r="J2465" s="61"/>
      <c r="K2465" s="62"/>
      <c r="L2465" s="62"/>
      <c r="M2465" s="63"/>
    </row>
    <row r="2466" spans="1:13" ht="15" customHeight="1" outlineLevel="1" x14ac:dyDescent="0.25">
      <c r="A2466" s="146" t="s">
        <v>51</v>
      </c>
      <c r="B2466" s="146" t="s">
        <v>74</v>
      </c>
      <c r="C2466" s="146" t="s">
        <v>448</v>
      </c>
      <c r="D2466" s="137">
        <v>43083</v>
      </c>
      <c r="E2466" s="137" t="s">
        <v>608</v>
      </c>
      <c r="F2466" s="12">
        <v>43466</v>
      </c>
      <c r="G2466" s="12">
        <v>43646</v>
      </c>
      <c r="H2466" s="149" t="s">
        <v>807</v>
      </c>
      <c r="I2466" s="66">
        <v>28.36</v>
      </c>
      <c r="J2466" s="13">
        <v>2872.24</v>
      </c>
      <c r="K2466" s="15" t="s">
        <v>23</v>
      </c>
      <c r="L2466" s="15" t="s">
        <v>23</v>
      </c>
      <c r="M2466" s="153"/>
    </row>
    <row r="2467" spans="1:13" ht="15" customHeight="1" outlineLevel="1" x14ac:dyDescent="0.25">
      <c r="A2467" s="148"/>
      <c r="B2467" s="148"/>
      <c r="C2467" s="148"/>
      <c r="D2467" s="141"/>
      <c r="E2467" s="141"/>
      <c r="F2467" s="12">
        <v>43647</v>
      </c>
      <c r="G2467" s="12">
        <v>43830</v>
      </c>
      <c r="H2467" s="151"/>
      <c r="I2467" s="66">
        <v>31.31</v>
      </c>
      <c r="J2467" s="13">
        <v>3270.55</v>
      </c>
      <c r="K2467" s="15" t="s">
        <v>23</v>
      </c>
      <c r="L2467" s="15" t="s">
        <v>23</v>
      </c>
      <c r="M2467" s="152"/>
    </row>
    <row r="2468" spans="1:13" ht="15" customHeight="1" outlineLevel="1" x14ac:dyDescent="0.25">
      <c r="A2468" s="148"/>
      <c r="B2468" s="148"/>
      <c r="C2468" s="148"/>
      <c r="D2468" s="137">
        <v>43454</v>
      </c>
      <c r="E2468" s="137" t="s">
        <v>808</v>
      </c>
      <c r="F2468" s="50">
        <v>43466</v>
      </c>
      <c r="G2468" s="50">
        <v>43646</v>
      </c>
      <c r="H2468" s="149"/>
      <c r="I2468" s="15" t="s">
        <v>23</v>
      </c>
      <c r="J2468" s="15" t="s">
        <v>23</v>
      </c>
      <c r="K2468" s="13">
        <v>25.32</v>
      </c>
      <c r="L2468" s="13">
        <v>2229.5799557848122</v>
      </c>
      <c r="M2468" s="196" t="s">
        <v>420</v>
      </c>
    </row>
    <row r="2469" spans="1:13" ht="15" customHeight="1" outlineLevel="1" x14ac:dyDescent="0.25">
      <c r="A2469" s="148"/>
      <c r="B2469" s="148"/>
      <c r="C2469" s="148"/>
      <c r="D2469" s="138"/>
      <c r="E2469" s="138"/>
      <c r="F2469" s="50">
        <v>43647</v>
      </c>
      <c r="G2469" s="50">
        <v>43830</v>
      </c>
      <c r="H2469" s="150"/>
      <c r="I2469" s="15" t="s">
        <v>23</v>
      </c>
      <c r="J2469" s="15" t="s">
        <v>23</v>
      </c>
      <c r="K2469" s="13">
        <v>25.32</v>
      </c>
      <c r="L2469" s="13">
        <v>2229.5799557848122</v>
      </c>
      <c r="M2469" s="198"/>
    </row>
    <row r="2470" spans="1:13" ht="15" customHeight="1" outlineLevel="1" x14ac:dyDescent="0.25">
      <c r="A2470" s="148"/>
      <c r="B2470" s="148"/>
      <c r="C2470" s="148"/>
      <c r="D2470" s="138"/>
      <c r="E2470" s="138"/>
      <c r="F2470" s="50">
        <v>43466</v>
      </c>
      <c r="G2470" s="50">
        <v>43646</v>
      </c>
      <c r="H2470" s="150"/>
      <c r="I2470" s="15" t="s">
        <v>23</v>
      </c>
      <c r="J2470" s="15" t="s">
        <v>23</v>
      </c>
      <c r="K2470" s="13">
        <v>25.32</v>
      </c>
      <c r="L2470" s="13">
        <v>2441.9209039547945</v>
      </c>
      <c r="M2470" s="196" t="s">
        <v>421</v>
      </c>
    </row>
    <row r="2471" spans="1:13" ht="15" customHeight="1" outlineLevel="1" x14ac:dyDescent="0.25">
      <c r="A2471" s="148"/>
      <c r="B2471" s="148"/>
      <c r="C2471" s="148"/>
      <c r="D2471" s="138"/>
      <c r="E2471" s="138"/>
      <c r="F2471" s="50">
        <v>43647</v>
      </c>
      <c r="G2471" s="50">
        <v>43830</v>
      </c>
      <c r="H2471" s="150"/>
      <c r="I2471" s="15" t="s">
        <v>23</v>
      </c>
      <c r="J2471" s="15" t="s">
        <v>23</v>
      </c>
      <c r="K2471" s="13">
        <v>25.32</v>
      </c>
      <c r="L2471" s="13">
        <v>2441.9209039547945</v>
      </c>
      <c r="M2471" s="198"/>
    </row>
    <row r="2472" spans="1:13" ht="15" customHeight="1" outlineLevel="1" x14ac:dyDescent="0.25">
      <c r="A2472" s="148"/>
      <c r="B2472" s="148"/>
      <c r="C2472" s="148"/>
      <c r="D2472" s="138"/>
      <c r="E2472" s="138"/>
      <c r="F2472" s="50">
        <v>43466</v>
      </c>
      <c r="G2472" s="50">
        <v>43646</v>
      </c>
      <c r="H2472" s="150"/>
      <c r="I2472" s="15" t="s">
        <v>23</v>
      </c>
      <c r="J2472" s="15" t="s">
        <v>23</v>
      </c>
      <c r="K2472" s="13">
        <v>25.32</v>
      </c>
      <c r="L2472" s="13">
        <v>2078.932661475028</v>
      </c>
      <c r="M2472" s="196" t="s">
        <v>422</v>
      </c>
    </row>
    <row r="2473" spans="1:13" ht="15" customHeight="1" outlineLevel="1" x14ac:dyDescent="0.25">
      <c r="A2473" s="148"/>
      <c r="B2473" s="148"/>
      <c r="C2473" s="148"/>
      <c r="D2473" s="138"/>
      <c r="E2473" s="138"/>
      <c r="F2473" s="50">
        <v>43647</v>
      </c>
      <c r="G2473" s="50">
        <v>43830</v>
      </c>
      <c r="H2473" s="150"/>
      <c r="I2473" s="15" t="s">
        <v>23</v>
      </c>
      <c r="J2473" s="15" t="s">
        <v>23</v>
      </c>
      <c r="K2473" s="13">
        <v>25.32</v>
      </c>
      <c r="L2473" s="13">
        <v>2078.932661475028</v>
      </c>
      <c r="M2473" s="198"/>
    </row>
    <row r="2474" spans="1:13" ht="15" customHeight="1" outlineLevel="1" x14ac:dyDescent="0.25">
      <c r="A2474" s="148"/>
      <c r="B2474" s="148"/>
      <c r="C2474" s="148"/>
      <c r="D2474" s="138"/>
      <c r="E2474" s="138"/>
      <c r="F2474" s="50">
        <v>43466</v>
      </c>
      <c r="G2474" s="50">
        <v>43646</v>
      </c>
      <c r="H2474" s="150"/>
      <c r="I2474" s="15" t="s">
        <v>23</v>
      </c>
      <c r="J2474" s="15" t="s">
        <v>23</v>
      </c>
      <c r="K2474" s="13">
        <v>25.32</v>
      </c>
      <c r="L2474" s="13">
        <v>2229.5799557848122</v>
      </c>
      <c r="M2474" s="196" t="s">
        <v>423</v>
      </c>
    </row>
    <row r="2475" spans="1:13" ht="15" customHeight="1" outlineLevel="1" x14ac:dyDescent="0.25">
      <c r="A2475" s="148"/>
      <c r="B2475" s="148"/>
      <c r="C2475" s="148"/>
      <c r="D2475" s="138"/>
      <c r="E2475" s="138"/>
      <c r="F2475" s="50">
        <v>43647</v>
      </c>
      <c r="G2475" s="50">
        <v>43830</v>
      </c>
      <c r="H2475" s="150"/>
      <c r="I2475" s="15" t="s">
        <v>23</v>
      </c>
      <c r="J2475" s="15" t="s">
        <v>23</v>
      </c>
      <c r="K2475" s="13">
        <v>25.32</v>
      </c>
      <c r="L2475" s="13">
        <v>2229.5799557848122</v>
      </c>
      <c r="M2475" s="198"/>
    </row>
    <row r="2476" spans="1:13" ht="15" customHeight="1" outlineLevel="1" x14ac:dyDescent="0.25">
      <c r="A2476" s="148"/>
      <c r="B2476" s="148"/>
      <c r="C2476" s="148"/>
      <c r="D2476" s="138"/>
      <c r="E2476" s="138"/>
      <c r="F2476" s="50">
        <v>43466</v>
      </c>
      <c r="G2476" s="50">
        <v>43646</v>
      </c>
      <c r="H2476" s="150"/>
      <c r="I2476" s="15" t="s">
        <v>23</v>
      </c>
      <c r="J2476" s="15" t="s">
        <v>23</v>
      </c>
      <c r="K2476" s="13">
        <v>25.32</v>
      </c>
      <c r="L2476" s="13">
        <v>2330.9244992295762</v>
      </c>
      <c r="M2476" s="196" t="s">
        <v>424</v>
      </c>
    </row>
    <row r="2477" spans="1:13" ht="15" customHeight="1" outlineLevel="1" x14ac:dyDescent="0.25">
      <c r="A2477" s="148"/>
      <c r="B2477" s="148"/>
      <c r="C2477" s="148"/>
      <c r="D2477" s="138"/>
      <c r="E2477" s="138"/>
      <c r="F2477" s="50">
        <v>43647</v>
      </c>
      <c r="G2477" s="50">
        <v>43830</v>
      </c>
      <c r="H2477" s="150"/>
      <c r="I2477" s="15" t="s">
        <v>23</v>
      </c>
      <c r="J2477" s="15" t="s">
        <v>23</v>
      </c>
      <c r="K2477" s="13">
        <v>25.32</v>
      </c>
      <c r="L2477" s="13">
        <v>2330.9244992295762</v>
      </c>
      <c r="M2477" s="198"/>
    </row>
    <row r="2478" spans="1:13" ht="15" customHeight="1" outlineLevel="1" x14ac:dyDescent="0.25">
      <c r="A2478" s="148"/>
      <c r="B2478" s="148"/>
      <c r="C2478" s="148"/>
      <c r="D2478" s="138"/>
      <c r="E2478" s="138"/>
      <c r="F2478" s="50">
        <v>43466</v>
      </c>
      <c r="G2478" s="50">
        <v>43646</v>
      </c>
      <c r="H2478" s="150"/>
      <c r="I2478" s="15" t="s">
        <v>23</v>
      </c>
      <c r="J2478" s="15" t="s">
        <v>23</v>
      </c>
      <c r="K2478" s="13">
        <v>25.32</v>
      </c>
      <c r="L2478" s="13">
        <v>2521.9838844123287</v>
      </c>
      <c r="M2478" s="196" t="s">
        <v>425</v>
      </c>
    </row>
    <row r="2479" spans="1:13" ht="15" customHeight="1" outlineLevel="1" x14ac:dyDescent="0.25">
      <c r="A2479" s="148"/>
      <c r="B2479" s="148"/>
      <c r="C2479" s="148"/>
      <c r="D2479" s="138"/>
      <c r="E2479" s="138"/>
      <c r="F2479" s="50">
        <v>43647</v>
      </c>
      <c r="G2479" s="50">
        <v>43830</v>
      </c>
      <c r="H2479" s="150"/>
      <c r="I2479" s="15" t="s">
        <v>23</v>
      </c>
      <c r="J2479" s="15" t="s">
        <v>23</v>
      </c>
      <c r="K2479" s="13">
        <v>25.32</v>
      </c>
      <c r="L2479" s="13">
        <v>2521.9838844123287</v>
      </c>
      <c r="M2479" s="198"/>
    </row>
    <row r="2480" spans="1:13" ht="15" customHeight="1" outlineLevel="1" x14ac:dyDescent="0.25">
      <c r="A2480" s="148"/>
      <c r="B2480" s="148"/>
      <c r="C2480" s="148"/>
      <c r="D2480" s="138"/>
      <c r="E2480" s="138"/>
      <c r="F2480" s="50">
        <v>43466</v>
      </c>
      <c r="G2480" s="50">
        <v>43646</v>
      </c>
      <c r="H2480" s="150"/>
      <c r="I2480" s="15" t="s">
        <v>23</v>
      </c>
      <c r="J2480" s="15" t="s">
        <v>23</v>
      </c>
      <c r="K2480" s="13">
        <v>25.32</v>
      </c>
      <c r="L2480" s="13">
        <v>2136.6807909604454</v>
      </c>
      <c r="M2480" s="196" t="s">
        <v>426</v>
      </c>
    </row>
    <row r="2481" spans="1:13" ht="15" customHeight="1" outlineLevel="1" x14ac:dyDescent="0.25">
      <c r="A2481" s="148"/>
      <c r="B2481" s="148"/>
      <c r="C2481" s="148"/>
      <c r="D2481" s="138"/>
      <c r="E2481" s="138"/>
      <c r="F2481" s="50">
        <v>43647</v>
      </c>
      <c r="G2481" s="50">
        <v>43830</v>
      </c>
      <c r="H2481" s="150"/>
      <c r="I2481" s="15" t="s">
        <v>23</v>
      </c>
      <c r="J2481" s="15" t="s">
        <v>23</v>
      </c>
      <c r="K2481" s="13">
        <v>25.32</v>
      </c>
      <c r="L2481" s="13">
        <v>2136.6807909604454</v>
      </c>
      <c r="M2481" s="198"/>
    </row>
    <row r="2482" spans="1:13" ht="15" customHeight="1" outlineLevel="1" x14ac:dyDescent="0.25">
      <c r="A2482" s="148"/>
      <c r="B2482" s="148"/>
      <c r="C2482" s="148"/>
      <c r="D2482" s="138"/>
      <c r="E2482" s="138"/>
      <c r="F2482" s="50">
        <v>43466</v>
      </c>
      <c r="G2482" s="50">
        <v>43646</v>
      </c>
      <c r="H2482" s="150"/>
      <c r="I2482" s="15" t="s">
        <v>23</v>
      </c>
      <c r="J2482" s="15" t="s">
        <v>23</v>
      </c>
      <c r="K2482" s="13">
        <v>25.32</v>
      </c>
      <c r="L2482" s="13">
        <v>2330.9244992295762</v>
      </c>
      <c r="M2482" s="196" t="s">
        <v>427</v>
      </c>
    </row>
    <row r="2483" spans="1:13" ht="15" customHeight="1" outlineLevel="1" x14ac:dyDescent="0.25">
      <c r="A2483" s="147"/>
      <c r="B2483" s="147"/>
      <c r="C2483" s="147"/>
      <c r="D2483" s="141"/>
      <c r="E2483" s="141"/>
      <c r="F2483" s="50">
        <v>43647</v>
      </c>
      <c r="G2483" s="50">
        <v>43830</v>
      </c>
      <c r="H2483" s="151"/>
      <c r="I2483" s="15" t="s">
        <v>23</v>
      </c>
      <c r="J2483" s="15" t="s">
        <v>23</v>
      </c>
      <c r="K2483" s="13">
        <v>25.32</v>
      </c>
      <c r="L2483" s="13">
        <v>2330.9244992295762</v>
      </c>
      <c r="M2483" s="198"/>
    </row>
    <row r="2484" spans="1:13" ht="15" customHeight="1" outlineLevel="1" x14ac:dyDescent="0.25">
      <c r="A2484" s="146" t="s">
        <v>51</v>
      </c>
      <c r="B2484" s="146" t="s">
        <v>744</v>
      </c>
      <c r="C2484" s="146" t="s">
        <v>181</v>
      </c>
      <c r="D2484" s="137">
        <v>43453</v>
      </c>
      <c r="E2484" s="137" t="s">
        <v>674</v>
      </c>
      <c r="F2484" s="12">
        <v>43466</v>
      </c>
      <c r="G2484" s="12">
        <v>43646</v>
      </c>
      <c r="H2484" s="149"/>
      <c r="I2484" s="66">
        <v>27.84</v>
      </c>
      <c r="J2484" s="13">
        <v>2038.79</v>
      </c>
      <c r="K2484" s="15" t="s">
        <v>23</v>
      </c>
      <c r="L2484" s="15" t="s">
        <v>23</v>
      </c>
      <c r="M2484" s="153"/>
    </row>
    <row r="2485" spans="1:13" ht="15" customHeight="1" outlineLevel="1" x14ac:dyDescent="0.25">
      <c r="A2485" s="148"/>
      <c r="B2485" s="148"/>
      <c r="C2485" s="148"/>
      <c r="D2485" s="141"/>
      <c r="E2485" s="141"/>
      <c r="F2485" s="12">
        <v>43647</v>
      </c>
      <c r="G2485" s="12">
        <v>43830</v>
      </c>
      <c r="H2485" s="151"/>
      <c r="I2485" s="66">
        <v>31.18</v>
      </c>
      <c r="J2485" s="13">
        <v>2052.44</v>
      </c>
      <c r="K2485" s="15" t="s">
        <v>23</v>
      </c>
      <c r="L2485" s="15" t="s">
        <v>23</v>
      </c>
      <c r="M2485" s="152"/>
    </row>
    <row r="2486" spans="1:13" ht="15" customHeight="1" outlineLevel="1" x14ac:dyDescent="0.25">
      <c r="A2486" s="148"/>
      <c r="B2486" s="148"/>
      <c r="C2486" s="148"/>
      <c r="D2486" s="137">
        <v>43454</v>
      </c>
      <c r="E2486" s="137" t="s">
        <v>742</v>
      </c>
      <c r="F2486" s="50">
        <v>43466</v>
      </c>
      <c r="G2486" s="50">
        <v>43646</v>
      </c>
      <c r="H2486" s="149"/>
      <c r="I2486" s="15" t="s">
        <v>23</v>
      </c>
      <c r="J2486" s="15" t="s">
        <v>23</v>
      </c>
      <c r="K2486" s="13">
        <v>25.881355932203387</v>
      </c>
      <c r="L2486" s="13">
        <v>1717.1999999999998</v>
      </c>
      <c r="M2486" s="196" t="s">
        <v>420</v>
      </c>
    </row>
    <row r="2487" spans="1:13" ht="15" customHeight="1" outlineLevel="1" x14ac:dyDescent="0.25">
      <c r="A2487" s="148"/>
      <c r="B2487" s="148"/>
      <c r="C2487" s="148"/>
      <c r="D2487" s="138"/>
      <c r="E2487" s="138"/>
      <c r="F2487" s="50">
        <v>43647</v>
      </c>
      <c r="G2487" s="50">
        <v>43830</v>
      </c>
      <c r="H2487" s="150"/>
      <c r="I2487" s="15" t="s">
        <v>23</v>
      </c>
      <c r="J2487" s="15" t="s">
        <v>23</v>
      </c>
      <c r="K2487" s="13">
        <v>26.398983050847455</v>
      </c>
      <c r="L2487" s="13">
        <v>1751.5439999999999</v>
      </c>
      <c r="M2487" s="198"/>
    </row>
    <row r="2488" spans="1:13" ht="15" customHeight="1" outlineLevel="1" x14ac:dyDescent="0.25">
      <c r="A2488" s="148"/>
      <c r="B2488" s="148"/>
      <c r="C2488" s="148"/>
      <c r="D2488" s="138"/>
      <c r="E2488" s="138"/>
      <c r="F2488" s="50">
        <v>43466</v>
      </c>
      <c r="G2488" s="50">
        <v>43646</v>
      </c>
      <c r="H2488" s="150"/>
      <c r="I2488" s="15" t="s">
        <v>23</v>
      </c>
      <c r="J2488" s="15" t="s">
        <v>23</v>
      </c>
      <c r="K2488" s="13">
        <v>25.881355932203387</v>
      </c>
      <c r="L2488" s="13">
        <v>1880.7102502017756</v>
      </c>
      <c r="M2488" s="196" t="s">
        <v>421</v>
      </c>
    </row>
    <row r="2489" spans="1:13" ht="15" customHeight="1" outlineLevel="1" x14ac:dyDescent="0.25">
      <c r="A2489" s="148"/>
      <c r="B2489" s="148"/>
      <c r="C2489" s="148"/>
      <c r="D2489" s="138"/>
      <c r="E2489" s="138"/>
      <c r="F2489" s="50">
        <v>43647</v>
      </c>
      <c r="G2489" s="50">
        <v>43830</v>
      </c>
      <c r="H2489" s="150"/>
      <c r="I2489" s="15" t="s">
        <v>23</v>
      </c>
      <c r="J2489" s="15" t="s">
        <v>23</v>
      </c>
      <c r="K2489" s="13">
        <v>26.398983050847455</v>
      </c>
      <c r="L2489" s="13">
        <v>1918.3244552058111</v>
      </c>
      <c r="M2489" s="198"/>
    </row>
    <row r="2490" spans="1:13" ht="15" customHeight="1" outlineLevel="1" x14ac:dyDescent="0.25">
      <c r="A2490" s="148"/>
      <c r="B2490" s="148"/>
      <c r="C2490" s="148"/>
      <c r="D2490" s="138"/>
      <c r="E2490" s="138"/>
      <c r="F2490" s="50">
        <v>43466</v>
      </c>
      <c r="G2490" s="50">
        <v>43646</v>
      </c>
      <c r="H2490" s="150"/>
      <c r="I2490" s="15" t="s">
        <v>23</v>
      </c>
      <c r="J2490" s="15" t="s">
        <v>23</v>
      </c>
      <c r="K2490" s="13">
        <v>25.881355932203387</v>
      </c>
      <c r="L2490" s="13">
        <v>1601.14521300962</v>
      </c>
      <c r="M2490" s="196" t="s">
        <v>422</v>
      </c>
    </row>
    <row r="2491" spans="1:13" ht="15" customHeight="1" outlineLevel="1" x14ac:dyDescent="0.25">
      <c r="A2491" s="148"/>
      <c r="B2491" s="148"/>
      <c r="C2491" s="148"/>
      <c r="D2491" s="138"/>
      <c r="E2491" s="138"/>
      <c r="F2491" s="50">
        <v>43647</v>
      </c>
      <c r="G2491" s="50">
        <v>43830</v>
      </c>
      <c r="H2491" s="150"/>
      <c r="I2491" s="15" t="s">
        <v>23</v>
      </c>
      <c r="J2491" s="15" t="s">
        <v>23</v>
      </c>
      <c r="K2491" s="13">
        <v>26.398983050847455</v>
      </c>
      <c r="L2491" s="13">
        <v>1633.1681172698125</v>
      </c>
      <c r="M2491" s="198"/>
    </row>
    <row r="2492" spans="1:13" ht="15" customHeight="1" outlineLevel="1" x14ac:dyDescent="0.25">
      <c r="A2492" s="148"/>
      <c r="B2492" s="148"/>
      <c r="C2492" s="148"/>
      <c r="D2492" s="138"/>
      <c r="E2492" s="138"/>
      <c r="F2492" s="50">
        <v>43466</v>
      </c>
      <c r="G2492" s="50">
        <v>43646</v>
      </c>
      <c r="H2492" s="150"/>
      <c r="I2492" s="15" t="s">
        <v>23</v>
      </c>
      <c r="J2492" s="15" t="s">
        <v>23</v>
      </c>
      <c r="K2492" s="13">
        <v>25.881355932203387</v>
      </c>
      <c r="L2492" s="13">
        <v>1717.1702284450992</v>
      </c>
      <c r="M2492" s="196" t="s">
        <v>423</v>
      </c>
    </row>
    <row r="2493" spans="1:13" ht="15" customHeight="1" outlineLevel="1" x14ac:dyDescent="0.25">
      <c r="A2493" s="148"/>
      <c r="B2493" s="148"/>
      <c r="C2493" s="148"/>
      <c r="D2493" s="138"/>
      <c r="E2493" s="138"/>
      <c r="F2493" s="50">
        <v>43647</v>
      </c>
      <c r="G2493" s="50">
        <v>43830</v>
      </c>
      <c r="H2493" s="150"/>
      <c r="I2493" s="15" t="s">
        <v>23</v>
      </c>
      <c r="J2493" s="15" t="s">
        <v>23</v>
      </c>
      <c r="K2493" s="13">
        <v>26.398983050847455</v>
      </c>
      <c r="L2493" s="13">
        <v>1751.5136330140012</v>
      </c>
      <c r="M2493" s="198"/>
    </row>
    <row r="2494" spans="1:13" ht="15" customHeight="1" outlineLevel="1" x14ac:dyDescent="0.25">
      <c r="A2494" s="148"/>
      <c r="B2494" s="148"/>
      <c r="C2494" s="148"/>
      <c r="D2494" s="138"/>
      <c r="E2494" s="138"/>
      <c r="F2494" s="50">
        <v>43466</v>
      </c>
      <c r="G2494" s="50">
        <v>43646</v>
      </c>
      <c r="H2494" s="150"/>
      <c r="I2494" s="15" t="s">
        <v>23</v>
      </c>
      <c r="J2494" s="15" t="s">
        <v>23</v>
      </c>
      <c r="K2494" s="13">
        <v>25.881355932203387</v>
      </c>
      <c r="L2494" s="13">
        <v>1795.2234206471494</v>
      </c>
      <c r="M2494" s="196" t="s">
        <v>424</v>
      </c>
    </row>
    <row r="2495" spans="1:13" ht="15" customHeight="1" outlineLevel="1" x14ac:dyDescent="0.25">
      <c r="A2495" s="148"/>
      <c r="B2495" s="148"/>
      <c r="C2495" s="148"/>
      <c r="D2495" s="138"/>
      <c r="E2495" s="138"/>
      <c r="F2495" s="50">
        <v>43647</v>
      </c>
      <c r="G2495" s="50">
        <v>43830</v>
      </c>
      <c r="H2495" s="150"/>
      <c r="I2495" s="15" t="s">
        <v>23</v>
      </c>
      <c r="J2495" s="15" t="s">
        <v>23</v>
      </c>
      <c r="K2495" s="13">
        <v>26.398983050847455</v>
      </c>
      <c r="L2495" s="13">
        <v>1831.1278890600925</v>
      </c>
      <c r="M2495" s="198"/>
    </row>
    <row r="2496" spans="1:13" ht="15" customHeight="1" outlineLevel="1" x14ac:dyDescent="0.25">
      <c r="A2496" s="148"/>
      <c r="B2496" s="148"/>
      <c r="C2496" s="148"/>
      <c r="D2496" s="138"/>
      <c r="E2496" s="138"/>
      <c r="F2496" s="50">
        <v>43466</v>
      </c>
      <c r="G2496" s="50">
        <v>43646</v>
      </c>
      <c r="H2496" s="150"/>
      <c r="I2496" s="15" t="s">
        <v>23</v>
      </c>
      <c r="J2496" s="15" t="s">
        <v>23</v>
      </c>
      <c r="K2496" s="13">
        <v>25.881355932203387</v>
      </c>
      <c r="L2496" s="13">
        <v>1942.3728813559323</v>
      </c>
      <c r="M2496" s="196" t="s">
        <v>425</v>
      </c>
    </row>
    <row r="2497" spans="1:13" ht="15" customHeight="1" outlineLevel="1" x14ac:dyDescent="0.25">
      <c r="A2497" s="148"/>
      <c r="B2497" s="148"/>
      <c r="C2497" s="148"/>
      <c r="D2497" s="138"/>
      <c r="E2497" s="138"/>
      <c r="F2497" s="50">
        <v>43647</v>
      </c>
      <c r="G2497" s="50">
        <v>43830</v>
      </c>
      <c r="H2497" s="150"/>
      <c r="I2497" s="15" t="s">
        <v>23</v>
      </c>
      <c r="J2497" s="15" t="s">
        <v>23</v>
      </c>
      <c r="K2497" s="13">
        <v>26.398983050847455</v>
      </c>
      <c r="L2497" s="13">
        <v>1981.2203389830511</v>
      </c>
      <c r="M2497" s="198"/>
    </row>
    <row r="2498" spans="1:13" ht="15" customHeight="1" outlineLevel="1" x14ac:dyDescent="0.25">
      <c r="A2498" s="148"/>
      <c r="B2498" s="148"/>
      <c r="C2498" s="148"/>
      <c r="D2498" s="138"/>
      <c r="E2498" s="138"/>
      <c r="F2498" s="50">
        <v>43466</v>
      </c>
      <c r="G2498" s="50">
        <v>43646</v>
      </c>
      <c r="H2498" s="150"/>
      <c r="I2498" s="15" t="s">
        <v>23</v>
      </c>
      <c r="J2498" s="15" t="s">
        <v>23</v>
      </c>
      <c r="K2498" s="13">
        <v>25.881355932203387</v>
      </c>
      <c r="L2498" s="13">
        <v>1645.6214689265537</v>
      </c>
      <c r="M2498" s="196" t="s">
        <v>426</v>
      </c>
    </row>
    <row r="2499" spans="1:13" ht="15" customHeight="1" outlineLevel="1" x14ac:dyDescent="0.25">
      <c r="A2499" s="148"/>
      <c r="B2499" s="148"/>
      <c r="C2499" s="148"/>
      <c r="D2499" s="138"/>
      <c r="E2499" s="138"/>
      <c r="F2499" s="50">
        <v>43647</v>
      </c>
      <c r="G2499" s="50">
        <v>43830</v>
      </c>
      <c r="H2499" s="150"/>
      <c r="I2499" s="15" t="s">
        <v>23</v>
      </c>
      <c r="J2499" s="15" t="s">
        <v>23</v>
      </c>
      <c r="K2499" s="13">
        <v>26.398983050847455</v>
      </c>
      <c r="L2499" s="13">
        <v>1678.5338983050849</v>
      </c>
      <c r="M2499" s="198"/>
    </row>
    <row r="2500" spans="1:13" ht="15" customHeight="1" outlineLevel="1" x14ac:dyDescent="0.25">
      <c r="A2500" s="148"/>
      <c r="B2500" s="148"/>
      <c r="C2500" s="148"/>
      <c r="D2500" s="138"/>
      <c r="E2500" s="138"/>
      <c r="F2500" s="50">
        <v>43466</v>
      </c>
      <c r="G2500" s="50">
        <v>43646</v>
      </c>
      <c r="H2500" s="150"/>
      <c r="I2500" s="15" t="s">
        <v>23</v>
      </c>
      <c r="J2500" s="15" t="s">
        <v>23</v>
      </c>
      <c r="K2500" s="13">
        <v>25.881355932203387</v>
      </c>
      <c r="L2500" s="13">
        <v>1795.2234206471494</v>
      </c>
      <c r="M2500" s="196" t="s">
        <v>427</v>
      </c>
    </row>
    <row r="2501" spans="1:13" ht="15" customHeight="1" outlineLevel="1" x14ac:dyDescent="0.25">
      <c r="A2501" s="147"/>
      <c r="B2501" s="147"/>
      <c r="C2501" s="147"/>
      <c r="D2501" s="141"/>
      <c r="E2501" s="141"/>
      <c r="F2501" s="50">
        <v>43647</v>
      </c>
      <c r="G2501" s="50">
        <v>43830</v>
      </c>
      <c r="H2501" s="151"/>
      <c r="I2501" s="15" t="s">
        <v>23</v>
      </c>
      <c r="J2501" s="15" t="s">
        <v>23</v>
      </c>
      <c r="K2501" s="13">
        <v>26.398983050847455</v>
      </c>
      <c r="L2501" s="13">
        <v>1831.1278890600925</v>
      </c>
      <c r="M2501" s="198"/>
    </row>
    <row r="2502" spans="1:13" ht="15" customHeight="1" outlineLevel="1" x14ac:dyDescent="0.25">
      <c r="A2502" s="146" t="s">
        <v>51</v>
      </c>
      <c r="B2502" s="146" t="s">
        <v>457</v>
      </c>
      <c r="C2502" s="146" t="s">
        <v>94</v>
      </c>
      <c r="D2502" s="137">
        <v>43451</v>
      </c>
      <c r="E2502" s="137" t="s">
        <v>753</v>
      </c>
      <c r="F2502" s="12">
        <v>43466</v>
      </c>
      <c r="G2502" s="12">
        <v>43646</v>
      </c>
      <c r="H2502" s="149"/>
      <c r="I2502" s="66">
        <v>39.9</v>
      </c>
      <c r="J2502" s="13">
        <v>2375.14</v>
      </c>
      <c r="K2502" s="15" t="s">
        <v>23</v>
      </c>
      <c r="L2502" s="15" t="s">
        <v>23</v>
      </c>
      <c r="M2502" s="153"/>
    </row>
    <row r="2503" spans="1:13" ht="15" customHeight="1" outlineLevel="1" x14ac:dyDescent="0.25">
      <c r="A2503" s="148"/>
      <c r="B2503" s="148"/>
      <c r="C2503" s="148"/>
      <c r="D2503" s="141"/>
      <c r="E2503" s="141"/>
      <c r="F2503" s="12">
        <v>43647</v>
      </c>
      <c r="G2503" s="12">
        <v>43830</v>
      </c>
      <c r="H2503" s="151"/>
      <c r="I2503" s="66">
        <v>40.450000000000003</v>
      </c>
      <c r="J2503" s="13">
        <v>2396.46</v>
      </c>
      <c r="K2503" s="15" t="s">
        <v>23</v>
      </c>
      <c r="L2503" s="15" t="s">
        <v>23</v>
      </c>
      <c r="M2503" s="152"/>
    </row>
    <row r="2504" spans="1:13" ht="15" customHeight="1" outlineLevel="1" x14ac:dyDescent="0.25">
      <c r="A2504" s="148"/>
      <c r="B2504" s="148"/>
      <c r="C2504" s="148"/>
      <c r="D2504" s="137">
        <v>43454</v>
      </c>
      <c r="E2504" s="137" t="s">
        <v>742</v>
      </c>
      <c r="F2504" s="50">
        <v>43466</v>
      </c>
      <c r="G2504" s="50">
        <v>43646</v>
      </c>
      <c r="H2504" s="149"/>
      <c r="I2504" s="15" t="s">
        <v>23</v>
      </c>
      <c r="J2504" s="15" t="s">
        <v>23</v>
      </c>
      <c r="K2504" s="13">
        <v>28.627118644067792</v>
      </c>
      <c r="L2504" s="13">
        <v>1581.0915254237289</v>
      </c>
      <c r="M2504" s="196" t="s">
        <v>420</v>
      </c>
    </row>
    <row r="2505" spans="1:13" ht="15" customHeight="1" outlineLevel="1" x14ac:dyDescent="0.25">
      <c r="A2505" s="148"/>
      <c r="B2505" s="148"/>
      <c r="C2505" s="148"/>
      <c r="D2505" s="138"/>
      <c r="E2505" s="138"/>
      <c r="F2505" s="50">
        <v>43647</v>
      </c>
      <c r="G2505" s="50">
        <v>43830</v>
      </c>
      <c r="H2505" s="150"/>
      <c r="I2505" s="15" t="s">
        <v>23</v>
      </c>
      <c r="J2505" s="15" t="s">
        <v>23</v>
      </c>
      <c r="K2505" s="13">
        <v>29.19966101694915</v>
      </c>
      <c r="L2505" s="13">
        <v>1612.7133559322035</v>
      </c>
      <c r="M2505" s="198"/>
    </row>
    <row r="2506" spans="1:13" ht="15" customHeight="1" outlineLevel="1" x14ac:dyDescent="0.25">
      <c r="A2506" s="148"/>
      <c r="B2506" s="148"/>
      <c r="C2506" s="148"/>
      <c r="D2506" s="138"/>
      <c r="E2506" s="138"/>
      <c r="F2506" s="50">
        <v>43466</v>
      </c>
      <c r="G2506" s="50">
        <v>43646</v>
      </c>
      <c r="H2506" s="150"/>
      <c r="I2506" s="15" t="s">
        <v>23</v>
      </c>
      <c r="J2506" s="15" t="s">
        <v>23</v>
      </c>
      <c r="K2506" s="13">
        <v>28.627118644067792</v>
      </c>
      <c r="L2506" s="13">
        <v>1731.6711864406777</v>
      </c>
      <c r="M2506" s="196" t="s">
        <v>421</v>
      </c>
    </row>
    <row r="2507" spans="1:13" ht="15" customHeight="1" outlineLevel="1" x14ac:dyDescent="0.25">
      <c r="A2507" s="148"/>
      <c r="B2507" s="148"/>
      <c r="C2507" s="148"/>
      <c r="D2507" s="138"/>
      <c r="E2507" s="138"/>
      <c r="F2507" s="50">
        <v>43647</v>
      </c>
      <c r="G2507" s="50">
        <v>43830</v>
      </c>
      <c r="H2507" s="150"/>
      <c r="I2507" s="15" t="s">
        <v>23</v>
      </c>
      <c r="J2507" s="15" t="s">
        <v>23</v>
      </c>
      <c r="K2507" s="13">
        <v>29.19966101694915</v>
      </c>
      <c r="L2507" s="13">
        <v>1766.3046101694913</v>
      </c>
      <c r="M2507" s="198"/>
    </row>
    <row r="2508" spans="1:13" ht="15" customHeight="1" outlineLevel="1" x14ac:dyDescent="0.25">
      <c r="A2508" s="148"/>
      <c r="B2508" s="148"/>
      <c r="C2508" s="148"/>
      <c r="D2508" s="138"/>
      <c r="E2508" s="138"/>
      <c r="F2508" s="50">
        <v>43466</v>
      </c>
      <c r="G2508" s="50">
        <v>43646</v>
      </c>
      <c r="H2508" s="150"/>
      <c r="I2508" s="15" t="s">
        <v>23</v>
      </c>
      <c r="J2508" s="15" t="s">
        <v>23</v>
      </c>
      <c r="K2508" s="13">
        <v>28.627118644067792</v>
      </c>
      <c r="L2508" s="13">
        <v>1474.2610169491525</v>
      </c>
      <c r="M2508" s="196" t="s">
        <v>422</v>
      </c>
    </row>
    <row r="2509" spans="1:13" ht="15" customHeight="1" outlineLevel="1" x14ac:dyDescent="0.25">
      <c r="A2509" s="148"/>
      <c r="B2509" s="148"/>
      <c r="C2509" s="148"/>
      <c r="D2509" s="138"/>
      <c r="E2509" s="138"/>
      <c r="F2509" s="50">
        <v>43647</v>
      </c>
      <c r="G2509" s="50">
        <v>43830</v>
      </c>
      <c r="H2509" s="150"/>
      <c r="I2509" s="15" t="s">
        <v>23</v>
      </c>
      <c r="J2509" s="15" t="s">
        <v>23</v>
      </c>
      <c r="K2509" s="13">
        <v>29.19966101694915</v>
      </c>
      <c r="L2509" s="13">
        <v>1503.7462372881355</v>
      </c>
      <c r="M2509" s="198"/>
    </row>
    <row r="2510" spans="1:13" ht="15" customHeight="1" outlineLevel="1" x14ac:dyDescent="0.25">
      <c r="A2510" s="148"/>
      <c r="B2510" s="148"/>
      <c r="C2510" s="148"/>
      <c r="D2510" s="138"/>
      <c r="E2510" s="138"/>
      <c r="F2510" s="50">
        <v>43466</v>
      </c>
      <c r="G2510" s="50">
        <v>43646</v>
      </c>
      <c r="H2510" s="150"/>
      <c r="I2510" s="15" t="s">
        <v>23</v>
      </c>
      <c r="J2510" s="15" t="s">
        <v>23</v>
      </c>
      <c r="K2510" s="13">
        <v>28.627118644067792</v>
      </c>
      <c r="L2510" s="13">
        <v>1581.0915254237289</v>
      </c>
      <c r="M2510" s="196" t="s">
        <v>423</v>
      </c>
    </row>
    <row r="2511" spans="1:13" ht="15" customHeight="1" outlineLevel="1" x14ac:dyDescent="0.25">
      <c r="A2511" s="148"/>
      <c r="B2511" s="148"/>
      <c r="C2511" s="148"/>
      <c r="D2511" s="138"/>
      <c r="E2511" s="138"/>
      <c r="F2511" s="50">
        <v>43647</v>
      </c>
      <c r="G2511" s="50">
        <v>43830</v>
      </c>
      <c r="H2511" s="150"/>
      <c r="I2511" s="15" t="s">
        <v>23</v>
      </c>
      <c r="J2511" s="15" t="s">
        <v>23</v>
      </c>
      <c r="K2511" s="13">
        <v>29.19966101694915</v>
      </c>
      <c r="L2511" s="13">
        <v>1612.7133559322035</v>
      </c>
      <c r="M2511" s="198"/>
    </row>
    <row r="2512" spans="1:13" ht="15" customHeight="1" outlineLevel="1" x14ac:dyDescent="0.25">
      <c r="A2512" s="148"/>
      <c r="B2512" s="148"/>
      <c r="C2512" s="148"/>
      <c r="D2512" s="138"/>
      <c r="E2512" s="138"/>
      <c r="F2512" s="50">
        <v>43466</v>
      </c>
      <c r="G2512" s="50">
        <v>43646</v>
      </c>
      <c r="H2512" s="150"/>
      <c r="I2512" s="15" t="s">
        <v>23</v>
      </c>
      <c r="J2512" s="15" t="s">
        <v>23</v>
      </c>
      <c r="K2512" s="13">
        <v>28.627118644067792</v>
      </c>
      <c r="L2512" s="13">
        <v>1652.9593220338984</v>
      </c>
      <c r="M2512" s="196" t="s">
        <v>424</v>
      </c>
    </row>
    <row r="2513" spans="1:20" ht="15" customHeight="1" outlineLevel="1" x14ac:dyDescent="0.25">
      <c r="A2513" s="148"/>
      <c r="B2513" s="148"/>
      <c r="C2513" s="148"/>
      <c r="D2513" s="138"/>
      <c r="E2513" s="138"/>
      <c r="F2513" s="50">
        <v>43647</v>
      </c>
      <c r="G2513" s="50">
        <v>43830</v>
      </c>
      <c r="H2513" s="150"/>
      <c r="I2513" s="15" t="s">
        <v>23</v>
      </c>
      <c r="J2513" s="15" t="s">
        <v>23</v>
      </c>
      <c r="K2513" s="13">
        <v>29.19966101694915</v>
      </c>
      <c r="L2513" s="13">
        <v>1686.0185084745765</v>
      </c>
      <c r="M2513" s="198"/>
    </row>
    <row r="2514" spans="1:20" ht="15" customHeight="1" outlineLevel="1" x14ac:dyDescent="0.25">
      <c r="A2514" s="148"/>
      <c r="B2514" s="148"/>
      <c r="C2514" s="148"/>
      <c r="D2514" s="138"/>
      <c r="E2514" s="138"/>
      <c r="F2514" s="50">
        <v>43466</v>
      </c>
      <c r="G2514" s="50">
        <v>43646</v>
      </c>
      <c r="H2514" s="150"/>
      <c r="I2514" s="15" t="s">
        <v>23</v>
      </c>
      <c r="J2514" s="15" t="s">
        <v>23</v>
      </c>
      <c r="K2514" s="13">
        <v>28.627118644067792</v>
      </c>
      <c r="L2514" s="13">
        <v>1788.4474576271186</v>
      </c>
      <c r="M2514" s="196" t="s">
        <v>425</v>
      </c>
    </row>
    <row r="2515" spans="1:20" ht="15" customHeight="1" outlineLevel="1" x14ac:dyDescent="0.25">
      <c r="A2515" s="148"/>
      <c r="B2515" s="148"/>
      <c r="C2515" s="148"/>
      <c r="D2515" s="138"/>
      <c r="E2515" s="138"/>
      <c r="F2515" s="50">
        <v>43647</v>
      </c>
      <c r="G2515" s="50">
        <v>43830</v>
      </c>
      <c r="H2515" s="150"/>
      <c r="I2515" s="15" t="s">
        <v>23</v>
      </c>
      <c r="J2515" s="15" t="s">
        <v>23</v>
      </c>
      <c r="K2515" s="13">
        <v>29.19966101694915</v>
      </c>
      <c r="L2515" s="13">
        <v>1824.2164067796609</v>
      </c>
      <c r="M2515" s="198"/>
    </row>
    <row r="2516" spans="1:20" ht="15" customHeight="1" outlineLevel="1" x14ac:dyDescent="0.25">
      <c r="A2516" s="148"/>
      <c r="B2516" s="148"/>
      <c r="C2516" s="148"/>
      <c r="D2516" s="138"/>
      <c r="E2516" s="138"/>
      <c r="F2516" s="50">
        <v>43466</v>
      </c>
      <c r="G2516" s="50">
        <v>43646</v>
      </c>
      <c r="H2516" s="150"/>
      <c r="I2516" s="15" t="s">
        <v>23</v>
      </c>
      <c r="J2516" s="15" t="s">
        <v>23</v>
      </c>
      <c r="K2516" s="13">
        <v>28.627118644067792</v>
      </c>
      <c r="L2516" s="13">
        <v>1515.2135593220339</v>
      </c>
      <c r="M2516" s="196" t="s">
        <v>426</v>
      </c>
      <c r="N2516" s="55">
        <f>K2516/1.2</f>
        <v>23.855932203389827</v>
      </c>
      <c r="O2516" s="55">
        <f>L2516/1.2</f>
        <v>1262.6779661016949</v>
      </c>
      <c r="P2516" s="121">
        <f>I2502-N2516</f>
        <v>16.044067796610172</v>
      </c>
      <c r="Q2516" s="57">
        <f>J2502-O2516</f>
        <v>1112.462033898305</v>
      </c>
      <c r="R2516" s="57">
        <f>P2516*9824.956</f>
        <v>157632.2601627119</v>
      </c>
      <c r="S2516" s="58">
        <f>Q2516*707.397</f>
        <v>786952.30539355928</v>
      </c>
      <c r="T2516" s="55">
        <f>R2516+S2516</f>
        <v>944584.56555627123</v>
      </c>
    </row>
    <row r="2517" spans="1:20" ht="15" customHeight="1" outlineLevel="1" x14ac:dyDescent="0.25">
      <c r="A2517" s="148"/>
      <c r="B2517" s="148"/>
      <c r="C2517" s="148"/>
      <c r="D2517" s="138"/>
      <c r="E2517" s="138"/>
      <c r="F2517" s="50">
        <v>43647</v>
      </c>
      <c r="G2517" s="50">
        <v>43830</v>
      </c>
      <c r="H2517" s="150"/>
      <c r="I2517" s="15" t="s">
        <v>23</v>
      </c>
      <c r="J2517" s="15" t="s">
        <v>23</v>
      </c>
      <c r="K2517" s="13">
        <v>29.19966101694915</v>
      </c>
      <c r="L2517" s="13">
        <v>1545.5178305084746</v>
      </c>
      <c r="M2517" s="198"/>
    </row>
    <row r="2518" spans="1:20" ht="15" customHeight="1" outlineLevel="1" x14ac:dyDescent="0.25">
      <c r="A2518" s="148"/>
      <c r="B2518" s="148"/>
      <c r="C2518" s="148"/>
      <c r="D2518" s="138"/>
      <c r="E2518" s="138"/>
      <c r="F2518" s="50">
        <v>43466</v>
      </c>
      <c r="G2518" s="50">
        <v>43646</v>
      </c>
      <c r="H2518" s="150"/>
      <c r="I2518" s="15" t="s">
        <v>23</v>
      </c>
      <c r="J2518" s="15" t="s">
        <v>23</v>
      </c>
      <c r="K2518" s="13">
        <v>28.627118644067792</v>
      </c>
      <c r="L2518" s="13">
        <v>1652.9593220338984</v>
      </c>
      <c r="M2518" s="196" t="s">
        <v>427</v>
      </c>
      <c r="N2518" s="55">
        <f>K2518/1.2</f>
        <v>23.855932203389827</v>
      </c>
      <c r="O2518" s="55">
        <f>L2518/1.2</f>
        <v>1377.4661016949153</v>
      </c>
      <c r="P2518" s="121">
        <f>I2502-N2518</f>
        <v>16.044067796610172</v>
      </c>
      <c r="Q2518" s="57">
        <f>J2502-O2518</f>
        <v>997.67389830508455</v>
      </c>
      <c r="R2518" s="57">
        <f>P2518*9873.166</f>
        <v>158405.74467118646</v>
      </c>
      <c r="S2518" s="58">
        <f>Q2518*651.629</f>
        <v>650113.244678644</v>
      </c>
      <c r="T2518" s="55">
        <f>R2518+S2518</f>
        <v>808518.98934983043</v>
      </c>
    </row>
    <row r="2519" spans="1:20" ht="15" customHeight="1" outlineLevel="1" x14ac:dyDescent="0.25">
      <c r="A2519" s="147"/>
      <c r="B2519" s="147"/>
      <c r="C2519" s="147"/>
      <c r="D2519" s="141"/>
      <c r="E2519" s="141"/>
      <c r="F2519" s="50">
        <v>43647</v>
      </c>
      <c r="G2519" s="50">
        <v>43830</v>
      </c>
      <c r="H2519" s="151"/>
      <c r="I2519" s="15" t="s">
        <v>23</v>
      </c>
      <c r="J2519" s="15" t="s">
        <v>23</v>
      </c>
      <c r="K2519" s="13">
        <v>29.19966101694915</v>
      </c>
      <c r="L2519" s="13">
        <v>1686.0185084745765</v>
      </c>
      <c r="M2519" s="198"/>
    </row>
    <row r="2520" spans="1:20" ht="15" customHeight="1" outlineLevel="1" x14ac:dyDescent="0.25">
      <c r="A2520" s="146" t="s">
        <v>51</v>
      </c>
      <c r="B2520" s="146" t="s">
        <v>772</v>
      </c>
      <c r="C2520" s="146" t="s">
        <v>196</v>
      </c>
      <c r="D2520" s="137">
        <v>43453</v>
      </c>
      <c r="E2520" s="137" t="s">
        <v>691</v>
      </c>
      <c r="F2520" s="12">
        <v>43466</v>
      </c>
      <c r="G2520" s="12">
        <v>43646</v>
      </c>
      <c r="H2520" s="149"/>
      <c r="I2520" s="66">
        <v>67.67</v>
      </c>
      <c r="J2520" s="13">
        <v>2138.73</v>
      </c>
      <c r="K2520" s="15" t="s">
        <v>23</v>
      </c>
      <c r="L2520" s="15" t="s">
        <v>23</v>
      </c>
      <c r="M2520" s="153"/>
    </row>
    <row r="2521" spans="1:20" ht="15" customHeight="1" outlineLevel="1" x14ac:dyDescent="0.25">
      <c r="A2521" s="148"/>
      <c r="B2521" s="148"/>
      <c r="C2521" s="148"/>
      <c r="D2521" s="141"/>
      <c r="E2521" s="141"/>
      <c r="F2521" s="12">
        <v>43647</v>
      </c>
      <c r="G2521" s="12">
        <v>43830</v>
      </c>
      <c r="H2521" s="151"/>
      <c r="I2521" s="66">
        <v>95.2</v>
      </c>
      <c r="J2521" s="13">
        <v>2144.13</v>
      </c>
      <c r="K2521" s="15" t="s">
        <v>23</v>
      </c>
      <c r="L2521" s="15" t="s">
        <v>23</v>
      </c>
      <c r="M2521" s="152"/>
    </row>
    <row r="2522" spans="1:20" ht="15" customHeight="1" outlineLevel="1" x14ac:dyDescent="0.25">
      <c r="A2522" s="148"/>
      <c r="B2522" s="148"/>
      <c r="C2522" s="148"/>
      <c r="D2522" s="137">
        <v>43454</v>
      </c>
      <c r="E2522" s="137" t="s">
        <v>742</v>
      </c>
      <c r="F2522" s="50">
        <v>43466</v>
      </c>
      <c r="G2522" s="50">
        <v>43646</v>
      </c>
      <c r="H2522" s="149"/>
      <c r="I2522" s="15" t="s">
        <v>23</v>
      </c>
      <c r="J2522" s="15" t="s">
        <v>23</v>
      </c>
      <c r="K2522" s="13">
        <v>56.044627118644065</v>
      </c>
      <c r="L2522" s="13">
        <v>1274.3124539425219</v>
      </c>
      <c r="M2522" s="196" t="s">
        <v>420</v>
      </c>
    </row>
    <row r="2523" spans="1:20" ht="15" customHeight="1" outlineLevel="1" x14ac:dyDescent="0.25">
      <c r="A2523" s="148"/>
      <c r="B2523" s="148"/>
      <c r="C2523" s="148"/>
      <c r="D2523" s="138"/>
      <c r="E2523" s="138"/>
      <c r="F2523" s="50">
        <v>43647</v>
      </c>
      <c r="G2523" s="50">
        <v>43830</v>
      </c>
      <c r="H2523" s="150"/>
      <c r="I2523" s="15" t="s">
        <v>23</v>
      </c>
      <c r="J2523" s="15" t="s">
        <v>23</v>
      </c>
      <c r="K2523" s="13">
        <v>57.165519661016951</v>
      </c>
      <c r="L2523" s="13">
        <v>1299.7987030213724</v>
      </c>
      <c r="M2523" s="198"/>
    </row>
    <row r="2524" spans="1:20" ht="15" customHeight="1" outlineLevel="1" x14ac:dyDescent="0.25">
      <c r="A2524" s="148"/>
      <c r="B2524" s="148"/>
      <c r="C2524" s="148"/>
      <c r="D2524" s="138"/>
      <c r="E2524" s="138"/>
      <c r="F2524" s="50">
        <v>43466</v>
      </c>
      <c r="G2524" s="50">
        <v>43646</v>
      </c>
      <c r="H2524" s="150"/>
      <c r="I2524" s="15" t="s">
        <v>23</v>
      </c>
      <c r="J2524" s="15" t="s">
        <v>23</v>
      </c>
      <c r="K2524" s="13">
        <v>56.044627118644065</v>
      </c>
      <c r="L2524" s="13">
        <v>1395.6755447941889</v>
      </c>
      <c r="M2524" s="196" t="s">
        <v>421</v>
      </c>
    </row>
    <row r="2525" spans="1:20" ht="15" customHeight="1" outlineLevel="1" x14ac:dyDescent="0.25">
      <c r="A2525" s="148"/>
      <c r="B2525" s="148"/>
      <c r="C2525" s="148"/>
      <c r="D2525" s="138"/>
      <c r="E2525" s="138"/>
      <c r="F2525" s="50">
        <v>43647</v>
      </c>
      <c r="G2525" s="50">
        <v>43830</v>
      </c>
      <c r="H2525" s="150"/>
      <c r="I2525" s="15" t="s">
        <v>23</v>
      </c>
      <c r="J2525" s="15" t="s">
        <v>23</v>
      </c>
      <c r="K2525" s="13">
        <v>57.165519661016951</v>
      </c>
      <c r="L2525" s="13">
        <v>1423.5890556900727</v>
      </c>
      <c r="M2525" s="198"/>
    </row>
    <row r="2526" spans="1:20" ht="15" customHeight="1" outlineLevel="1" x14ac:dyDescent="0.25">
      <c r="A2526" s="148"/>
      <c r="B2526" s="148"/>
      <c r="C2526" s="148"/>
      <c r="D2526" s="138"/>
      <c r="E2526" s="138"/>
      <c r="F2526" s="50">
        <v>43466</v>
      </c>
      <c r="G2526" s="50">
        <v>43646</v>
      </c>
      <c r="H2526" s="150"/>
      <c r="I2526" s="15" t="s">
        <v>23</v>
      </c>
      <c r="J2526" s="15" t="s">
        <v>23</v>
      </c>
      <c r="K2526" s="13">
        <v>56.044627118644065</v>
      </c>
      <c r="L2526" s="13">
        <v>1188.2102611085663</v>
      </c>
      <c r="M2526" s="196" t="s">
        <v>422</v>
      </c>
    </row>
    <row r="2527" spans="1:20" ht="15" customHeight="1" outlineLevel="1" x14ac:dyDescent="0.25">
      <c r="A2527" s="148"/>
      <c r="B2527" s="148"/>
      <c r="C2527" s="148"/>
      <c r="D2527" s="138"/>
      <c r="E2527" s="138"/>
      <c r="F2527" s="50">
        <v>43647</v>
      </c>
      <c r="G2527" s="50">
        <v>43830</v>
      </c>
      <c r="H2527" s="150"/>
      <c r="I2527" s="15" t="s">
        <v>23</v>
      </c>
      <c r="J2527" s="15" t="s">
        <v>23</v>
      </c>
      <c r="K2527" s="13">
        <v>57.165519661016951</v>
      </c>
      <c r="L2527" s="13">
        <v>1211.9744663307376</v>
      </c>
      <c r="M2527" s="198"/>
    </row>
    <row r="2528" spans="1:20" ht="15" customHeight="1" outlineLevel="1" x14ac:dyDescent="0.25">
      <c r="A2528" s="148"/>
      <c r="B2528" s="148"/>
      <c r="C2528" s="148"/>
      <c r="D2528" s="138"/>
      <c r="E2528" s="138"/>
      <c r="F2528" s="50">
        <v>43466</v>
      </c>
      <c r="G2528" s="50">
        <v>43646</v>
      </c>
      <c r="H2528" s="150"/>
      <c r="I2528" s="15" t="s">
        <v>23</v>
      </c>
      <c r="J2528" s="15" t="s">
        <v>23</v>
      </c>
      <c r="K2528" s="13">
        <v>56.044627118644065</v>
      </c>
      <c r="L2528" s="13">
        <v>1274.3124539425203</v>
      </c>
      <c r="M2528" s="196" t="s">
        <v>423</v>
      </c>
    </row>
    <row r="2529" spans="1:13" ht="15" customHeight="1" outlineLevel="1" x14ac:dyDescent="0.25">
      <c r="A2529" s="148"/>
      <c r="B2529" s="148"/>
      <c r="C2529" s="148"/>
      <c r="D2529" s="138"/>
      <c r="E2529" s="138"/>
      <c r="F2529" s="50">
        <v>43647</v>
      </c>
      <c r="G2529" s="50">
        <v>43830</v>
      </c>
      <c r="H2529" s="150"/>
      <c r="I2529" s="15" t="s">
        <v>23</v>
      </c>
      <c r="J2529" s="15" t="s">
        <v>23</v>
      </c>
      <c r="K2529" s="13">
        <v>57.165519661016951</v>
      </c>
      <c r="L2529" s="13">
        <v>1299.7987030213708</v>
      </c>
      <c r="M2529" s="198"/>
    </row>
    <row r="2530" spans="1:13" ht="15" customHeight="1" outlineLevel="1" x14ac:dyDescent="0.25">
      <c r="A2530" s="148"/>
      <c r="B2530" s="148"/>
      <c r="C2530" s="148"/>
      <c r="D2530" s="138"/>
      <c r="E2530" s="138"/>
      <c r="F2530" s="50">
        <v>43466</v>
      </c>
      <c r="G2530" s="50">
        <v>43646</v>
      </c>
      <c r="H2530" s="150"/>
      <c r="I2530" s="15" t="s">
        <v>23</v>
      </c>
      <c r="J2530" s="15" t="s">
        <v>23</v>
      </c>
      <c r="K2530" s="13">
        <v>56.044627118644065</v>
      </c>
      <c r="L2530" s="13">
        <v>1332.2357473035438</v>
      </c>
      <c r="M2530" s="196" t="s">
        <v>424</v>
      </c>
    </row>
    <row r="2531" spans="1:13" ht="15" customHeight="1" outlineLevel="1" x14ac:dyDescent="0.25">
      <c r="A2531" s="148"/>
      <c r="B2531" s="148"/>
      <c r="C2531" s="148"/>
      <c r="D2531" s="138"/>
      <c r="E2531" s="138"/>
      <c r="F2531" s="50">
        <v>43647</v>
      </c>
      <c r="G2531" s="50">
        <v>43830</v>
      </c>
      <c r="H2531" s="150"/>
      <c r="I2531" s="15" t="s">
        <v>23</v>
      </c>
      <c r="J2531" s="15" t="s">
        <v>23</v>
      </c>
      <c r="K2531" s="13">
        <v>57.165519661016951</v>
      </c>
      <c r="L2531" s="13">
        <v>1358.8804622496148</v>
      </c>
      <c r="M2531" s="198"/>
    </row>
    <row r="2532" spans="1:13" ht="15" customHeight="1" outlineLevel="1" x14ac:dyDescent="0.25">
      <c r="A2532" s="148"/>
      <c r="B2532" s="148"/>
      <c r="C2532" s="148"/>
      <c r="D2532" s="138"/>
      <c r="E2532" s="138"/>
      <c r="F2532" s="50">
        <v>43466</v>
      </c>
      <c r="G2532" s="50">
        <v>43646</v>
      </c>
      <c r="H2532" s="150"/>
      <c r="I2532" s="15" t="s">
        <v>23</v>
      </c>
      <c r="J2532" s="15" t="s">
        <v>23</v>
      </c>
      <c r="K2532" s="13">
        <v>56.044627118644065</v>
      </c>
      <c r="L2532" s="13">
        <v>1441.4353987218672</v>
      </c>
      <c r="M2532" s="196" t="s">
        <v>425</v>
      </c>
    </row>
    <row r="2533" spans="1:13" ht="15" customHeight="1" outlineLevel="1" x14ac:dyDescent="0.25">
      <c r="A2533" s="148"/>
      <c r="B2533" s="148"/>
      <c r="C2533" s="148"/>
      <c r="D2533" s="138"/>
      <c r="E2533" s="138"/>
      <c r="F2533" s="50">
        <v>43647</v>
      </c>
      <c r="G2533" s="50">
        <v>43830</v>
      </c>
      <c r="H2533" s="150"/>
      <c r="I2533" s="15" t="s">
        <v>23</v>
      </c>
      <c r="J2533" s="15" t="s">
        <v>23</v>
      </c>
      <c r="K2533" s="13">
        <v>57.165519661016951</v>
      </c>
      <c r="L2533" s="13">
        <v>1470.2641066963045</v>
      </c>
      <c r="M2533" s="198"/>
    </row>
    <row r="2534" spans="1:13" ht="15" customHeight="1" outlineLevel="1" x14ac:dyDescent="0.25">
      <c r="A2534" s="148"/>
      <c r="B2534" s="148"/>
      <c r="C2534" s="148"/>
      <c r="D2534" s="138"/>
      <c r="E2534" s="138"/>
      <c r="F2534" s="50">
        <v>43466</v>
      </c>
      <c r="G2534" s="50">
        <v>43646</v>
      </c>
      <c r="H2534" s="150"/>
      <c r="I2534" s="15" t="s">
        <v>23</v>
      </c>
      <c r="J2534" s="15" t="s">
        <v>23</v>
      </c>
      <c r="K2534" s="13">
        <v>56.044627118644065</v>
      </c>
      <c r="L2534" s="13">
        <v>1221.2161016949153</v>
      </c>
      <c r="M2534" s="196" t="s">
        <v>426</v>
      </c>
    </row>
    <row r="2535" spans="1:13" ht="15" customHeight="1" outlineLevel="1" x14ac:dyDescent="0.25">
      <c r="A2535" s="148"/>
      <c r="B2535" s="148"/>
      <c r="C2535" s="148"/>
      <c r="D2535" s="138"/>
      <c r="E2535" s="138"/>
      <c r="F2535" s="50">
        <v>43647</v>
      </c>
      <c r="G2535" s="50">
        <v>43830</v>
      </c>
      <c r="H2535" s="150"/>
      <c r="I2535" s="15" t="s">
        <v>23</v>
      </c>
      <c r="J2535" s="15" t="s">
        <v>23</v>
      </c>
      <c r="K2535" s="13">
        <v>57.165519661016951</v>
      </c>
      <c r="L2535" s="13">
        <v>1245.6404237288136</v>
      </c>
      <c r="M2535" s="198"/>
    </row>
    <row r="2536" spans="1:13" ht="15" customHeight="1" outlineLevel="1" x14ac:dyDescent="0.25">
      <c r="A2536" s="148"/>
      <c r="B2536" s="148"/>
      <c r="C2536" s="148"/>
      <c r="D2536" s="138"/>
      <c r="E2536" s="138"/>
      <c r="F2536" s="50">
        <v>43466</v>
      </c>
      <c r="G2536" s="50">
        <v>43646</v>
      </c>
      <c r="H2536" s="150"/>
      <c r="I2536" s="15" t="s">
        <v>23</v>
      </c>
      <c r="J2536" s="15" t="s">
        <v>23</v>
      </c>
      <c r="K2536" s="13">
        <v>56.044627118644065</v>
      </c>
      <c r="L2536" s="13">
        <v>1332.2357473035438</v>
      </c>
      <c r="M2536" s="196" t="s">
        <v>427</v>
      </c>
    </row>
    <row r="2537" spans="1:13" ht="15" customHeight="1" outlineLevel="1" x14ac:dyDescent="0.25">
      <c r="A2537" s="147"/>
      <c r="B2537" s="147"/>
      <c r="C2537" s="147"/>
      <c r="D2537" s="141"/>
      <c r="E2537" s="141"/>
      <c r="F2537" s="50">
        <v>43647</v>
      </c>
      <c r="G2537" s="50">
        <v>43830</v>
      </c>
      <c r="H2537" s="151"/>
      <c r="I2537" s="15" t="s">
        <v>23</v>
      </c>
      <c r="J2537" s="15" t="s">
        <v>23</v>
      </c>
      <c r="K2537" s="13">
        <v>57.165519661016951</v>
      </c>
      <c r="L2537" s="13">
        <v>1358.8804622496148</v>
      </c>
      <c r="M2537" s="198"/>
    </row>
    <row r="2538" spans="1:13" ht="15" customHeight="1" outlineLevel="1" x14ac:dyDescent="0.25">
      <c r="A2538" s="146" t="s">
        <v>51</v>
      </c>
      <c r="B2538" s="146" t="s">
        <v>194</v>
      </c>
      <c r="C2538" s="146" t="s">
        <v>91</v>
      </c>
      <c r="D2538" s="137">
        <v>43453</v>
      </c>
      <c r="E2538" s="137" t="s">
        <v>754</v>
      </c>
      <c r="F2538" s="12">
        <v>43466</v>
      </c>
      <c r="G2538" s="12">
        <v>43646</v>
      </c>
      <c r="H2538" s="149"/>
      <c r="I2538" s="66">
        <v>50.17</v>
      </c>
      <c r="J2538" s="13">
        <v>2324.58</v>
      </c>
      <c r="K2538" s="15" t="s">
        <v>23</v>
      </c>
      <c r="L2538" s="15" t="s">
        <v>23</v>
      </c>
      <c r="M2538" s="153"/>
    </row>
    <row r="2539" spans="1:13" ht="15" customHeight="1" outlineLevel="1" x14ac:dyDescent="0.25">
      <c r="A2539" s="148"/>
      <c r="B2539" s="148"/>
      <c r="C2539" s="148"/>
      <c r="D2539" s="141"/>
      <c r="E2539" s="141"/>
      <c r="F2539" s="12">
        <v>43647</v>
      </c>
      <c r="G2539" s="12">
        <v>43830</v>
      </c>
      <c r="H2539" s="151"/>
      <c r="I2539" s="66">
        <v>53.7</v>
      </c>
      <c r="J2539" s="13">
        <v>2337.25</v>
      </c>
      <c r="K2539" s="15" t="s">
        <v>23</v>
      </c>
      <c r="L2539" s="15" t="s">
        <v>23</v>
      </c>
      <c r="M2539" s="152"/>
    </row>
    <row r="2540" spans="1:13" ht="15" customHeight="1" outlineLevel="1" x14ac:dyDescent="0.25">
      <c r="A2540" s="148"/>
      <c r="B2540" s="148"/>
      <c r="C2540" s="148"/>
      <c r="D2540" s="137">
        <v>43454</v>
      </c>
      <c r="E2540" s="137" t="s">
        <v>742</v>
      </c>
      <c r="F2540" s="50">
        <v>43466</v>
      </c>
      <c r="G2540" s="50">
        <v>43646</v>
      </c>
      <c r="H2540" s="149"/>
      <c r="I2540" s="15" t="s">
        <v>23</v>
      </c>
      <c r="J2540" s="15" t="s">
        <v>23</v>
      </c>
      <c r="K2540" s="13">
        <v>38.50113559322034</v>
      </c>
      <c r="L2540" s="13">
        <v>2081.0725128960935</v>
      </c>
      <c r="M2540" s="196" t="s">
        <v>420</v>
      </c>
    </row>
    <row r="2541" spans="1:13" ht="15" customHeight="1" outlineLevel="1" x14ac:dyDescent="0.25">
      <c r="A2541" s="148"/>
      <c r="B2541" s="148"/>
      <c r="C2541" s="148"/>
      <c r="D2541" s="138"/>
      <c r="E2541" s="138"/>
      <c r="F2541" s="50">
        <v>43647</v>
      </c>
      <c r="G2541" s="50">
        <v>43830</v>
      </c>
      <c r="H2541" s="150"/>
      <c r="I2541" s="15" t="s">
        <v>23</v>
      </c>
      <c r="J2541" s="15" t="s">
        <v>23</v>
      </c>
      <c r="K2541" s="13">
        <v>39.271158305084747</v>
      </c>
      <c r="L2541" s="13">
        <v>2122.6939631540154</v>
      </c>
      <c r="M2541" s="198"/>
    </row>
    <row r="2542" spans="1:13" ht="15" customHeight="1" outlineLevel="1" x14ac:dyDescent="0.25">
      <c r="A2542" s="148"/>
      <c r="B2542" s="148"/>
      <c r="C2542" s="148"/>
      <c r="D2542" s="138"/>
      <c r="E2542" s="138"/>
      <c r="F2542" s="50">
        <v>43466</v>
      </c>
      <c r="G2542" s="50">
        <v>43646</v>
      </c>
      <c r="H2542" s="150"/>
      <c r="I2542" s="15" t="s">
        <v>23</v>
      </c>
      <c r="J2542" s="15" t="s">
        <v>23</v>
      </c>
      <c r="K2542" s="13">
        <v>38.50113559322034</v>
      </c>
      <c r="L2542" s="13">
        <v>2279.2698950766744</v>
      </c>
      <c r="M2542" s="196" t="s">
        <v>421</v>
      </c>
    </row>
    <row r="2543" spans="1:13" ht="15" customHeight="1" outlineLevel="1" x14ac:dyDescent="0.25">
      <c r="A2543" s="148"/>
      <c r="B2543" s="148"/>
      <c r="C2543" s="148"/>
      <c r="D2543" s="138"/>
      <c r="E2543" s="138"/>
      <c r="F2543" s="50">
        <v>43647</v>
      </c>
      <c r="G2543" s="50">
        <v>43830</v>
      </c>
      <c r="H2543" s="150"/>
      <c r="I2543" s="15" t="s">
        <v>23</v>
      </c>
      <c r="J2543" s="15" t="s">
        <v>23</v>
      </c>
      <c r="K2543" s="13">
        <v>39.271158305084747</v>
      </c>
      <c r="L2543" s="13">
        <v>2324.8552929782081</v>
      </c>
      <c r="M2543" s="198"/>
    </row>
    <row r="2544" spans="1:13" ht="15" customHeight="1" outlineLevel="1" x14ac:dyDescent="0.25">
      <c r="A2544" s="148"/>
      <c r="B2544" s="148"/>
      <c r="C2544" s="148"/>
      <c r="D2544" s="138"/>
      <c r="E2544" s="138"/>
      <c r="F2544" s="50">
        <v>43466</v>
      </c>
      <c r="G2544" s="50">
        <v>43646</v>
      </c>
      <c r="H2544" s="150"/>
      <c r="I2544" s="15" t="s">
        <v>23</v>
      </c>
      <c r="J2544" s="15" t="s">
        <v>23</v>
      </c>
      <c r="K2544" s="13">
        <v>38.50113559322034</v>
      </c>
      <c r="L2544" s="13">
        <v>1940.4595052679795</v>
      </c>
      <c r="M2544" s="196" t="s">
        <v>422</v>
      </c>
    </row>
    <row r="2545" spans="1:13" ht="15" customHeight="1" outlineLevel="1" x14ac:dyDescent="0.25">
      <c r="A2545" s="148"/>
      <c r="B2545" s="148"/>
      <c r="C2545" s="148"/>
      <c r="D2545" s="138"/>
      <c r="E2545" s="138"/>
      <c r="F2545" s="50">
        <v>43647</v>
      </c>
      <c r="G2545" s="50">
        <v>43830</v>
      </c>
      <c r="H2545" s="150"/>
      <c r="I2545" s="15" t="s">
        <v>23</v>
      </c>
      <c r="J2545" s="15" t="s">
        <v>23</v>
      </c>
      <c r="K2545" s="13">
        <v>39.271158305084747</v>
      </c>
      <c r="L2545" s="13">
        <v>1979.2686953733391</v>
      </c>
      <c r="M2545" s="198"/>
    </row>
    <row r="2546" spans="1:13" ht="15" customHeight="1" outlineLevel="1" x14ac:dyDescent="0.25">
      <c r="A2546" s="148"/>
      <c r="B2546" s="148"/>
      <c r="C2546" s="148"/>
      <c r="D2546" s="138"/>
      <c r="E2546" s="138"/>
      <c r="F2546" s="50">
        <v>43466</v>
      </c>
      <c r="G2546" s="50">
        <v>43646</v>
      </c>
      <c r="H2546" s="150"/>
      <c r="I2546" s="15" t="s">
        <v>23</v>
      </c>
      <c r="J2546" s="15" t="s">
        <v>23</v>
      </c>
      <c r="K2546" s="13">
        <v>38.50113559322034</v>
      </c>
      <c r="L2546" s="13">
        <v>2081.0725128960935</v>
      </c>
      <c r="M2546" s="196" t="s">
        <v>423</v>
      </c>
    </row>
    <row r="2547" spans="1:13" ht="15" customHeight="1" outlineLevel="1" x14ac:dyDescent="0.25">
      <c r="A2547" s="148"/>
      <c r="B2547" s="148"/>
      <c r="C2547" s="148"/>
      <c r="D2547" s="138"/>
      <c r="E2547" s="138"/>
      <c r="F2547" s="50">
        <v>43647</v>
      </c>
      <c r="G2547" s="50">
        <v>43830</v>
      </c>
      <c r="H2547" s="150"/>
      <c r="I2547" s="15" t="s">
        <v>23</v>
      </c>
      <c r="J2547" s="15" t="s">
        <v>23</v>
      </c>
      <c r="K2547" s="13">
        <v>39.271158305084747</v>
      </c>
      <c r="L2547" s="13">
        <v>2122.6939631540154</v>
      </c>
      <c r="M2547" s="198"/>
    </row>
    <row r="2548" spans="1:13" ht="15" customHeight="1" outlineLevel="1" x14ac:dyDescent="0.25">
      <c r="A2548" s="148"/>
      <c r="B2548" s="148"/>
      <c r="C2548" s="148"/>
      <c r="D2548" s="138"/>
      <c r="E2548" s="138"/>
      <c r="F2548" s="50">
        <v>43466</v>
      </c>
      <c r="G2548" s="50">
        <v>43646</v>
      </c>
      <c r="H2548" s="150"/>
      <c r="I2548" s="15" t="s">
        <v>23</v>
      </c>
      <c r="J2548" s="15" t="s">
        <v>23</v>
      </c>
      <c r="K2548" s="13">
        <v>38.50113559322034</v>
      </c>
      <c r="L2548" s="13">
        <v>2175.6667180277345</v>
      </c>
      <c r="M2548" s="196" t="s">
        <v>424</v>
      </c>
    </row>
    <row r="2549" spans="1:13" ht="15" customHeight="1" outlineLevel="1" x14ac:dyDescent="0.25">
      <c r="A2549" s="148"/>
      <c r="B2549" s="148"/>
      <c r="C2549" s="148"/>
      <c r="D2549" s="138"/>
      <c r="E2549" s="138"/>
      <c r="F2549" s="50">
        <v>43647</v>
      </c>
      <c r="G2549" s="50">
        <v>43830</v>
      </c>
      <c r="H2549" s="150"/>
      <c r="I2549" s="15" t="s">
        <v>23</v>
      </c>
      <c r="J2549" s="15" t="s">
        <v>23</v>
      </c>
      <c r="K2549" s="13">
        <v>39.271158305084747</v>
      </c>
      <c r="L2549" s="13">
        <v>2219.1800523882894</v>
      </c>
      <c r="M2549" s="198"/>
    </row>
    <row r="2550" spans="1:13" ht="15" customHeight="1" outlineLevel="1" x14ac:dyDescent="0.25">
      <c r="A2550" s="148"/>
      <c r="B2550" s="148"/>
      <c r="C2550" s="148"/>
      <c r="D2550" s="138"/>
      <c r="E2550" s="138"/>
      <c r="F2550" s="50">
        <v>43466</v>
      </c>
      <c r="G2550" s="50">
        <v>43646</v>
      </c>
      <c r="H2550" s="150"/>
      <c r="I2550" s="15" t="s">
        <v>23</v>
      </c>
      <c r="J2550" s="15" t="s">
        <v>23</v>
      </c>
      <c r="K2550" s="13">
        <v>38.50113559322034</v>
      </c>
      <c r="L2550" s="13">
        <v>2354.0000555709917</v>
      </c>
      <c r="M2550" s="196" t="s">
        <v>425</v>
      </c>
    </row>
    <row r="2551" spans="1:13" ht="15" customHeight="1" outlineLevel="1" x14ac:dyDescent="0.25">
      <c r="A2551" s="148"/>
      <c r="B2551" s="148"/>
      <c r="C2551" s="148"/>
      <c r="D2551" s="138"/>
      <c r="E2551" s="138"/>
      <c r="F2551" s="50">
        <v>43647</v>
      </c>
      <c r="G2551" s="50">
        <v>43830</v>
      </c>
      <c r="H2551" s="150"/>
      <c r="I2551" s="15" t="s">
        <v>23</v>
      </c>
      <c r="J2551" s="15" t="s">
        <v>23</v>
      </c>
      <c r="K2551" s="13">
        <v>39.271158305084747</v>
      </c>
      <c r="L2551" s="13">
        <v>2401.0800566824114</v>
      </c>
      <c r="M2551" s="198"/>
    </row>
    <row r="2552" spans="1:13" ht="15" customHeight="1" outlineLevel="1" x14ac:dyDescent="0.25">
      <c r="A2552" s="148"/>
      <c r="B2552" s="148"/>
      <c r="C2552" s="148"/>
      <c r="D2552" s="138"/>
      <c r="E2552" s="138"/>
      <c r="F2552" s="50">
        <v>43466</v>
      </c>
      <c r="G2552" s="50">
        <v>43646</v>
      </c>
      <c r="H2552" s="150"/>
      <c r="I2552" s="15" t="s">
        <v>23</v>
      </c>
      <c r="J2552" s="15" t="s">
        <v>23</v>
      </c>
      <c r="K2552" s="13">
        <v>38.50113559322034</v>
      </c>
      <c r="L2552" s="13">
        <v>1994.36115819209</v>
      </c>
      <c r="M2552" s="196" t="s">
        <v>426</v>
      </c>
    </row>
    <row r="2553" spans="1:13" ht="15" customHeight="1" outlineLevel="1" x14ac:dyDescent="0.25">
      <c r="A2553" s="148"/>
      <c r="B2553" s="148"/>
      <c r="C2553" s="148"/>
      <c r="D2553" s="138"/>
      <c r="E2553" s="138"/>
      <c r="F2553" s="50">
        <v>43647</v>
      </c>
      <c r="G2553" s="50">
        <v>43830</v>
      </c>
      <c r="H2553" s="150"/>
      <c r="I2553" s="15" t="s">
        <v>23</v>
      </c>
      <c r="J2553" s="15" t="s">
        <v>23</v>
      </c>
      <c r="K2553" s="13">
        <v>39.271158305084747</v>
      </c>
      <c r="L2553" s="13">
        <v>2034.2483813559318</v>
      </c>
      <c r="M2553" s="198"/>
    </row>
    <row r="2554" spans="1:13" ht="15" customHeight="1" outlineLevel="1" x14ac:dyDescent="0.25">
      <c r="A2554" s="148"/>
      <c r="B2554" s="148"/>
      <c r="C2554" s="148"/>
      <c r="D2554" s="138"/>
      <c r="E2554" s="138"/>
      <c r="F2554" s="50">
        <v>43466</v>
      </c>
      <c r="G2554" s="50">
        <v>43646</v>
      </c>
      <c r="H2554" s="150"/>
      <c r="I2554" s="15" t="s">
        <v>23</v>
      </c>
      <c r="J2554" s="15" t="s">
        <v>23</v>
      </c>
      <c r="K2554" s="13">
        <v>38.50113559322034</v>
      </c>
      <c r="L2554" s="13">
        <v>2175.6667180277345</v>
      </c>
      <c r="M2554" s="196" t="s">
        <v>427</v>
      </c>
    </row>
    <row r="2555" spans="1:13" ht="15" customHeight="1" outlineLevel="1" x14ac:dyDescent="0.25">
      <c r="A2555" s="147"/>
      <c r="B2555" s="147"/>
      <c r="C2555" s="147"/>
      <c r="D2555" s="141"/>
      <c r="E2555" s="141"/>
      <c r="F2555" s="50">
        <v>43647</v>
      </c>
      <c r="G2555" s="50">
        <v>43830</v>
      </c>
      <c r="H2555" s="151"/>
      <c r="I2555" s="15" t="s">
        <v>23</v>
      </c>
      <c r="J2555" s="15" t="s">
        <v>23</v>
      </c>
      <c r="K2555" s="13">
        <v>39.271158305084747</v>
      </c>
      <c r="L2555" s="13">
        <v>2219.1800523882894</v>
      </c>
      <c r="M2555" s="198"/>
    </row>
    <row r="2556" spans="1:13" ht="15" customHeight="1" outlineLevel="1" x14ac:dyDescent="0.25">
      <c r="A2556" s="146" t="s">
        <v>51</v>
      </c>
      <c r="B2556" s="146" t="s">
        <v>183</v>
      </c>
      <c r="C2556" s="146" t="s">
        <v>291</v>
      </c>
      <c r="D2556" s="137">
        <v>42717</v>
      </c>
      <c r="E2556" s="137" t="s">
        <v>774</v>
      </c>
      <c r="F2556" s="12">
        <v>43466</v>
      </c>
      <c r="G2556" s="12">
        <v>43646</v>
      </c>
      <c r="H2556" s="149" t="s">
        <v>773</v>
      </c>
      <c r="I2556" s="66">
        <v>50.17</v>
      </c>
      <c r="J2556" s="13">
        <v>1883</v>
      </c>
      <c r="K2556" s="15" t="s">
        <v>23</v>
      </c>
      <c r="L2556" s="15" t="s">
        <v>23</v>
      </c>
      <c r="M2556" s="153"/>
    </row>
    <row r="2557" spans="1:13" ht="15" customHeight="1" outlineLevel="1" x14ac:dyDescent="0.25">
      <c r="A2557" s="148"/>
      <c r="B2557" s="148"/>
      <c r="C2557" s="148"/>
      <c r="D2557" s="141"/>
      <c r="E2557" s="141"/>
      <c r="F2557" s="12">
        <v>43647</v>
      </c>
      <c r="G2557" s="12">
        <v>43830</v>
      </c>
      <c r="H2557" s="151"/>
      <c r="I2557" s="66">
        <v>53.7</v>
      </c>
      <c r="J2557" s="13">
        <v>1919.22</v>
      </c>
      <c r="K2557" s="15" t="s">
        <v>23</v>
      </c>
      <c r="L2557" s="15" t="s">
        <v>23</v>
      </c>
      <c r="M2557" s="152"/>
    </row>
    <row r="2558" spans="1:13" ht="15" customHeight="1" outlineLevel="1" x14ac:dyDescent="0.25">
      <c r="A2558" s="148"/>
      <c r="B2558" s="148"/>
      <c r="C2558" s="148"/>
      <c r="D2558" s="137">
        <v>43454</v>
      </c>
      <c r="E2558" s="137" t="s">
        <v>742</v>
      </c>
      <c r="F2558" s="50">
        <v>43466</v>
      </c>
      <c r="G2558" s="50">
        <v>43646</v>
      </c>
      <c r="H2558" s="149"/>
      <c r="I2558" s="15" t="s">
        <v>23</v>
      </c>
      <c r="J2558" s="15" t="s">
        <v>23</v>
      </c>
      <c r="K2558" s="13">
        <v>24.886545762711862</v>
      </c>
      <c r="L2558" s="13">
        <v>1635.4437730287354</v>
      </c>
      <c r="M2558" s="196" t="s">
        <v>420</v>
      </c>
    </row>
    <row r="2559" spans="1:13" ht="15" customHeight="1" outlineLevel="1" x14ac:dyDescent="0.25">
      <c r="A2559" s="148"/>
      <c r="B2559" s="148"/>
      <c r="C2559" s="148"/>
      <c r="D2559" s="138"/>
      <c r="E2559" s="138"/>
      <c r="F2559" s="50">
        <v>43647</v>
      </c>
      <c r="G2559" s="50">
        <v>43830</v>
      </c>
      <c r="H2559" s="150"/>
      <c r="I2559" s="15" t="s">
        <v>23</v>
      </c>
      <c r="J2559" s="15" t="s">
        <v>23</v>
      </c>
      <c r="K2559" s="13">
        <v>25.384276677966099</v>
      </c>
      <c r="L2559" s="13">
        <v>1668.1526484893102</v>
      </c>
      <c r="M2559" s="198"/>
    </row>
    <row r="2560" spans="1:13" ht="15" customHeight="1" outlineLevel="1" x14ac:dyDescent="0.25">
      <c r="A2560" s="148"/>
      <c r="B2560" s="148"/>
      <c r="C2560" s="148"/>
      <c r="D2560" s="138"/>
      <c r="E2560" s="138"/>
      <c r="F2560" s="50">
        <v>43466</v>
      </c>
      <c r="G2560" s="50">
        <v>43646</v>
      </c>
      <c r="H2560" s="150"/>
      <c r="I2560" s="15" t="s">
        <v>23</v>
      </c>
      <c r="J2560" s="15" t="s">
        <v>23</v>
      </c>
      <c r="K2560" s="13">
        <v>24.886545762711862</v>
      </c>
      <c r="L2560" s="13">
        <v>1791.200322841001</v>
      </c>
      <c r="M2560" s="196" t="s">
        <v>421</v>
      </c>
    </row>
    <row r="2561" spans="1:13" ht="15" customHeight="1" outlineLevel="1" x14ac:dyDescent="0.25">
      <c r="A2561" s="148"/>
      <c r="B2561" s="148"/>
      <c r="C2561" s="148"/>
      <c r="D2561" s="138"/>
      <c r="E2561" s="138"/>
      <c r="F2561" s="50">
        <v>43647</v>
      </c>
      <c r="G2561" s="50">
        <v>43830</v>
      </c>
      <c r="H2561" s="150"/>
      <c r="I2561" s="15" t="s">
        <v>23</v>
      </c>
      <c r="J2561" s="15" t="s">
        <v>23</v>
      </c>
      <c r="K2561" s="13">
        <v>25.384276677966099</v>
      </c>
      <c r="L2561" s="13">
        <v>1827.0243292978212</v>
      </c>
      <c r="M2561" s="198"/>
    </row>
    <row r="2562" spans="1:13" ht="15" customHeight="1" outlineLevel="1" x14ac:dyDescent="0.25">
      <c r="A2562" s="148"/>
      <c r="B2562" s="148"/>
      <c r="C2562" s="148"/>
      <c r="D2562" s="138"/>
      <c r="E2562" s="138"/>
      <c r="F2562" s="50">
        <v>43466</v>
      </c>
      <c r="G2562" s="50">
        <v>43646</v>
      </c>
      <c r="H2562" s="150"/>
      <c r="I2562" s="15" t="s">
        <v>23</v>
      </c>
      <c r="J2562" s="15" t="s">
        <v>23</v>
      </c>
      <c r="K2562" s="13">
        <v>24.886545762711862</v>
      </c>
      <c r="L2562" s="13">
        <v>1524.9408153916629</v>
      </c>
      <c r="M2562" s="196" t="s">
        <v>422</v>
      </c>
    </row>
    <row r="2563" spans="1:13" ht="15" customHeight="1" outlineLevel="1" x14ac:dyDescent="0.25">
      <c r="A2563" s="148"/>
      <c r="B2563" s="148"/>
      <c r="C2563" s="148"/>
      <c r="D2563" s="138"/>
      <c r="E2563" s="138"/>
      <c r="F2563" s="50">
        <v>43647</v>
      </c>
      <c r="G2563" s="50">
        <v>43830</v>
      </c>
      <c r="H2563" s="150"/>
      <c r="I2563" s="15" t="s">
        <v>23</v>
      </c>
      <c r="J2563" s="15" t="s">
        <v>23</v>
      </c>
      <c r="K2563" s="13">
        <v>25.384276677966099</v>
      </c>
      <c r="L2563" s="13">
        <v>1555.4396316994962</v>
      </c>
      <c r="M2563" s="198"/>
    </row>
    <row r="2564" spans="1:13" ht="15" customHeight="1" outlineLevel="1" x14ac:dyDescent="0.25">
      <c r="A2564" s="148"/>
      <c r="B2564" s="148"/>
      <c r="C2564" s="148"/>
      <c r="D2564" s="138"/>
      <c r="E2564" s="138"/>
      <c r="F2564" s="50">
        <v>43466</v>
      </c>
      <c r="G2564" s="50">
        <v>43646</v>
      </c>
      <c r="H2564" s="150"/>
      <c r="I2564" s="15" t="s">
        <v>23</v>
      </c>
      <c r="J2564" s="15" t="s">
        <v>23</v>
      </c>
      <c r="K2564" s="13">
        <v>24.886545762711862</v>
      </c>
      <c r="L2564" s="13">
        <v>1635.44377302874</v>
      </c>
      <c r="M2564" s="196" t="s">
        <v>423</v>
      </c>
    </row>
    <row r="2565" spans="1:13" ht="15" customHeight="1" outlineLevel="1" x14ac:dyDescent="0.25">
      <c r="A2565" s="148"/>
      <c r="B2565" s="148"/>
      <c r="C2565" s="148"/>
      <c r="D2565" s="138"/>
      <c r="E2565" s="138"/>
      <c r="F2565" s="50">
        <v>43647</v>
      </c>
      <c r="G2565" s="50">
        <v>43830</v>
      </c>
      <c r="H2565" s="150"/>
      <c r="I2565" s="15" t="s">
        <v>23</v>
      </c>
      <c r="J2565" s="15" t="s">
        <v>23</v>
      </c>
      <c r="K2565" s="13">
        <v>25.384276677966099</v>
      </c>
      <c r="L2565" s="13">
        <v>1668.1526484893147</v>
      </c>
      <c r="M2565" s="198"/>
    </row>
    <row r="2566" spans="1:13" ht="15" customHeight="1" outlineLevel="1" x14ac:dyDescent="0.25">
      <c r="A2566" s="148"/>
      <c r="B2566" s="148"/>
      <c r="C2566" s="148"/>
      <c r="D2566" s="138"/>
      <c r="E2566" s="138"/>
      <c r="F2566" s="50">
        <v>43466</v>
      </c>
      <c r="G2566" s="50">
        <v>43646</v>
      </c>
      <c r="H2566" s="150"/>
      <c r="I2566" s="15" t="s">
        <v>23</v>
      </c>
      <c r="J2566" s="15" t="s">
        <v>23</v>
      </c>
      <c r="K2566" s="13">
        <v>24.886545762711862</v>
      </c>
      <c r="L2566" s="13">
        <v>1709.7821263482281</v>
      </c>
      <c r="M2566" s="196" t="s">
        <v>424</v>
      </c>
    </row>
    <row r="2567" spans="1:13" ht="15" customHeight="1" outlineLevel="1" x14ac:dyDescent="0.25">
      <c r="A2567" s="148"/>
      <c r="B2567" s="148"/>
      <c r="C2567" s="148"/>
      <c r="D2567" s="138"/>
      <c r="E2567" s="138"/>
      <c r="F2567" s="50">
        <v>43647</v>
      </c>
      <c r="G2567" s="50">
        <v>43830</v>
      </c>
      <c r="H2567" s="150"/>
      <c r="I2567" s="15" t="s">
        <v>23</v>
      </c>
      <c r="J2567" s="15" t="s">
        <v>23</v>
      </c>
      <c r="K2567" s="13">
        <v>25.384276677966099</v>
      </c>
      <c r="L2567" s="13">
        <v>1743.9777688751926</v>
      </c>
      <c r="M2567" s="198"/>
    </row>
    <row r="2568" spans="1:13" ht="15" customHeight="1" outlineLevel="1" x14ac:dyDescent="0.25">
      <c r="A2568" s="148"/>
      <c r="B2568" s="148"/>
      <c r="C2568" s="148"/>
      <c r="D2568" s="138"/>
      <c r="E2568" s="138"/>
      <c r="F2568" s="50">
        <v>43466</v>
      </c>
      <c r="G2568" s="50">
        <v>43646</v>
      </c>
      <c r="H2568" s="150"/>
      <c r="I2568" s="15" t="s">
        <v>23</v>
      </c>
      <c r="J2568" s="15" t="s">
        <v>23</v>
      </c>
      <c r="K2568" s="13">
        <v>24.886545762711862</v>
      </c>
      <c r="L2568" s="13">
        <v>1849.9282022784109</v>
      </c>
      <c r="M2568" s="196" t="s">
        <v>425</v>
      </c>
    </row>
    <row r="2569" spans="1:13" ht="15" customHeight="1" outlineLevel="1" x14ac:dyDescent="0.25">
      <c r="A2569" s="148"/>
      <c r="B2569" s="148"/>
      <c r="C2569" s="148"/>
      <c r="D2569" s="138"/>
      <c r="E2569" s="138"/>
      <c r="F2569" s="50">
        <v>43647</v>
      </c>
      <c r="G2569" s="50">
        <v>43830</v>
      </c>
      <c r="H2569" s="150"/>
      <c r="I2569" s="15" t="s">
        <v>23</v>
      </c>
      <c r="J2569" s="15" t="s">
        <v>23</v>
      </c>
      <c r="K2569" s="13">
        <v>25.384276677966099</v>
      </c>
      <c r="L2569" s="13">
        <v>1886.9267663239791</v>
      </c>
      <c r="M2569" s="198"/>
    </row>
    <row r="2570" spans="1:13" ht="15" customHeight="1" outlineLevel="1" x14ac:dyDescent="0.25">
      <c r="A2570" s="148"/>
      <c r="B2570" s="148"/>
      <c r="C2570" s="148"/>
      <c r="D2570" s="138"/>
      <c r="E2570" s="138"/>
      <c r="F2570" s="50">
        <v>43466</v>
      </c>
      <c r="G2570" s="50">
        <v>43646</v>
      </c>
      <c r="H2570" s="150"/>
      <c r="I2570" s="15" t="s">
        <v>23</v>
      </c>
      <c r="J2570" s="15" t="s">
        <v>23</v>
      </c>
      <c r="K2570" s="13">
        <v>24.886545762711862</v>
      </c>
      <c r="L2570" s="13">
        <v>1567.3002824858759</v>
      </c>
      <c r="M2570" s="196" t="s">
        <v>426</v>
      </c>
    </row>
    <row r="2571" spans="1:13" ht="15" customHeight="1" outlineLevel="1" x14ac:dyDescent="0.25">
      <c r="A2571" s="148"/>
      <c r="B2571" s="148"/>
      <c r="C2571" s="148"/>
      <c r="D2571" s="138"/>
      <c r="E2571" s="138"/>
      <c r="F2571" s="50">
        <v>43647</v>
      </c>
      <c r="G2571" s="50">
        <v>43830</v>
      </c>
      <c r="H2571" s="150"/>
      <c r="I2571" s="15" t="s">
        <v>23</v>
      </c>
      <c r="J2571" s="15" t="s">
        <v>23</v>
      </c>
      <c r="K2571" s="13">
        <v>25.384276677966099</v>
      </c>
      <c r="L2571" s="13">
        <v>1598.6462881355935</v>
      </c>
      <c r="M2571" s="198"/>
    </row>
    <row r="2572" spans="1:13" ht="15" customHeight="1" outlineLevel="1" x14ac:dyDescent="0.25">
      <c r="A2572" s="148"/>
      <c r="B2572" s="148"/>
      <c r="C2572" s="148"/>
      <c r="D2572" s="138"/>
      <c r="E2572" s="138"/>
      <c r="F2572" s="50">
        <v>43466</v>
      </c>
      <c r="G2572" s="50">
        <v>43646</v>
      </c>
      <c r="H2572" s="150"/>
      <c r="I2572" s="15" t="s">
        <v>23</v>
      </c>
      <c r="J2572" s="15" t="s">
        <v>23</v>
      </c>
      <c r="K2572" s="13">
        <v>24.886545762711862</v>
      </c>
      <c r="L2572" s="13">
        <v>1709.7821263482281</v>
      </c>
      <c r="M2572" s="196" t="s">
        <v>427</v>
      </c>
    </row>
    <row r="2573" spans="1:13" ht="15" customHeight="1" outlineLevel="1" x14ac:dyDescent="0.25">
      <c r="A2573" s="147"/>
      <c r="B2573" s="147"/>
      <c r="C2573" s="147"/>
      <c r="D2573" s="141"/>
      <c r="E2573" s="141"/>
      <c r="F2573" s="50">
        <v>43647</v>
      </c>
      <c r="G2573" s="50">
        <v>43830</v>
      </c>
      <c r="H2573" s="151"/>
      <c r="I2573" s="15" t="s">
        <v>23</v>
      </c>
      <c r="J2573" s="15" t="s">
        <v>23</v>
      </c>
      <c r="K2573" s="13">
        <v>25.384276677966099</v>
      </c>
      <c r="L2573" s="13">
        <v>1743.9777688751926</v>
      </c>
      <c r="M2573" s="198"/>
    </row>
    <row r="2574" spans="1:13" ht="15" customHeight="1" outlineLevel="1" x14ac:dyDescent="0.25">
      <c r="A2574" s="146" t="s">
        <v>51</v>
      </c>
      <c r="B2574" s="146" t="s">
        <v>587</v>
      </c>
      <c r="C2574" s="146" t="s">
        <v>291</v>
      </c>
      <c r="D2574" s="137">
        <v>43084</v>
      </c>
      <c r="E2574" s="137" t="s">
        <v>776</v>
      </c>
      <c r="F2574" s="12">
        <v>43466</v>
      </c>
      <c r="G2574" s="12">
        <v>43646</v>
      </c>
      <c r="H2574" s="149" t="s">
        <v>775</v>
      </c>
      <c r="I2574" s="66">
        <v>50.17</v>
      </c>
      <c r="J2574" s="13">
        <v>2133.9899999999998</v>
      </c>
      <c r="K2574" s="109" t="s">
        <v>23</v>
      </c>
      <c r="L2574" s="109" t="s">
        <v>23</v>
      </c>
      <c r="M2574" s="153"/>
    </row>
    <row r="2575" spans="1:13" ht="15" customHeight="1" outlineLevel="1" x14ac:dyDescent="0.25">
      <c r="A2575" s="147"/>
      <c r="B2575" s="147"/>
      <c r="C2575" s="147"/>
      <c r="D2575" s="141"/>
      <c r="E2575" s="141"/>
      <c r="F2575" s="12">
        <v>43647</v>
      </c>
      <c r="G2575" s="12">
        <v>43830</v>
      </c>
      <c r="H2575" s="151"/>
      <c r="I2575" s="66">
        <v>53.7</v>
      </c>
      <c r="J2575" s="13">
        <v>2170.83</v>
      </c>
      <c r="K2575" s="109" t="s">
        <v>23</v>
      </c>
      <c r="L2575" s="109" t="s">
        <v>23</v>
      </c>
      <c r="M2575" s="152"/>
    </row>
    <row r="2576" spans="1:13" ht="15" customHeight="1" outlineLevel="1" x14ac:dyDescent="0.25">
      <c r="A2576" s="146" t="s">
        <v>51</v>
      </c>
      <c r="B2576" s="146" t="s">
        <v>457</v>
      </c>
      <c r="C2576" s="146" t="s">
        <v>778</v>
      </c>
      <c r="D2576" s="137">
        <v>42723</v>
      </c>
      <c r="E2576" s="137" t="s">
        <v>771</v>
      </c>
      <c r="F2576" s="12">
        <v>43466</v>
      </c>
      <c r="G2576" s="12">
        <v>43646</v>
      </c>
      <c r="H2576" s="149" t="s">
        <v>770</v>
      </c>
      <c r="I2576" s="66">
        <v>42</v>
      </c>
      <c r="J2576" s="13">
        <v>2900.52</v>
      </c>
      <c r="K2576" s="15" t="s">
        <v>23</v>
      </c>
      <c r="L2576" s="15" t="s">
        <v>23</v>
      </c>
      <c r="M2576" s="153"/>
    </row>
    <row r="2577" spans="1:17" ht="15" customHeight="1" outlineLevel="1" x14ac:dyDescent="0.25">
      <c r="A2577" s="148"/>
      <c r="B2577" s="148"/>
      <c r="C2577" s="148"/>
      <c r="D2577" s="141"/>
      <c r="E2577" s="141"/>
      <c r="F2577" s="12">
        <v>43647</v>
      </c>
      <c r="G2577" s="12">
        <v>43830</v>
      </c>
      <c r="H2577" s="151"/>
      <c r="I2577" s="66">
        <v>42.58</v>
      </c>
      <c r="J2577" s="13">
        <v>3103.51</v>
      </c>
      <c r="K2577" s="15" t="s">
        <v>23</v>
      </c>
      <c r="L2577" s="15" t="s">
        <v>23</v>
      </c>
      <c r="M2577" s="152"/>
    </row>
    <row r="2578" spans="1:17" ht="15" customHeight="1" outlineLevel="1" x14ac:dyDescent="0.25">
      <c r="A2578" s="148"/>
      <c r="B2578" s="148"/>
      <c r="C2578" s="148"/>
      <c r="D2578" s="137">
        <v>43454</v>
      </c>
      <c r="E2578" s="137" t="s">
        <v>742</v>
      </c>
      <c r="F2578" s="50">
        <v>43466</v>
      </c>
      <c r="G2578" s="50">
        <v>43646</v>
      </c>
      <c r="H2578" s="149"/>
      <c r="I2578" s="15" t="s">
        <v>23</v>
      </c>
      <c r="J2578" s="15" t="s">
        <v>23</v>
      </c>
      <c r="K2578" s="13">
        <v>32.349152542372877</v>
      </c>
      <c r="L2578" s="13">
        <v>1527.1932203389829</v>
      </c>
      <c r="M2578" s="196" t="s">
        <v>420</v>
      </c>
      <c r="N2578" s="55">
        <f>K2578/1.2</f>
        <v>26.957627118644066</v>
      </c>
      <c r="O2578" s="55">
        <f>L2578/1.2</f>
        <v>1272.6610169491526</v>
      </c>
    </row>
    <row r="2579" spans="1:17" ht="15" customHeight="1" outlineLevel="1" x14ac:dyDescent="0.25">
      <c r="A2579" s="148"/>
      <c r="B2579" s="148"/>
      <c r="C2579" s="148"/>
      <c r="D2579" s="138"/>
      <c r="E2579" s="138"/>
      <c r="F2579" s="50">
        <v>43647</v>
      </c>
      <c r="G2579" s="50">
        <v>43830</v>
      </c>
      <c r="H2579" s="150"/>
      <c r="I2579" s="15" t="s">
        <v>23</v>
      </c>
      <c r="J2579" s="15" t="s">
        <v>23</v>
      </c>
      <c r="K2579" s="13">
        <v>32.996135593220338</v>
      </c>
      <c r="L2579" s="13">
        <v>1557.7370847457626</v>
      </c>
      <c r="M2579" s="198"/>
      <c r="N2579" s="55">
        <f t="shared" ref="N2579:N2593" si="215">K2579/1.2</f>
        <v>27.496779661016948</v>
      </c>
      <c r="O2579" s="55">
        <f t="shared" ref="O2579:O2593" si="216">L2579/1.2</f>
        <v>1298.1142372881354</v>
      </c>
    </row>
    <row r="2580" spans="1:17" ht="15" customHeight="1" outlineLevel="1" x14ac:dyDescent="0.25">
      <c r="A2580" s="148"/>
      <c r="B2580" s="148"/>
      <c r="C2580" s="148"/>
      <c r="D2580" s="138"/>
      <c r="E2580" s="138"/>
      <c r="F2580" s="50">
        <v>43466</v>
      </c>
      <c r="G2580" s="50">
        <v>43646</v>
      </c>
      <c r="H2580" s="150"/>
      <c r="I2580" s="15" t="s">
        <v>23</v>
      </c>
      <c r="J2580" s="15" t="s">
        <v>23</v>
      </c>
      <c r="K2580" s="13">
        <v>32.349152542372877</v>
      </c>
      <c r="L2580" s="13">
        <v>1672.639225181598</v>
      </c>
      <c r="M2580" s="196" t="s">
        <v>421</v>
      </c>
      <c r="N2580" s="55">
        <f t="shared" si="215"/>
        <v>26.957627118644066</v>
      </c>
      <c r="O2580" s="55">
        <f t="shared" si="216"/>
        <v>1393.8660209846651</v>
      </c>
    </row>
    <row r="2581" spans="1:17" ht="15" customHeight="1" outlineLevel="1" x14ac:dyDescent="0.25">
      <c r="A2581" s="148"/>
      <c r="B2581" s="148"/>
      <c r="C2581" s="148"/>
      <c r="D2581" s="138"/>
      <c r="E2581" s="138"/>
      <c r="F2581" s="50">
        <v>43647</v>
      </c>
      <c r="G2581" s="50">
        <v>43830</v>
      </c>
      <c r="H2581" s="150"/>
      <c r="I2581" s="15" t="s">
        <v>23</v>
      </c>
      <c r="J2581" s="15" t="s">
        <v>23</v>
      </c>
      <c r="K2581" s="13">
        <v>32.996135593220338</v>
      </c>
      <c r="L2581" s="13">
        <v>1706.0920096852301</v>
      </c>
      <c r="M2581" s="198"/>
      <c r="N2581" s="55">
        <f t="shared" si="215"/>
        <v>27.496779661016948</v>
      </c>
      <c r="O2581" s="55">
        <f t="shared" si="216"/>
        <v>1421.7433414043585</v>
      </c>
    </row>
    <row r="2582" spans="1:17" ht="15" customHeight="1" outlineLevel="1" x14ac:dyDescent="0.25">
      <c r="A2582" s="148"/>
      <c r="B2582" s="148"/>
      <c r="C2582" s="148"/>
      <c r="D2582" s="138"/>
      <c r="E2582" s="138"/>
      <c r="F2582" s="50">
        <v>43466</v>
      </c>
      <c r="G2582" s="50">
        <v>43646</v>
      </c>
      <c r="H2582" s="150"/>
      <c r="I2582" s="15" t="s">
        <v>23</v>
      </c>
      <c r="J2582" s="15" t="s">
        <v>23</v>
      </c>
      <c r="K2582" s="13">
        <v>32.349152542372877</v>
      </c>
      <c r="L2582" s="13">
        <v>1424.0036646816309</v>
      </c>
      <c r="M2582" s="196" t="s">
        <v>422</v>
      </c>
      <c r="N2582" s="55">
        <f t="shared" si="215"/>
        <v>26.957627118644066</v>
      </c>
      <c r="O2582" s="55">
        <f t="shared" si="216"/>
        <v>1186.6697205680257</v>
      </c>
    </row>
    <row r="2583" spans="1:17" ht="15" customHeight="1" outlineLevel="1" x14ac:dyDescent="0.25">
      <c r="A2583" s="148"/>
      <c r="B2583" s="148"/>
      <c r="C2583" s="148"/>
      <c r="D2583" s="138"/>
      <c r="E2583" s="138"/>
      <c r="F2583" s="50">
        <v>43647</v>
      </c>
      <c r="G2583" s="50">
        <v>43830</v>
      </c>
      <c r="H2583" s="150"/>
      <c r="I2583" s="15" t="s">
        <v>23</v>
      </c>
      <c r="J2583" s="15" t="s">
        <v>23</v>
      </c>
      <c r="K2583" s="13">
        <v>32.996135593220338</v>
      </c>
      <c r="L2583" s="13">
        <v>1452.4837379752635</v>
      </c>
      <c r="M2583" s="198"/>
      <c r="N2583" s="55">
        <f t="shared" si="215"/>
        <v>27.496779661016948</v>
      </c>
      <c r="O2583" s="55">
        <f t="shared" si="216"/>
        <v>1210.4031149793864</v>
      </c>
    </row>
    <row r="2584" spans="1:17" ht="15" customHeight="1" outlineLevel="1" x14ac:dyDescent="0.25">
      <c r="A2584" s="148"/>
      <c r="B2584" s="148"/>
      <c r="C2584" s="148"/>
      <c r="D2584" s="138"/>
      <c r="E2584" s="138"/>
      <c r="F2584" s="50">
        <v>43466</v>
      </c>
      <c r="G2584" s="50">
        <v>43646</v>
      </c>
      <c r="H2584" s="150"/>
      <c r="I2584" s="15" t="s">
        <v>23</v>
      </c>
      <c r="J2584" s="15" t="s">
        <v>23</v>
      </c>
      <c r="K2584" s="13">
        <v>32.349152542372877</v>
      </c>
      <c r="L2584" s="13">
        <v>1527.1923360353719</v>
      </c>
      <c r="M2584" s="196" t="s">
        <v>423</v>
      </c>
      <c r="N2584" s="55">
        <f t="shared" si="215"/>
        <v>26.957627118644066</v>
      </c>
      <c r="O2584" s="55">
        <f t="shared" si="216"/>
        <v>1272.6602800294766</v>
      </c>
    </row>
    <row r="2585" spans="1:17" ht="15" customHeight="1" outlineLevel="1" x14ac:dyDescent="0.25">
      <c r="A2585" s="148"/>
      <c r="B2585" s="148"/>
      <c r="C2585" s="148"/>
      <c r="D2585" s="138"/>
      <c r="E2585" s="138"/>
      <c r="F2585" s="50">
        <v>43647</v>
      </c>
      <c r="G2585" s="50">
        <v>43830</v>
      </c>
      <c r="H2585" s="150"/>
      <c r="I2585" s="15" t="s">
        <v>23</v>
      </c>
      <c r="J2585" s="15" t="s">
        <v>23</v>
      </c>
      <c r="K2585" s="13">
        <v>32.996135593220338</v>
      </c>
      <c r="L2585" s="13">
        <v>1557.7361827560794</v>
      </c>
      <c r="M2585" s="198"/>
      <c r="N2585" s="55">
        <f t="shared" si="215"/>
        <v>27.496779661016948</v>
      </c>
      <c r="O2585" s="55">
        <f t="shared" si="216"/>
        <v>1298.1134856300662</v>
      </c>
    </row>
    <row r="2586" spans="1:17" ht="15" customHeight="1" outlineLevel="1" x14ac:dyDescent="0.25">
      <c r="A2586" s="148"/>
      <c r="B2586" s="148"/>
      <c r="C2586" s="148"/>
      <c r="D2586" s="138"/>
      <c r="E2586" s="138"/>
      <c r="F2586" s="50">
        <v>43466</v>
      </c>
      <c r="G2586" s="50">
        <v>43646</v>
      </c>
      <c r="H2586" s="150"/>
      <c r="I2586" s="15" t="s">
        <v>23</v>
      </c>
      <c r="J2586" s="15" t="s">
        <v>23</v>
      </c>
      <c r="K2586" s="13">
        <v>32.349152542372877</v>
      </c>
      <c r="L2586" s="13">
        <v>1596.6101694915253</v>
      </c>
      <c r="M2586" s="196" t="s">
        <v>424</v>
      </c>
      <c r="N2586" s="55">
        <f t="shared" si="215"/>
        <v>26.957627118644066</v>
      </c>
      <c r="O2586" s="55">
        <f t="shared" si="216"/>
        <v>1330.5084745762711</v>
      </c>
    </row>
    <row r="2587" spans="1:17" ht="15" customHeight="1" outlineLevel="1" x14ac:dyDescent="0.25">
      <c r="A2587" s="148"/>
      <c r="B2587" s="148"/>
      <c r="C2587" s="148"/>
      <c r="D2587" s="138"/>
      <c r="E2587" s="138"/>
      <c r="F2587" s="50">
        <v>43647</v>
      </c>
      <c r="G2587" s="50">
        <v>43830</v>
      </c>
      <c r="H2587" s="150"/>
      <c r="I2587" s="15" t="s">
        <v>23</v>
      </c>
      <c r="J2587" s="15" t="s">
        <v>23</v>
      </c>
      <c r="K2587" s="13">
        <v>32.996135593220338</v>
      </c>
      <c r="L2587" s="13">
        <v>1628.542372881356</v>
      </c>
      <c r="M2587" s="198"/>
      <c r="N2587" s="55">
        <f t="shared" si="215"/>
        <v>27.496779661016948</v>
      </c>
      <c r="O2587" s="55">
        <f t="shared" si="216"/>
        <v>1357.1186440677966</v>
      </c>
    </row>
    <row r="2588" spans="1:17" ht="15" customHeight="1" outlineLevel="1" x14ac:dyDescent="0.25">
      <c r="A2588" s="148"/>
      <c r="B2588" s="148"/>
      <c r="C2588" s="148"/>
      <c r="D2588" s="138"/>
      <c r="E2588" s="138"/>
      <c r="F2588" s="50">
        <v>43466</v>
      </c>
      <c r="G2588" s="50">
        <v>43646</v>
      </c>
      <c r="H2588" s="150"/>
      <c r="I2588" s="15" t="s">
        <v>23</v>
      </c>
      <c r="J2588" s="15" t="s">
        <v>23</v>
      </c>
      <c r="K2588" s="13">
        <v>32.349152542372877</v>
      </c>
      <c r="L2588" s="13">
        <v>1727.4798555154209</v>
      </c>
      <c r="M2588" s="196" t="s">
        <v>425</v>
      </c>
      <c r="N2588" s="55">
        <f t="shared" si="215"/>
        <v>26.957627118644066</v>
      </c>
      <c r="O2588" s="55">
        <f t="shared" si="216"/>
        <v>1439.5665462628508</v>
      </c>
    </row>
    <row r="2589" spans="1:17" ht="15" customHeight="1" outlineLevel="1" x14ac:dyDescent="0.25">
      <c r="A2589" s="148"/>
      <c r="B2589" s="148"/>
      <c r="C2589" s="148"/>
      <c r="D2589" s="138"/>
      <c r="E2589" s="138"/>
      <c r="F2589" s="50">
        <v>43647</v>
      </c>
      <c r="G2589" s="50">
        <v>43830</v>
      </c>
      <c r="H2589" s="150"/>
      <c r="I2589" s="15" t="s">
        <v>23</v>
      </c>
      <c r="J2589" s="15" t="s">
        <v>23</v>
      </c>
      <c r="K2589" s="13">
        <v>32.996135593220338</v>
      </c>
      <c r="L2589" s="13">
        <v>1762.0294526257294</v>
      </c>
      <c r="M2589" s="198"/>
      <c r="N2589" s="55">
        <f t="shared" si="215"/>
        <v>27.496779661016948</v>
      </c>
      <c r="O2589" s="55">
        <f t="shared" si="216"/>
        <v>1468.357877188108</v>
      </c>
    </row>
    <row r="2590" spans="1:17" ht="15" customHeight="1" outlineLevel="1" x14ac:dyDescent="0.25">
      <c r="A2590" s="148"/>
      <c r="B2590" s="148"/>
      <c r="C2590" s="148"/>
      <c r="D2590" s="138"/>
      <c r="E2590" s="138"/>
      <c r="F2590" s="50">
        <v>43466</v>
      </c>
      <c r="G2590" s="50">
        <v>43646</v>
      </c>
      <c r="H2590" s="150"/>
      <c r="I2590" s="15" t="s">
        <v>23</v>
      </c>
      <c r="J2590" s="15" t="s">
        <v>23</v>
      </c>
      <c r="K2590" s="13">
        <v>32.349152542372877</v>
      </c>
      <c r="L2590" s="13">
        <v>1463.5593220338983</v>
      </c>
      <c r="M2590" s="196" t="s">
        <v>426</v>
      </c>
      <c r="N2590" s="55">
        <f t="shared" si="215"/>
        <v>26.957627118644066</v>
      </c>
      <c r="O2590" s="55">
        <f t="shared" si="216"/>
        <v>1219.6327683615821</v>
      </c>
      <c r="P2590" s="121">
        <f>I2576-N2590</f>
        <v>15.042372881355934</v>
      </c>
      <c r="Q2590" s="121">
        <f>J2576-O2590</f>
        <v>1680.8872316384179</v>
      </c>
    </row>
    <row r="2591" spans="1:17" ht="15" customHeight="1" outlineLevel="1" x14ac:dyDescent="0.25">
      <c r="A2591" s="148"/>
      <c r="B2591" s="148"/>
      <c r="C2591" s="148"/>
      <c r="D2591" s="138"/>
      <c r="E2591" s="138"/>
      <c r="F2591" s="50">
        <v>43647</v>
      </c>
      <c r="G2591" s="50">
        <v>43830</v>
      </c>
      <c r="H2591" s="150"/>
      <c r="I2591" s="15" t="s">
        <v>23</v>
      </c>
      <c r="J2591" s="15" t="s">
        <v>23</v>
      </c>
      <c r="K2591" s="13">
        <v>32.996135593220338</v>
      </c>
      <c r="L2591" s="13">
        <v>1492.8305084745764</v>
      </c>
      <c r="M2591" s="198"/>
      <c r="N2591" s="55">
        <f t="shared" si="215"/>
        <v>27.496779661016948</v>
      </c>
      <c r="O2591" s="55">
        <f t="shared" si="216"/>
        <v>1244.0254237288136</v>
      </c>
    </row>
    <row r="2592" spans="1:17" ht="15" customHeight="1" outlineLevel="1" x14ac:dyDescent="0.25">
      <c r="A2592" s="148"/>
      <c r="B2592" s="148"/>
      <c r="C2592" s="148"/>
      <c r="D2592" s="138"/>
      <c r="E2592" s="138"/>
      <c r="F2592" s="50">
        <v>43466</v>
      </c>
      <c r="G2592" s="50">
        <v>43646</v>
      </c>
      <c r="H2592" s="150"/>
      <c r="I2592" s="15" t="s">
        <v>23</v>
      </c>
      <c r="J2592" s="15" t="s">
        <v>23</v>
      </c>
      <c r="K2592" s="13">
        <v>32.349152542372877</v>
      </c>
      <c r="L2592" s="13">
        <v>1596.6101694915253</v>
      </c>
      <c r="M2592" s="196" t="s">
        <v>427</v>
      </c>
      <c r="N2592" s="55">
        <f t="shared" si="215"/>
        <v>26.957627118644066</v>
      </c>
      <c r="O2592" s="55">
        <f t="shared" si="216"/>
        <v>1330.5084745762711</v>
      </c>
      <c r="P2592" s="121">
        <f>I2576-N2592</f>
        <v>15.042372881355934</v>
      </c>
      <c r="Q2592" s="57">
        <f>J2576-O2592</f>
        <v>1570.0115254237289</v>
      </c>
    </row>
    <row r="2593" spans="1:17" ht="15" customHeight="1" outlineLevel="1" x14ac:dyDescent="0.25">
      <c r="A2593" s="147"/>
      <c r="B2593" s="147"/>
      <c r="C2593" s="148"/>
      <c r="D2593" s="141"/>
      <c r="E2593" s="141"/>
      <c r="F2593" s="50">
        <v>43647</v>
      </c>
      <c r="G2593" s="50">
        <v>43830</v>
      </c>
      <c r="H2593" s="151"/>
      <c r="I2593" s="15" t="s">
        <v>23</v>
      </c>
      <c r="J2593" s="15" t="s">
        <v>23</v>
      </c>
      <c r="K2593" s="13">
        <v>32.996135593220338</v>
      </c>
      <c r="L2593" s="13">
        <v>1628.542372881356</v>
      </c>
      <c r="M2593" s="198"/>
      <c r="N2593" s="55">
        <f t="shared" si="215"/>
        <v>27.496779661016948</v>
      </c>
      <c r="O2593" s="55">
        <f t="shared" si="216"/>
        <v>1357.1186440677966</v>
      </c>
    </row>
    <row r="2594" spans="1:17" ht="15" customHeight="1" outlineLevel="1" x14ac:dyDescent="0.25">
      <c r="A2594" s="146" t="s">
        <v>51</v>
      </c>
      <c r="B2594" s="146" t="s">
        <v>578</v>
      </c>
      <c r="C2594" s="148"/>
      <c r="D2594" s="137">
        <v>42723</v>
      </c>
      <c r="E2594" s="137" t="s">
        <v>771</v>
      </c>
      <c r="F2594" s="12">
        <v>43466</v>
      </c>
      <c r="G2594" s="12">
        <v>43646</v>
      </c>
      <c r="H2594" s="149" t="s">
        <v>770</v>
      </c>
      <c r="I2594" s="66">
        <v>42</v>
      </c>
      <c r="J2594" s="13">
        <v>2900.52</v>
      </c>
      <c r="K2594" s="15" t="s">
        <v>23</v>
      </c>
      <c r="L2594" s="15" t="s">
        <v>23</v>
      </c>
      <c r="M2594" s="153"/>
    </row>
    <row r="2595" spans="1:17" ht="15" customHeight="1" outlineLevel="1" x14ac:dyDescent="0.25">
      <c r="A2595" s="148"/>
      <c r="B2595" s="148"/>
      <c r="C2595" s="148"/>
      <c r="D2595" s="141"/>
      <c r="E2595" s="141"/>
      <c r="F2595" s="12">
        <v>43647</v>
      </c>
      <c r="G2595" s="12">
        <v>43830</v>
      </c>
      <c r="H2595" s="151"/>
      <c r="I2595" s="66">
        <v>42.58</v>
      </c>
      <c r="J2595" s="13">
        <v>3103.51</v>
      </c>
      <c r="K2595" s="15" t="s">
        <v>23</v>
      </c>
      <c r="L2595" s="15" t="s">
        <v>23</v>
      </c>
      <c r="M2595" s="152"/>
    </row>
    <row r="2596" spans="1:17" ht="15" customHeight="1" outlineLevel="1" x14ac:dyDescent="0.25">
      <c r="A2596" s="148"/>
      <c r="B2596" s="148"/>
      <c r="C2596" s="148"/>
      <c r="D2596" s="137">
        <v>43454</v>
      </c>
      <c r="E2596" s="137" t="s">
        <v>742</v>
      </c>
      <c r="F2596" s="50">
        <v>43466</v>
      </c>
      <c r="G2596" s="50">
        <v>43646</v>
      </c>
      <c r="H2596" s="149"/>
      <c r="I2596" s="15" t="s">
        <v>23</v>
      </c>
      <c r="J2596" s="15" t="s">
        <v>23</v>
      </c>
      <c r="K2596" s="13">
        <v>32.349152542372877</v>
      </c>
      <c r="L2596" s="13">
        <v>1527.1932203389829</v>
      </c>
      <c r="M2596" s="196" t="s">
        <v>420</v>
      </c>
      <c r="N2596" s="55">
        <f>K2596/1.2</f>
        <v>26.957627118644066</v>
      </c>
      <c r="O2596" s="55">
        <f>L2596/1.2</f>
        <v>1272.6610169491526</v>
      </c>
    </row>
    <row r="2597" spans="1:17" ht="15" customHeight="1" outlineLevel="1" x14ac:dyDescent="0.25">
      <c r="A2597" s="148"/>
      <c r="B2597" s="148"/>
      <c r="C2597" s="148"/>
      <c r="D2597" s="138"/>
      <c r="E2597" s="138"/>
      <c r="F2597" s="50">
        <v>43647</v>
      </c>
      <c r="G2597" s="50">
        <v>43830</v>
      </c>
      <c r="H2597" s="150"/>
      <c r="I2597" s="15" t="s">
        <v>23</v>
      </c>
      <c r="J2597" s="15" t="s">
        <v>23</v>
      </c>
      <c r="K2597" s="13">
        <v>32.996135593220338</v>
      </c>
      <c r="L2597" s="13">
        <v>1557.7370847457626</v>
      </c>
      <c r="M2597" s="198"/>
      <c r="N2597" s="55">
        <f t="shared" ref="N2597:N2611" si="217">K2597/1.2</f>
        <v>27.496779661016948</v>
      </c>
      <c r="O2597" s="55">
        <f t="shared" ref="O2597:O2611" si="218">L2597/1.2</f>
        <v>1298.1142372881354</v>
      </c>
    </row>
    <row r="2598" spans="1:17" ht="15" customHeight="1" outlineLevel="1" x14ac:dyDescent="0.25">
      <c r="A2598" s="148"/>
      <c r="B2598" s="148"/>
      <c r="C2598" s="148"/>
      <c r="D2598" s="138"/>
      <c r="E2598" s="138"/>
      <c r="F2598" s="50">
        <v>43466</v>
      </c>
      <c r="G2598" s="50">
        <v>43646</v>
      </c>
      <c r="H2598" s="150"/>
      <c r="I2598" s="15" t="s">
        <v>23</v>
      </c>
      <c r="J2598" s="15" t="s">
        <v>23</v>
      </c>
      <c r="K2598" s="13">
        <v>32.349152542372877</v>
      </c>
      <c r="L2598" s="13">
        <v>1672.639225181598</v>
      </c>
      <c r="M2598" s="196" t="s">
        <v>421</v>
      </c>
      <c r="N2598" s="55">
        <f t="shared" si="217"/>
        <v>26.957627118644066</v>
      </c>
      <c r="O2598" s="55">
        <f t="shared" si="218"/>
        <v>1393.8660209846651</v>
      </c>
    </row>
    <row r="2599" spans="1:17" ht="15" customHeight="1" outlineLevel="1" x14ac:dyDescent="0.25">
      <c r="A2599" s="148"/>
      <c r="B2599" s="148"/>
      <c r="C2599" s="148"/>
      <c r="D2599" s="138"/>
      <c r="E2599" s="138"/>
      <c r="F2599" s="50">
        <v>43647</v>
      </c>
      <c r="G2599" s="50">
        <v>43830</v>
      </c>
      <c r="H2599" s="150"/>
      <c r="I2599" s="15" t="s">
        <v>23</v>
      </c>
      <c r="J2599" s="15" t="s">
        <v>23</v>
      </c>
      <c r="K2599" s="13">
        <v>32.996135593220338</v>
      </c>
      <c r="L2599" s="13">
        <v>1706.0920096852301</v>
      </c>
      <c r="M2599" s="198"/>
      <c r="N2599" s="55">
        <f t="shared" si="217"/>
        <v>27.496779661016948</v>
      </c>
      <c r="O2599" s="55">
        <f t="shared" si="218"/>
        <v>1421.7433414043585</v>
      </c>
    </row>
    <row r="2600" spans="1:17" ht="15" customHeight="1" outlineLevel="1" x14ac:dyDescent="0.25">
      <c r="A2600" s="148"/>
      <c r="B2600" s="148"/>
      <c r="C2600" s="148"/>
      <c r="D2600" s="138"/>
      <c r="E2600" s="138"/>
      <c r="F2600" s="50">
        <v>43466</v>
      </c>
      <c r="G2600" s="50">
        <v>43646</v>
      </c>
      <c r="H2600" s="150"/>
      <c r="I2600" s="15" t="s">
        <v>23</v>
      </c>
      <c r="J2600" s="15" t="s">
        <v>23</v>
      </c>
      <c r="K2600" s="13">
        <v>32.349152542372877</v>
      </c>
      <c r="L2600" s="13">
        <v>1424.0036646816309</v>
      </c>
      <c r="M2600" s="196" t="s">
        <v>422</v>
      </c>
      <c r="N2600" s="55">
        <f t="shared" si="217"/>
        <v>26.957627118644066</v>
      </c>
      <c r="O2600" s="55">
        <f t="shared" si="218"/>
        <v>1186.6697205680257</v>
      </c>
    </row>
    <row r="2601" spans="1:17" ht="15" customHeight="1" outlineLevel="1" x14ac:dyDescent="0.25">
      <c r="A2601" s="148"/>
      <c r="B2601" s="148"/>
      <c r="C2601" s="148"/>
      <c r="D2601" s="138"/>
      <c r="E2601" s="138"/>
      <c r="F2601" s="50">
        <v>43647</v>
      </c>
      <c r="G2601" s="50">
        <v>43830</v>
      </c>
      <c r="H2601" s="150"/>
      <c r="I2601" s="15" t="s">
        <v>23</v>
      </c>
      <c r="J2601" s="15" t="s">
        <v>23</v>
      </c>
      <c r="K2601" s="13">
        <v>32.996135593220338</v>
      </c>
      <c r="L2601" s="13">
        <v>1452.4837379752635</v>
      </c>
      <c r="M2601" s="198"/>
      <c r="N2601" s="55">
        <f t="shared" si="217"/>
        <v>27.496779661016948</v>
      </c>
      <c r="O2601" s="55">
        <f t="shared" si="218"/>
        <v>1210.4031149793864</v>
      </c>
    </row>
    <row r="2602" spans="1:17" ht="15" customHeight="1" outlineLevel="1" x14ac:dyDescent="0.25">
      <c r="A2602" s="148"/>
      <c r="B2602" s="148"/>
      <c r="C2602" s="148"/>
      <c r="D2602" s="138"/>
      <c r="E2602" s="138"/>
      <c r="F2602" s="50">
        <v>43466</v>
      </c>
      <c r="G2602" s="50">
        <v>43646</v>
      </c>
      <c r="H2602" s="150"/>
      <c r="I2602" s="15" t="s">
        <v>23</v>
      </c>
      <c r="J2602" s="15" t="s">
        <v>23</v>
      </c>
      <c r="K2602" s="13">
        <v>32.349152542372877</v>
      </c>
      <c r="L2602" s="13">
        <v>1527.1923360353719</v>
      </c>
      <c r="M2602" s="196" t="s">
        <v>423</v>
      </c>
      <c r="N2602" s="55">
        <f t="shared" si="217"/>
        <v>26.957627118644066</v>
      </c>
      <c r="O2602" s="55">
        <f t="shared" si="218"/>
        <v>1272.6602800294766</v>
      </c>
    </row>
    <row r="2603" spans="1:17" ht="15" customHeight="1" outlineLevel="1" x14ac:dyDescent="0.25">
      <c r="A2603" s="148"/>
      <c r="B2603" s="148"/>
      <c r="C2603" s="148"/>
      <c r="D2603" s="138"/>
      <c r="E2603" s="138"/>
      <c r="F2603" s="50">
        <v>43647</v>
      </c>
      <c r="G2603" s="50">
        <v>43830</v>
      </c>
      <c r="H2603" s="150"/>
      <c r="I2603" s="15" t="s">
        <v>23</v>
      </c>
      <c r="J2603" s="15" t="s">
        <v>23</v>
      </c>
      <c r="K2603" s="13">
        <v>32.996135593220338</v>
      </c>
      <c r="L2603" s="13">
        <v>1557.7361827560794</v>
      </c>
      <c r="M2603" s="198"/>
      <c r="N2603" s="55">
        <f t="shared" si="217"/>
        <v>27.496779661016948</v>
      </c>
      <c r="O2603" s="55">
        <f t="shared" si="218"/>
        <v>1298.1134856300662</v>
      </c>
    </row>
    <row r="2604" spans="1:17" ht="15" customHeight="1" outlineLevel="1" x14ac:dyDescent="0.25">
      <c r="A2604" s="148"/>
      <c r="B2604" s="148"/>
      <c r="C2604" s="148"/>
      <c r="D2604" s="138"/>
      <c r="E2604" s="138"/>
      <c r="F2604" s="50">
        <v>43466</v>
      </c>
      <c r="G2604" s="50">
        <v>43646</v>
      </c>
      <c r="H2604" s="150"/>
      <c r="I2604" s="15" t="s">
        <v>23</v>
      </c>
      <c r="J2604" s="15" t="s">
        <v>23</v>
      </c>
      <c r="K2604" s="13">
        <v>32.349152542372877</v>
      </c>
      <c r="L2604" s="13">
        <v>1596.6101694915253</v>
      </c>
      <c r="M2604" s="196" t="s">
        <v>424</v>
      </c>
      <c r="N2604" s="55">
        <f t="shared" si="217"/>
        <v>26.957627118644066</v>
      </c>
      <c r="O2604" s="55">
        <f t="shared" si="218"/>
        <v>1330.5084745762711</v>
      </c>
    </row>
    <row r="2605" spans="1:17" ht="15" customHeight="1" outlineLevel="1" x14ac:dyDescent="0.25">
      <c r="A2605" s="148"/>
      <c r="B2605" s="148"/>
      <c r="C2605" s="148"/>
      <c r="D2605" s="138"/>
      <c r="E2605" s="138"/>
      <c r="F2605" s="50">
        <v>43647</v>
      </c>
      <c r="G2605" s="50">
        <v>43830</v>
      </c>
      <c r="H2605" s="150"/>
      <c r="I2605" s="15" t="s">
        <v>23</v>
      </c>
      <c r="J2605" s="15" t="s">
        <v>23</v>
      </c>
      <c r="K2605" s="13">
        <v>32.996135593220338</v>
      </c>
      <c r="L2605" s="13">
        <v>1628.542372881356</v>
      </c>
      <c r="M2605" s="198"/>
      <c r="N2605" s="55">
        <f t="shared" si="217"/>
        <v>27.496779661016948</v>
      </c>
      <c r="O2605" s="55">
        <f t="shared" si="218"/>
        <v>1357.1186440677966</v>
      </c>
    </row>
    <row r="2606" spans="1:17" ht="15" customHeight="1" outlineLevel="1" x14ac:dyDescent="0.25">
      <c r="A2606" s="148"/>
      <c r="B2606" s="148"/>
      <c r="C2606" s="148"/>
      <c r="D2606" s="138"/>
      <c r="E2606" s="138"/>
      <c r="F2606" s="50">
        <v>43466</v>
      </c>
      <c r="G2606" s="50">
        <v>43646</v>
      </c>
      <c r="H2606" s="150"/>
      <c r="I2606" s="15" t="s">
        <v>23</v>
      </c>
      <c r="J2606" s="15" t="s">
        <v>23</v>
      </c>
      <c r="K2606" s="13">
        <v>32.349152542372877</v>
      </c>
      <c r="L2606" s="13">
        <v>1727.4798555154209</v>
      </c>
      <c r="M2606" s="196" t="s">
        <v>425</v>
      </c>
      <c r="N2606" s="55">
        <f t="shared" si="217"/>
        <v>26.957627118644066</v>
      </c>
      <c r="O2606" s="55">
        <f t="shared" si="218"/>
        <v>1439.5665462628508</v>
      </c>
      <c r="P2606" s="121">
        <f>I2594-N2606</f>
        <v>15.042372881355934</v>
      </c>
      <c r="Q2606" s="57">
        <f>J2594-O2606</f>
        <v>1460.9534537371492</v>
      </c>
    </row>
    <row r="2607" spans="1:17" ht="15" customHeight="1" outlineLevel="1" x14ac:dyDescent="0.25">
      <c r="A2607" s="148"/>
      <c r="B2607" s="148"/>
      <c r="C2607" s="148"/>
      <c r="D2607" s="138"/>
      <c r="E2607" s="138"/>
      <c r="F2607" s="50">
        <v>43647</v>
      </c>
      <c r="G2607" s="50">
        <v>43830</v>
      </c>
      <c r="H2607" s="150"/>
      <c r="I2607" s="15" t="s">
        <v>23</v>
      </c>
      <c r="J2607" s="15" t="s">
        <v>23</v>
      </c>
      <c r="K2607" s="13">
        <v>32.996135593220338</v>
      </c>
      <c r="L2607" s="13">
        <v>1762.0294526257294</v>
      </c>
      <c r="M2607" s="198"/>
      <c r="N2607" s="55">
        <f t="shared" si="217"/>
        <v>27.496779661016948</v>
      </c>
      <c r="O2607" s="55">
        <f t="shared" si="218"/>
        <v>1468.357877188108</v>
      </c>
    </row>
    <row r="2608" spans="1:17" ht="15" customHeight="1" outlineLevel="1" x14ac:dyDescent="0.25">
      <c r="A2608" s="148"/>
      <c r="B2608" s="148"/>
      <c r="C2608" s="148"/>
      <c r="D2608" s="138"/>
      <c r="E2608" s="138"/>
      <c r="F2608" s="50">
        <v>43466</v>
      </c>
      <c r="G2608" s="50">
        <v>43646</v>
      </c>
      <c r="H2608" s="150"/>
      <c r="I2608" s="15" t="s">
        <v>23</v>
      </c>
      <c r="J2608" s="15" t="s">
        <v>23</v>
      </c>
      <c r="K2608" s="13">
        <v>32.349152542372877</v>
      </c>
      <c r="L2608" s="13">
        <v>1463.5593220338983</v>
      </c>
      <c r="M2608" s="196" t="s">
        <v>426</v>
      </c>
      <c r="N2608" s="55">
        <f t="shared" si="217"/>
        <v>26.957627118644066</v>
      </c>
      <c r="O2608" s="55">
        <f t="shared" si="218"/>
        <v>1219.6327683615821</v>
      </c>
    </row>
    <row r="2609" spans="1:15" ht="15" customHeight="1" outlineLevel="1" x14ac:dyDescent="0.25">
      <c r="A2609" s="148"/>
      <c r="B2609" s="148"/>
      <c r="C2609" s="148"/>
      <c r="D2609" s="138"/>
      <c r="E2609" s="138"/>
      <c r="F2609" s="50">
        <v>43647</v>
      </c>
      <c r="G2609" s="50">
        <v>43830</v>
      </c>
      <c r="H2609" s="150"/>
      <c r="I2609" s="15" t="s">
        <v>23</v>
      </c>
      <c r="J2609" s="15" t="s">
        <v>23</v>
      </c>
      <c r="K2609" s="13">
        <v>32.996135593220338</v>
      </c>
      <c r="L2609" s="13">
        <v>1492.8305084745764</v>
      </c>
      <c r="M2609" s="198"/>
      <c r="N2609" s="55">
        <f t="shared" si="217"/>
        <v>27.496779661016948</v>
      </c>
      <c r="O2609" s="55">
        <f t="shared" si="218"/>
        <v>1244.0254237288136</v>
      </c>
    </row>
    <row r="2610" spans="1:15" ht="15" customHeight="1" outlineLevel="1" x14ac:dyDescent="0.25">
      <c r="A2610" s="148"/>
      <c r="B2610" s="148"/>
      <c r="C2610" s="148"/>
      <c r="D2610" s="138"/>
      <c r="E2610" s="138"/>
      <c r="F2610" s="50">
        <v>43466</v>
      </c>
      <c r="G2610" s="50">
        <v>43646</v>
      </c>
      <c r="H2610" s="150"/>
      <c r="I2610" s="15" t="s">
        <v>23</v>
      </c>
      <c r="J2610" s="15" t="s">
        <v>23</v>
      </c>
      <c r="K2610" s="13">
        <v>32.349152542372877</v>
      </c>
      <c r="L2610" s="13">
        <v>1596.6101694915253</v>
      </c>
      <c r="M2610" s="196" t="s">
        <v>427</v>
      </c>
      <c r="N2610" s="55">
        <f t="shared" si="217"/>
        <v>26.957627118644066</v>
      </c>
      <c r="O2610" s="55">
        <f t="shared" si="218"/>
        <v>1330.5084745762711</v>
      </c>
    </row>
    <row r="2611" spans="1:15" ht="15" customHeight="1" outlineLevel="1" x14ac:dyDescent="0.25">
      <c r="A2611" s="147"/>
      <c r="B2611" s="147"/>
      <c r="C2611" s="148"/>
      <c r="D2611" s="141"/>
      <c r="E2611" s="141"/>
      <c r="F2611" s="50">
        <v>43647</v>
      </c>
      <c r="G2611" s="50">
        <v>43830</v>
      </c>
      <c r="H2611" s="151"/>
      <c r="I2611" s="15" t="s">
        <v>23</v>
      </c>
      <c r="J2611" s="15" t="s">
        <v>23</v>
      </c>
      <c r="K2611" s="13">
        <v>32.996135593220338</v>
      </c>
      <c r="L2611" s="13">
        <v>1628.542372881356</v>
      </c>
      <c r="M2611" s="198"/>
      <c r="N2611" s="55">
        <f t="shared" si="217"/>
        <v>27.496779661016948</v>
      </c>
      <c r="O2611" s="55">
        <f t="shared" si="218"/>
        <v>1357.1186440677966</v>
      </c>
    </row>
    <row r="2612" spans="1:15" ht="15" customHeight="1" outlineLevel="1" x14ac:dyDescent="0.25">
      <c r="A2612" s="146" t="s">
        <v>51</v>
      </c>
      <c r="B2612" s="146" t="s">
        <v>579</v>
      </c>
      <c r="C2612" s="148"/>
      <c r="D2612" s="137">
        <v>42723</v>
      </c>
      <c r="E2612" s="137" t="s">
        <v>771</v>
      </c>
      <c r="F2612" s="12">
        <v>43466</v>
      </c>
      <c r="G2612" s="12">
        <v>43646</v>
      </c>
      <c r="H2612" s="149" t="s">
        <v>770</v>
      </c>
      <c r="I2612" s="66">
        <v>42</v>
      </c>
      <c r="J2612" s="13">
        <v>2900.52</v>
      </c>
      <c r="K2612" s="15" t="s">
        <v>23</v>
      </c>
      <c r="L2612" s="15" t="s">
        <v>23</v>
      </c>
      <c r="M2612" s="153"/>
    </row>
    <row r="2613" spans="1:15" ht="15" customHeight="1" outlineLevel="1" x14ac:dyDescent="0.25">
      <c r="A2613" s="148"/>
      <c r="B2613" s="148"/>
      <c r="C2613" s="148"/>
      <c r="D2613" s="141"/>
      <c r="E2613" s="141"/>
      <c r="F2613" s="12">
        <v>43647</v>
      </c>
      <c r="G2613" s="12">
        <v>43830</v>
      </c>
      <c r="H2613" s="151"/>
      <c r="I2613" s="66">
        <v>42.58</v>
      </c>
      <c r="J2613" s="13">
        <v>3103.51</v>
      </c>
      <c r="K2613" s="15" t="s">
        <v>23</v>
      </c>
      <c r="L2613" s="15" t="s">
        <v>23</v>
      </c>
      <c r="M2613" s="152"/>
    </row>
    <row r="2614" spans="1:15" ht="15" customHeight="1" outlineLevel="1" x14ac:dyDescent="0.25">
      <c r="A2614" s="148"/>
      <c r="B2614" s="148"/>
      <c r="C2614" s="148"/>
      <c r="D2614" s="137">
        <v>43454</v>
      </c>
      <c r="E2614" s="137" t="s">
        <v>742</v>
      </c>
      <c r="F2614" s="50">
        <v>43466</v>
      </c>
      <c r="G2614" s="50">
        <v>43646</v>
      </c>
      <c r="H2614" s="149"/>
      <c r="I2614" s="15" t="s">
        <v>23</v>
      </c>
      <c r="J2614" s="15" t="s">
        <v>23</v>
      </c>
      <c r="K2614" s="13">
        <v>32.349152542372877</v>
      </c>
      <c r="L2614" s="13">
        <v>1527.1932203389829</v>
      </c>
      <c r="M2614" s="196" t="s">
        <v>420</v>
      </c>
      <c r="N2614" s="55">
        <f>K2614/1.2</f>
        <v>26.957627118644066</v>
      </c>
      <c r="O2614" s="55">
        <f>L2614/1.2</f>
        <v>1272.6610169491526</v>
      </c>
    </row>
    <row r="2615" spans="1:15" ht="15" customHeight="1" outlineLevel="1" x14ac:dyDescent="0.25">
      <c r="A2615" s="148"/>
      <c r="B2615" s="148"/>
      <c r="C2615" s="148"/>
      <c r="D2615" s="138"/>
      <c r="E2615" s="138"/>
      <c r="F2615" s="50">
        <v>43647</v>
      </c>
      <c r="G2615" s="50">
        <v>43830</v>
      </c>
      <c r="H2615" s="150"/>
      <c r="I2615" s="15" t="s">
        <v>23</v>
      </c>
      <c r="J2615" s="15" t="s">
        <v>23</v>
      </c>
      <c r="K2615" s="13">
        <v>32.996135593220338</v>
      </c>
      <c r="L2615" s="13">
        <v>1557.7370847457626</v>
      </c>
      <c r="M2615" s="198"/>
      <c r="N2615" s="55">
        <f t="shared" ref="N2615:N2629" si="219">K2615/1.2</f>
        <v>27.496779661016948</v>
      </c>
      <c r="O2615" s="55">
        <f t="shared" ref="O2615:O2629" si="220">L2615/1.2</f>
        <v>1298.1142372881354</v>
      </c>
    </row>
    <row r="2616" spans="1:15" ht="15" customHeight="1" outlineLevel="1" x14ac:dyDescent="0.25">
      <c r="A2616" s="148"/>
      <c r="B2616" s="148"/>
      <c r="C2616" s="148"/>
      <c r="D2616" s="138"/>
      <c r="E2616" s="138"/>
      <c r="F2616" s="50">
        <v>43466</v>
      </c>
      <c r="G2616" s="50">
        <v>43646</v>
      </c>
      <c r="H2616" s="150"/>
      <c r="I2616" s="15" t="s">
        <v>23</v>
      </c>
      <c r="J2616" s="15" t="s">
        <v>23</v>
      </c>
      <c r="K2616" s="13">
        <v>32.349152542372877</v>
      </c>
      <c r="L2616" s="13">
        <v>1672.639225181598</v>
      </c>
      <c r="M2616" s="196" t="s">
        <v>421</v>
      </c>
      <c r="N2616" s="55">
        <f t="shared" si="219"/>
        <v>26.957627118644066</v>
      </c>
      <c r="O2616" s="55">
        <f t="shared" si="220"/>
        <v>1393.8660209846651</v>
      </c>
    </row>
    <row r="2617" spans="1:15" ht="15" customHeight="1" outlineLevel="1" x14ac:dyDescent="0.25">
      <c r="A2617" s="148"/>
      <c r="B2617" s="148"/>
      <c r="C2617" s="148"/>
      <c r="D2617" s="138"/>
      <c r="E2617" s="138"/>
      <c r="F2617" s="50">
        <v>43647</v>
      </c>
      <c r="G2617" s="50">
        <v>43830</v>
      </c>
      <c r="H2617" s="150"/>
      <c r="I2617" s="15" t="s">
        <v>23</v>
      </c>
      <c r="J2617" s="15" t="s">
        <v>23</v>
      </c>
      <c r="K2617" s="13">
        <v>32.996135593220338</v>
      </c>
      <c r="L2617" s="13">
        <v>1706.0920096852301</v>
      </c>
      <c r="M2617" s="198"/>
      <c r="N2617" s="55">
        <f t="shared" si="219"/>
        <v>27.496779661016948</v>
      </c>
      <c r="O2617" s="55">
        <f t="shared" si="220"/>
        <v>1421.7433414043585</v>
      </c>
    </row>
    <row r="2618" spans="1:15" ht="15" customHeight="1" outlineLevel="1" x14ac:dyDescent="0.25">
      <c r="A2618" s="148"/>
      <c r="B2618" s="148"/>
      <c r="C2618" s="148"/>
      <c r="D2618" s="138"/>
      <c r="E2618" s="138"/>
      <c r="F2618" s="50">
        <v>43466</v>
      </c>
      <c r="G2618" s="50">
        <v>43646</v>
      </c>
      <c r="H2618" s="150"/>
      <c r="I2618" s="15" t="s">
        <v>23</v>
      </c>
      <c r="J2618" s="15" t="s">
        <v>23</v>
      </c>
      <c r="K2618" s="13">
        <v>32.349152542372877</v>
      </c>
      <c r="L2618" s="13">
        <v>1424.0036646816309</v>
      </c>
      <c r="M2618" s="196" t="s">
        <v>422</v>
      </c>
      <c r="N2618" s="55">
        <f t="shared" si="219"/>
        <v>26.957627118644066</v>
      </c>
      <c r="O2618" s="55">
        <f t="shared" si="220"/>
        <v>1186.6697205680257</v>
      </c>
    </row>
    <row r="2619" spans="1:15" ht="15" customHeight="1" outlineLevel="1" x14ac:dyDescent="0.25">
      <c r="A2619" s="148"/>
      <c r="B2619" s="148"/>
      <c r="C2619" s="148"/>
      <c r="D2619" s="138"/>
      <c r="E2619" s="138"/>
      <c r="F2619" s="50">
        <v>43647</v>
      </c>
      <c r="G2619" s="50">
        <v>43830</v>
      </c>
      <c r="H2619" s="150"/>
      <c r="I2619" s="15" t="s">
        <v>23</v>
      </c>
      <c r="J2619" s="15" t="s">
        <v>23</v>
      </c>
      <c r="K2619" s="13">
        <v>32.996135593220338</v>
      </c>
      <c r="L2619" s="13">
        <v>1452.4837379752635</v>
      </c>
      <c r="M2619" s="198"/>
      <c r="N2619" s="55">
        <f t="shared" si="219"/>
        <v>27.496779661016948</v>
      </c>
      <c r="O2619" s="55">
        <f t="shared" si="220"/>
        <v>1210.4031149793864</v>
      </c>
    </row>
    <row r="2620" spans="1:15" ht="15" customHeight="1" outlineLevel="1" x14ac:dyDescent="0.25">
      <c r="A2620" s="148"/>
      <c r="B2620" s="148"/>
      <c r="C2620" s="148"/>
      <c r="D2620" s="138"/>
      <c r="E2620" s="138"/>
      <c r="F2620" s="50">
        <v>43466</v>
      </c>
      <c r="G2620" s="50">
        <v>43646</v>
      </c>
      <c r="H2620" s="150"/>
      <c r="I2620" s="15" t="s">
        <v>23</v>
      </c>
      <c r="J2620" s="15" t="s">
        <v>23</v>
      </c>
      <c r="K2620" s="13">
        <v>32.349152542372877</v>
      </c>
      <c r="L2620" s="13">
        <v>1527.1923360353719</v>
      </c>
      <c r="M2620" s="196" t="s">
        <v>423</v>
      </c>
      <c r="N2620" s="55">
        <f t="shared" si="219"/>
        <v>26.957627118644066</v>
      </c>
      <c r="O2620" s="55">
        <f t="shared" si="220"/>
        <v>1272.6602800294766</v>
      </c>
    </row>
    <row r="2621" spans="1:15" ht="15" customHeight="1" outlineLevel="1" x14ac:dyDescent="0.25">
      <c r="A2621" s="148"/>
      <c r="B2621" s="148"/>
      <c r="C2621" s="148"/>
      <c r="D2621" s="138"/>
      <c r="E2621" s="138"/>
      <c r="F2621" s="50">
        <v>43647</v>
      </c>
      <c r="G2621" s="50">
        <v>43830</v>
      </c>
      <c r="H2621" s="150"/>
      <c r="I2621" s="15" t="s">
        <v>23</v>
      </c>
      <c r="J2621" s="15" t="s">
        <v>23</v>
      </c>
      <c r="K2621" s="13">
        <v>32.996135593220338</v>
      </c>
      <c r="L2621" s="13">
        <v>1557.7361827560794</v>
      </c>
      <c r="M2621" s="198"/>
      <c r="N2621" s="55">
        <f t="shared" si="219"/>
        <v>27.496779661016948</v>
      </c>
      <c r="O2621" s="55">
        <f t="shared" si="220"/>
        <v>1298.1134856300662</v>
      </c>
    </row>
    <row r="2622" spans="1:15" ht="15" customHeight="1" outlineLevel="1" x14ac:dyDescent="0.25">
      <c r="A2622" s="148"/>
      <c r="B2622" s="148"/>
      <c r="C2622" s="148"/>
      <c r="D2622" s="138"/>
      <c r="E2622" s="138"/>
      <c r="F2622" s="50">
        <v>43466</v>
      </c>
      <c r="G2622" s="50">
        <v>43646</v>
      </c>
      <c r="H2622" s="150"/>
      <c r="I2622" s="15" t="s">
        <v>23</v>
      </c>
      <c r="J2622" s="15" t="s">
        <v>23</v>
      </c>
      <c r="K2622" s="13">
        <v>32.349152542372877</v>
      </c>
      <c r="L2622" s="13">
        <v>1596.6101694915253</v>
      </c>
      <c r="M2622" s="196" t="s">
        <v>424</v>
      </c>
      <c r="N2622" s="55">
        <f t="shared" si="219"/>
        <v>26.957627118644066</v>
      </c>
      <c r="O2622" s="55">
        <f t="shared" si="220"/>
        <v>1330.5084745762711</v>
      </c>
    </row>
    <row r="2623" spans="1:15" ht="15" customHeight="1" outlineLevel="1" x14ac:dyDescent="0.25">
      <c r="A2623" s="148"/>
      <c r="B2623" s="148"/>
      <c r="C2623" s="148"/>
      <c r="D2623" s="138"/>
      <c r="E2623" s="138"/>
      <c r="F2623" s="50">
        <v>43647</v>
      </c>
      <c r="G2623" s="50">
        <v>43830</v>
      </c>
      <c r="H2623" s="150"/>
      <c r="I2623" s="15" t="s">
        <v>23</v>
      </c>
      <c r="J2623" s="15" t="s">
        <v>23</v>
      </c>
      <c r="K2623" s="13">
        <v>32.996135593220338</v>
      </c>
      <c r="L2623" s="13">
        <v>1628.542372881356</v>
      </c>
      <c r="M2623" s="198"/>
      <c r="N2623" s="55">
        <f t="shared" si="219"/>
        <v>27.496779661016948</v>
      </c>
      <c r="O2623" s="55">
        <f t="shared" si="220"/>
        <v>1357.1186440677966</v>
      </c>
    </row>
    <row r="2624" spans="1:15" ht="15" customHeight="1" outlineLevel="1" x14ac:dyDescent="0.25">
      <c r="A2624" s="148"/>
      <c r="B2624" s="148"/>
      <c r="C2624" s="148"/>
      <c r="D2624" s="138"/>
      <c r="E2624" s="138"/>
      <c r="F2624" s="50">
        <v>43466</v>
      </c>
      <c r="G2624" s="50">
        <v>43646</v>
      </c>
      <c r="H2624" s="150"/>
      <c r="I2624" s="15" t="s">
        <v>23</v>
      </c>
      <c r="J2624" s="15" t="s">
        <v>23</v>
      </c>
      <c r="K2624" s="13">
        <v>32.349152542372877</v>
      </c>
      <c r="L2624" s="13">
        <v>1727.4798555154209</v>
      </c>
      <c r="M2624" s="196" t="s">
        <v>425</v>
      </c>
      <c r="N2624" s="55">
        <f t="shared" si="219"/>
        <v>26.957627118644066</v>
      </c>
      <c r="O2624" s="55">
        <f t="shared" si="220"/>
        <v>1439.5665462628508</v>
      </c>
    </row>
    <row r="2625" spans="1:17" ht="15" customHeight="1" outlineLevel="1" x14ac:dyDescent="0.25">
      <c r="A2625" s="148"/>
      <c r="B2625" s="148"/>
      <c r="C2625" s="148"/>
      <c r="D2625" s="138"/>
      <c r="E2625" s="138"/>
      <c r="F2625" s="50">
        <v>43647</v>
      </c>
      <c r="G2625" s="50">
        <v>43830</v>
      </c>
      <c r="H2625" s="150"/>
      <c r="I2625" s="15" t="s">
        <v>23</v>
      </c>
      <c r="J2625" s="15" t="s">
        <v>23</v>
      </c>
      <c r="K2625" s="13">
        <v>32.996135593220338</v>
      </c>
      <c r="L2625" s="13">
        <v>1762.0294526257294</v>
      </c>
      <c r="M2625" s="198"/>
      <c r="N2625" s="55">
        <f t="shared" si="219"/>
        <v>27.496779661016948</v>
      </c>
      <c r="O2625" s="55">
        <f t="shared" si="220"/>
        <v>1468.357877188108</v>
      </c>
    </row>
    <row r="2626" spans="1:17" ht="15" customHeight="1" outlineLevel="1" x14ac:dyDescent="0.25">
      <c r="A2626" s="148"/>
      <c r="B2626" s="148"/>
      <c r="C2626" s="148"/>
      <c r="D2626" s="138"/>
      <c r="E2626" s="138"/>
      <c r="F2626" s="50">
        <v>43466</v>
      </c>
      <c r="G2626" s="50">
        <v>43646</v>
      </c>
      <c r="H2626" s="150"/>
      <c r="I2626" s="15" t="s">
        <v>23</v>
      </c>
      <c r="J2626" s="15" t="s">
        <v>23</v>
      </c>
      <c r="K2626" s="13">
        <v>32.349152542372877</v>
      </c>
      <c r="L2626" s="13">
        <v>1463.5593220338983</v>
      </c>
      <c r="M2626" s="196" t="s">
        <v>426</v>
      </c>
      <c r="N2626" s="55">
        <f t="shared" si="219"/>
        <v>26.957627118644066</v>
      </c>
      <c r="O2626" s="55">
        <f t="shared" si="220"/>
        <v>1219.6327683615821</v>
      </c>
      <c r="P2626" s="121">
        <f>I2612-N2626</f>
        <v>15.042372881355934</v>
      </c>
      <c r="Q2626" s="57">
        <f>J2612-O2626</f>
        <v>1680.8872316384179</v>
      </c>
    </row>
    <row r="2627" spans="1:17" ht="15" customHeight="1" outlineLevel="1" x14ac:dyDescent="0.25">
      <c r="A2627" s="148"/>
      <c r="B2627" s="148"/>
      <c r="C2627" s="148"/>
      <c r="D2627" s="138"/>
      <c r="E2627" s="138"/>
      <c r="F2627" s="50">
        <v>43647</v>
      </c>
      <c r="G2627" s="50">
        <v>43830</v>
      </c>
      <c r="H2627" s="150"/>
      <c r="I2627" s="15" t="s">
        <v>23</v>
      </c>
      <c r="J2627" s="15" t="s">
        <v>23</v>
      </c>
      <c r="K2627" s="13">
        <v>32.996135593220338</v>
      </c>
      <c r="L2627" s="13">
        <v>1492.8305084745764</v>
      </c>
      <c r="M2627" s="198"/>
      <c r="N2627" s="55">
        <f t="shared" si="219"/>
        <v>27.496779661016948</v>
      </c>
      <c r="O2627" s="55">
        <f t="shared" si="220"/>
        <v>1244.0254237288136</v>
      </c>
    </row>
    <row r="2628" spans="1:17" ht="15" customHeight="1" outlineLevel="1" x14ac:dyDescent="0.25">
      <c r="A2628" s="148"/>
      <c r="B2628" s="148"/>
      <c r="C2628" s="148"/>
      <c r="D2628" s="138"/>
      <c r="E2628" s="138"/>
      <c r="F2628" s="50">
        <v>43466</v>
      </c>
      <c r="G2628" s="50">
        <v>43646</v>
      </c>
      <c r="H2628" s="150"/>
      <c r="I2628" s="15" t="s">
        <v>23</v>
      </c>
      <c r="J2628" s="15" t="s">
        <v>23</v>
      </c>
      <c r="K2628" s="13">
        <v>32.349152542372877</v>
      </c>
      <c r="L2628" s="13">
        <v>1596.6101694915253</v>
      </c>
      <c r="M2628" s="196" t="s">
        <v>427</v>
      </c>
      <c r="N2628" s="55">
        <f t="shared" si="219"/>
        <v>26.957627118644066</v>
      </c>
      <c r="O2628" s="55">
        <f t="shared" si="220"/>
        <v>1330.5084745762711</v>
      </c>
    </row>
    <row r="2629" spans="1:17" ht="15" customHeight="1" outlineLevel="1" x14ac:dyDescent="0.25">
      <c r="A2629" s="147"/>
      <c r="B2629" s="147"/>
      <c r="C2629" s="148"/>
      <c r="D2629" s="141"/>
      <c r="E2629" s="141"/>
      <c r="F2629" s="50">
        <v>43647</v>
      </c>
      <c r="G2629" s="50">
        <v>43830</v>
      </c>
      <c r="H2629" s="151"/>
      <c r="I2629" s="15" t="s">
        <v>23</v>
      </c>
      <c r="J2629" s="15" t="s">
        <v>23</v>
      </c>
      <c r="K2629" s="13">
        <v>32.996135593220338</v>
      </c>
      <c r="L2629" s="13">
        <v>1628.542372881356</v>
      </c>
      <c r="M2629" s="198"/>
      <c r="N2629" s="55">
        <f t="shared" si="219"/>
        <v>27.496779661016948</v>
      </c>
      <c r="O2629" s="55">
        <f t="shared" si="220"/>
        <v>1357.1186440677966</v>
      </c>
    </row>
    <row r="2630" spans="1:17" ht="15" customHeight="1" outlineLevel="1" x14ac:dyDescent="0.25">
      <c r="A2630" s="146" t="s">
        <v>51</v>
      </c>
      <c r="B2630" s="146" t="s">
        <v>580</v>
      </c>
      <c r="C2630" s="148"/>
      <c r="D2630" s="137">
        <v>42723</v>
      </c>
      <c r="E2630" s="137" t="s">
        <v>771</v>
      </c>
      <c r="F2630" s="12">
        <v>43466</v>
      </c>
      <c r="G2630" s="12">
        <v>43646</v>
      </c>
      <c r="H2630" s="149" t="s">
        <v>770</v>
      </c>
      <c r="I2630" s="66">
        <v>42</v>
      </c>
      <c r="J2630" s="13">
        <v>2900.52</v>
      </c>
      <c r="K2630" s="15" t="s">
        <v>23</v>
      </c>
      <c r="L2630" s="15" t="s">
        <v>23</v>
      </c>
      <c r="M2630" s="153"/>
    </row>
    <row r="2631" spans="1:17" ht="15" customHeight="1" outlineLevel="1" x14ac:dyDescent="0.25">
      <c r="A2631" s="148"/>
      <c r="B2631" s="148"/>
      <c r="C2631" s="148"/>
      <c r="D2631" s="141"/>
      <c r="E2631" s="141"/>
      <c r="F2631" s="12">
        <v>43647</v>
      </c>
      <c r="G2631" s="12">
        <v>43830</v>
      </c>
      <c r="H2631" s="151"/>
      <c r="I2631" s="66">
        <v>42.58</v>
      </c>
      <c r="J2631" s="13">
        <v>3103.51</v>
      </c>
      <c r="K2631" s="15" t="s">
        <v>23</v>
      </c>
      <c r="L2631" s="15" t="s">
        <v>23</v>
      </c>
      <c r="M2631" s="152"/>
    </row>
    <row r="2632" spans="1:17" ht="15" customHeight="1" outlineLevel="1" x14ac:dyDescent="0.25">
      <c r="A2632" s="148"/>
      <c r="B2632" s="148"/>
      <c r="C2632" s="148"/>
      <c r="D2632" s="137">
        <v>43454</v>
      </c>
      <c r="E2632" s="137" t="s">
        <v>742</v>
      </c>
      <c r="F2632" s="50">
        <v>43466</v>
      </c>
      <c r="G2632" s="50">
        <v>43646</v>
      </c>
      <c r="H2632" s="149"/>
      <c r="I2632" s="15" t="s">
        <v>23</v>
      </c>
      <c r="J2632" s="15" t="s">
        <v>23</v>
      </c>
      <c r="K2632" s="13">
        <v>32.349152542372877</v>
      </c>
      <c r="L2632" s="13">
        <v>1527.1932203389829</v>
      </c>
      <c r="M2632" s="196" t="s">
        <v>420</v>
      </c>
      <c r="N2632" s="55">
        <f>K2632/1.2</f>
        <v>26.957627118644066</v>
      </c>
      <c r="O2632" s="55">
        <f>L2632/1.2</f>
        <v>1272.6610169491526</v>
      </c>
    </row>
    <row r="2633" spans="1:17" ht="15" customHeight="1" outlineLevel="1" x14ac:dyDescent="0.25">
      <c r="A2633" s="148"/>
      <c r="B2633" s="148"/>
      <c r="C2633" s="148"/>
      <c r="D2633" s="138"/>
      <c r="E2633" s="138"/>
      <c r="F2633" s="50">
        <v>43647</v>
      </c>
      <c r="G2633" s="50">
        <v>43830</v>
      </c>
      <c r="H2633" s="150"/>
      <c r="I2633" s="15" t="s">
        <v>23</v>
      </c>
      <c r="J2633" s="15" t="s">
        <v>23</v>
      </c>
      <c r="K2633" s="13">
        <v>32.996135593220338</v>
      </c>
      <c r="L2633" s="13">
        <v>1557.7370847457626</v>
      </c>
      <c r="M2633" s="198"/>
      <c r="N2633" s="55">
        <f t="shared" ref="N2633:N2647" si="221">K2633/1.2</f>
        <v>27.496779661016948</v>
      </c>
      <c r="O2633" s="55">
        <f t="shared" ref="O2633:O2647" si="222">L2633/1.2</f>
        <v>1298.1142372881354</v>
      </c>
    </row>
    <row r="2634" spans="1:17" ht="15" customHeight="1" outlineLevel="1" x14ac:dyDescent="0.25">
      <c r="A2634" s="148"/>
      <c r="B2634" s="148"/>
      <c r="C2634" s="148"/>
      <c r="D2634" s="138"/>
      <c r="E2634" s="138"/>
      <c r="F2634" s="50">
        <v>43466</v>
      </c>
      <c r="G2634" s="50">
        <v>43646</v>
      </c>
      <c r="H2634" s="150"/>
      <c r="I2634" s="15" t="s">
        <v>23</v>
      </c>
      <c r="J2634" s="15" t="s">
        <v>23</v>
      </c>
      <c r="K2634" s="13">
        <v>32.349152542372877</v>
      </c>
      <c r="L2634" s="13">
        <v>1672.639225181598</v>
      </c>
      <c r="M2634" s="196" t="s">
        <v>421</v>
      </c>
      <c r="N2634" s="55">
        <f t="shared" si="221"/>
        <v>26.957627118644066</v>
      </c>
      <c r="O2634" s="55">
        <f t="shared" si="222"/>
        <v>1393.8660209846651</v>
      </c>
    </row>
    <row r="2635" spans="1:17" ht="15" customHeight="1" outlineLevel="1" x14ac:dyDescent="0.25">
      <c r="A2635" s="148"/>
      <c r="B2635" s="148"/>
      <c r="C2635" s="148"/>
      <c r="D2635" s="138"/>
      <c r="E2635" s="138"/>
      <c r="F2635" s="50">
        <v>43647</v>
      </c>
      <c r="G2635" s="50">
        <v>43830</v>
      </c>
      <c r="H2635" s="150"/>
      <c r="I2635" s="15" t="s">
        <v>23</v>
      </c>
      <c r="J2635" s="15" t="s">
        <v>23</v>
      </c>
      <c r="K2635" s="13">
        <v>32.996135593220338</v>
      </c>
      <c r="L2635" s="13">
        <v>1706.0920096852301</v>
      </c>
      <c r="M2635" s="198"/>
      <c r="N2635" s="55">
        <f t="shared" si="221"/>
        <v>27.496779661016948</v>
      </c>
      <c r="O2635" s="55">
        <f t="shared" si="222"/>
        <v>1421.7433414043585</v>
      </c>
    </row>
    <row r="2636" spans="1:17" ht="15" customHeight="1" outlineLevel="1" x14ac:dyDescent="0.25">
      <c r="A2636" s="148"/>
      <c r="B2636" s="148"/>
      <c r="C2636" s="148"/>
      <c r="D2636" s="138"/>
      <c r="E2636" s="138"/>
      <c r="F2636" s="50">
        <v>43466</v>
      </c>
      <c r="G2636" s="50">
        <v>43646</v>
      </c>
      <c r="H2636" s="150"/>
      <c r="I2636" s="15" t="s">
        <v>23</v>
      </c>
      <c r="J2636" s="15" t="s">
        <v>23</v>
      </c>
      <c r="K2636" s="13">
        <v>32.349152542372877</v>
      </c>
      <c r="L2636" s="13">
        <v>1424.0036646816309</v>
      </c>
      <c r="M2636" s="196" t="s">
        <v>422</v>
      </c>
      <c r="N2636" s="55">
        <f t="shared" si="221"/>
        <v>26.957627118644066</v>
      </c>
      <c r="O2636" s="55">
        <f t="shared" si="222"/>
        <v>1186.6697205680257</v>
      </c>
    </row>
    <row r="2637" spans="1:17" ht="15" customHeight="1" outlineLevel="1" x14ac:dyDescent="0.25">
      <c r="A2637" s="148"/>
      <c r="B2637" s="148"/>
      <c r="C2637" s="148"/>
      <c r="D2637" s="138"/>
      <c r="E2637" s="138"/>
      <c r="F2637" s="50">
        <v>43647</v>
      </c>
      <c r="G2637" s="50">
        <v>43830</v>
      </c>
      <c r="H2637" s="150"/>
      <c r="I2637" s="15" t="s">
        <v>23</v>
      </c>
      <c r="J2637" s="15" t="s">
        <v>23</v>
      </c>
      <c r="K2637" s="13">
        <v>32.996135593220338</v>
      </c>
      <c r="L2637" s="13">
        <v>1452.4837379752635</v>
      </c>
      <c r="M2637" s="198"/>
      <c r="N2637" s="55">
        <f t="shared" si="221"/>
        <v>27.496779661016948</v>
      </c>
      <c r="O2637" s="55">
        <f t="shared" si="222"/>
        <v>1210.4031149793864</v>
      </c>
    </row>
    <row r="2638" spans="1:17" ht="15" customHeight="1" outlineLevel="1" x14ac:dyDescent="0.25">
      <c r="A2638" s="148"/>
      <c r="B2638" s="148"/>
      <c r="C2638" s="148"/>
      <c r="D2638" s="138"/>
      <c r="E2638" s="138"/>
      <c r="F2638" s="50">
        <v>43466</v>
      </c>
      <c r="G2638" s="50">
        <v>43646</v>
      </c>
      <c r="H2638" s="150"/>
      <c r="I2638" s="15" t="s">
        <v>23</v>
      </c>
      <c r="J2638" s="15" t="s">
        <v>23</v>
      </c>
      <c r="K2638" s="13">
        <v>32.349152542372877</v>
      </c>
      <c r="L2638" s="13">
        <v>1527.1923360353719</v>
      </c>
      <c r="M2638" s="196" t="s">
        <v>423</v>
      </c>
      <c r="N2638" s="55">
        <f t="shared" si="221"/>
        <v>26.957627118644066</v>
      </c>
      <c r="O2638" s="55">
        <f t="shared" si="222"/>
        <v>1272.6602800294766</v>
      </c>
    </row>
    <row r="2639" spans="1:17" ht="15" customHeight="1" outlineLevel="1" x14ac:dyDescent="0.25">
      <c r="A2639" s="148"/>
      <c r="B2639" s="148"/>
      <c r="C2639" s="148"/>
      <c r="D2639" s="138"/>
      <c r="E2639" s="138"/>
      <c r="F2639" s="50">
        <v>43647</v>
      </c>
      <c r="G2639" s="50">
        <v>43830</v>
      </c>
      <c r="H2639" s="150"/>
      <c r="I2639" s="15" t="s">
        <v>23</v>
      </c>
      <c r="J2639" s="15" t="s">
        <v>23</v>
      </c>
      <c r="K2639" s="13">
        <v>32.996135593220338</v>
      </c>
      <c r="L2639" s="13">
        <v>1557.7361827560794</v>
      </c>
      <c r="M2639" s="198"/>
      <c r="N2639" s="55">
        <f t="shared" si="221"/>
        <v>27.496779661016948</v>
      </c>
      <c r="O2639" s="55">
        <f t="shared" si="222"/>
        <v>1298.1134856300662</v>
      </c>
    </row>
    <row r="2640" spans="1:17" ht="15" customHeight="1" outlineLevel="1" x14ac:dyDescent="0.25">
      <c r="A2640" s="148"/>
      <c r="B2640" s="148"/>
      <c r="C2640" s="148"/>
      <c r="D2640" s="138"/>
      <c r="E2640" s="138"/>
      <c r="F2640" s="50">
        <v>43466</v>
      </c>
      <c r="G2640" s="50">
        <v>43646</v>
      </c>
      <c r="H2640" s="150"/>
      <c r="I2640" s="15" t="s">
        <v>23</v>
      </c>
      <c r="J2640" s="15" t="s">
        <v>23</v>
      </c>
      <c r="K2640" s="13">
        <v>32.349152542372877</v>
      </c>
      <c r="L2640" s="13">
        <v>1596.6101694915253</v>
      </c>
      <c r="M2640" s="196" t="s">
        <v>424</v>
      </c>
      <c r="N2640" s="55">
        <f t="shared" si="221"/>
        <v>26.957627118644066</v>
      </c>
      <c r="O2640" s="55">
        <f t="shared" si="222"/>
        <v>1330.5084745762711</v>
      </c>
    </row>
    <row r="2641" spans="1:17" ht="15" customHeight="1" outlineLevel="1" x14ac:dyDescent="0.25">
      <c r="A2641" s="148"/>
      <c r="B2641" s="148"/>
      <c r="C2641" s="148"/>
      <c r="D2641" s="138"/>
      <c r="E2641" s="138"/>
      <c r="F2641" s="50">
        <v>43647</v>
      </c>
      <c r="G2641" s="50">
        <v>43830</v>
      </c>
      <c r="H2641" s="150"/>
      <c r="I2641" s="15" t="s">
        <v>23</v>
      </c>
      <c r="J2641" s="15" t="s">
        <v>23</v>
      </c>
      <c r="K2641" s="13">
        <v>32.996135593220338</v>
      </c>
      <c r="L2641" s="13">
        <v>1628.542372881356</v>
      </c>
      <c r="M2641" s="198"/>
      <c r="N2641" s="55">
        <f t="shared" si="221"/>
        <v>27.496779661016948</v>
      </c>
      <c r="O2641" s="55">
        <f t="shared" si="222"/>
        <v>1357.1186440677966</v>
      </c>
    </row>
    <row r="2642" spans="1:17" ht="15" customHeight="1" outlineLevel="1" x14ac:dyDescent="0.25">
      <c r="A2642" s="148"/>
      <c r="B2642" s="148"/>
      <c r="C2642" s="148"/>
      <c r="D2642" s="138"/>
      <c r="E2642" s="138"/>
      <c r="F2642" s="50">
        <v>43466</v>
      </c>
      <c r="G2642" s="50">
        <v>43646</v>
      </c>
      <c r="H2642" s="150"/>
      <c r="I2642" s="15" t="s">
        <v>23</v>
      </c>
      <c r="J2642" s="15" t="s">
        <v>23</v>
      </c>
      <c r="K2642" s="13">
        <v>32.349152542372877</v>
      </c>
      <c r="L2642" s="13">
        <v>1727.4798555154209</v>
      </c>
      <c r="M2642" s="196" t="s">
        <v>425</v>
      </c>
      <c r="N2642" s="55">
        <f t="shared" si="221"/>
        <v>26.957627118644066</v>
      </c>
      <c r="O2642" s="55">
        <f t="shared" si="222"/>
        <v>1439.5665462628508</v>
      </c>
    </row>
    <row r="2643" spans="1:17" ht="15" customHeight="1" outlineLevel="1" x14ac:dyDescent="0.25">
      <c r="A2643" s="148"/>
      <c r="B2643" s="148"/>
      <c r="C2643" s="148"/>
      <c r="D2643" s="138"/>
      <c r="E2643" s="138"/>
      <c r="F2643" s="50">
        <v>43647</v>
      </c>
      <c r="G2643" s="50">
        <v>43830</v>
      </c>
      <c r="H2643" s="150"/>
      <c r="I2643" s="15" t="s">
        <v>23</v>
      </c>
      <c r="J2643" s="15" t="s">
        <v>23</v>
      </c>
      <c r="K2643" s="13">
        <v>32.996135593220338</v>
      </c>
      <c r="L2643" s="13">
        <v>1762.0294526257294</v>
      </c>
      <c r="M2643" s="198"/>
      <c r="N2643" s="55">
        <f t="shared" si="221"/>
        <v>27.496779661016948</v>
      </c>
      <c r="O2643" s="55">
        <f t="shared" si="222"/>
        <v>1468.357877188108</v>
      </c>
    </row>
    <row r="2644" spans="1:17" ht="15" customHeight="1" outlineLevel="1" x14ac:dyDescent="0.25">
      <c r="A2644" s="148"/>
      <c r="B2644" s="148"/>
      <c r="C2644" s="148"/>
      <c r="D2644" s="138"/>
      <c r="E2644" s="138"/>
      <c r="F2644" s="50">
        <v>43466</v>
      </c>
      <c r="G2644" s="50">
        <v>43646</v>
      </c>
      <c r="H2644" s="150"/>
      <c r="I2644" s="15" t="s">
        <v>23</v>
      </c>
      <c r="J2644" s="15" t="s">
        <v>23</v>
      </c>
      <c r="K2644" s="13">
        <v>32.349152542372877</v>
      </c>
      <c r="L2644" s="13">
        <v>1463.5593220338983</v>
      </c>
      <c r="M2644" s="196" t="s">
        <v>426</v>
      </c>
      <c r="N2644" s="55">
        <f t="shared" si="221"/>
        <v>26.957627118644066</v>
      </c>
      <c r="O2644" s="55">
        <f t="shared" si="222"/>
        <v>1219.6327683615821</v>
      </c>
      <c r="P2644" s="121">
        <f>I2630-N2644</f>
        <v>15.042372881355934</v>
      </c>
      <c r="Q2644" s="57">
        <f>J2630-O2644</f>
        <v>1680.8872316384179</v>
      </c>
    </row>
    <row r="2645" spans="1:17" ht="15" customHeight="1" outlineLevel="1" x14ac:dyDescent="0.25">
      <c r="A2645" s="148"/>
      <c r="B2645" s="148"/>
      <c r="C2645" s="148"/>
      <c r="D2645" s="138"/>
      <c r="E2645" s="138"/>
      <c r="F2645" s="50">
        <v>43647</v>
      </c>
      <c r="G2645" s="50">
        <v>43830</v>
      </c>
      <c r="H2645" s="150"/>
      <c r="I2645" s="15" t="s">
        <v>23</v>
      </c>
      <c r="J2645" s="15" t="s">
        <v>23</v>
      </c>
      <c r="K2645" s="13">
        <v>32.996135593220338</v>
      </c>
      <c r="L2645" s="13">
        <v>1492.8305084745764</v>
      </c>
      <c r="M2645" s="198"/>
      <c r="N2645" s="55">
        <f t="shared" si="221"/>
        <v>27.496779661016948</v>
      </c>
      <c r="O2645" s="55">
        <f t="shared" si="222"/>
        <v>1244.0254237288136</v>
      </c>
    </row>
    <row r="2646" spans="1:17" ht="15" customHeight="1" outlineLevel="1" x14ac:dyDescent="0.25">
      <c r="A2646" s="148"/>
      <c r="B2646" s="148"/>
      <c r="C2646" s="148"/>
      <c r="D2646" s="138"/>
      <c r="E2646" s="138"/>
      <c r="F2646" s="50">
        <v>43466</v>
      </c>
      <c r="G2646" s="50">
        <v>43646</v>
      </c>
      <c r="H2646" s="150"/>
      <c r="I2646" s="15" t="s">
        <v>23</v>
      </c>
      <c r="J2646" s="15" t="s">
        <v>23</v>
      </c>
      <c r="K2646" s="13">
        <v>32.349152542372877</v>
      </c>
      <c r="L2646" s="13">
        <v>1596.6101694915253</v>
      </c>
      <c r="M2646" s="196" t="s">
        <v>427</v>
      </c>
      <c r="N2646" s="55">
        <f t="shared" si="221"/>
        <v>26.957627118644066</v>
      </c>
      <c r="O2646" s="55">
        <f t="shared" si="222"/>
        <v>1330.5084745762711</v>
      </c>
      <c r="P2646" s="121">
        <f>I2630-N2646</f>
        <v>15.042372881355934</v>
      </c>
      <c r="Q2646" s="57">
        <f>J2630-O2646</f>
        <v>1570.0115254237289</v>
      </c>
    </row>
    <row r="2647" spans="1:17" ht="15" customHeight="1" outlineLevel="1" x14ac:dyDescent="0.25">
      <c r="A2647" s="147"/>
      <c r="B2647" s="147"/>
      <c r="C2647" s="148"/>
      <c r="D2647" s="141"/>
      <c r="E2647" s="141"/>
      <c r="F2647" s="50">
        <v>43647</v>
      </c>
      <c r="G2647" s="50">
        <v>43830</v>
      </c>
      <c r="H2647" s="151"/>
      <c r="I2647" s="15" t="s">
        <v>23</v>
      </c>
      <c r="J2647" s="15" t="s">
        <v>23</v>
      </c>
      <c r="K2647" s="13">
        <v>32.996135593220338</v>
      </c>
      <c r="L2647" s="13">
        <v>1628.542372881356</v>
      </c>
      <c r="M2647" s="198"/>
      <c r="N2647" s="55">
        <f t="shared" si="221"/>
        <v>27.496779661016948</v>
      </c>
      <c r="O2647" s="55">
        <f t="shared" si="222"/>
        <v>1357.1186440677966</v>
      </c>
    </row>
    <row r="2648" spans="1:17" ht="15" customHeight="1" outlineLevel="1" x14ac:dyDescent="0.25">
      <c r="A2648" s="146" t="s">
        <v>51</v>
      </c>
      <c r="B2648" s="146" t="s">
        <v>581</v>
      </c>
      <c r="C2648" s="148"/>
      <c r="D2648" s="137">
        <v>42723</v>
      </c>
      <c r="E2648" s="137" t="s">
        <v>771</v>
      </c>
      <c r="F2648" s="12">
        <v>43466</v>
      </c>
      <c r="G2648" s="12">
        <v>43646</v>
      </c>
      <c r="H2648" s="149" t="s">
        <v>770</v>
      </c>
      <c r="I2648" s="66">
        <v>42</v>
      </c>
      <c r="J2648" s="13">
        <v>2900.52</v>
      </c>
      <c r="K2648" s="15" t="s">
        <v>23</v>
      </c>
      <c r="L2648" s="15" t="s">
        <v>23</v>
      </c>
      <c r="M2648" s="153"/>
    </row>
    <row r="2649" spans="1:17" ht="15" customHeight="1" outlineLevel="1" x14ac:dyDescent="0.25">
      <c r="A2649" s="148"/>
      <c r="B2649" s="148"/>
      <c r="C2649" s="148"/>
      <c r="D2649" s="141"/>
      <c r="E2649" s="141"/>
      <c r="F2649" s="12">
        <v>43647</v>
      </c>
      <c r="G2649" s="12">
        <v>43830</v>
      </c>
      <c r="H2649" s="151"/>
      <c r="I2649" s="66">
        <v>42.58</v>
      </c>
      <c r="J2649" s="13">
        <v>3103.51</v>
      </c>
      <c r="K2649" s="15" t="s">
        <v>23</v>
      </c>
      <c r="L2649" s="15" t="s">
        <v>23</v>
      </c>
      <c r="M2649" s="152"/>
    </row>
    <row r="2650" spans="1:17" ht="15" customHeight="1" outlineLevel="1" x14ac:dyDescent="0.25">
      <c r="A2650" s="148"/>
      <c r="B2650" s="148"/>
      <c r="C2650" s="148"/>
      <c r="D2650" s="137">
        <v>43454</v>
      </c>
      <c r="E2650" s="137" t="s">
        <v>742</v>
      </c>
      <c r="F2650" s="50">
        <v>43466</v>
      </c>
      <c r="G2650" s="50">
        <v>43646</v>
      </c>
      <c r="H2650" s="149"/>
      <c r="I2650" s="15" t="s">
        <v>23</v>
      </c>
      <c r="J2650" s="15" t="s">
        <v>23</v>
      </c>
      <c r="K2650" s="13">
        <v>32.349152542372877</v>
      </c>
      <c r="L2650" s="13">
        <v>1527.1932203389829</v>
      </c>
      <c r="M2650" s="196" t="s">
        <v>420</v>
      </c>
      <c r="N2650" s="55">
        <f>K2650/1.2</f>
        <v>26.957627118644066</v>
      </c>
      <c r="O2650" s="55">
        <f>L2650/1.2</f>
        <v>1272.6610169491526</v>
      </c>
    </row>
    <row r="2651" spans="1:17" ht="15" customHeight="1" outlineLevel="1" x14ac:dyDescent="0.25">
      <c r="A2651" s="148"/>
      <c r="B2651" s="148"/>
      <c r="C2651" s="148"/>
      <c r="D2651" s="138"/>
      <c r="E2651" s="138"/>
      <c r="F2651" s="50">
        <v>43647</v>
      </c>
      <c r="G2651" s="50">
        <v>43830</v>
      </c>
      <c r="H2651" s="150"/>
      <c r="I2651" s="15" t="s">
        <v>23</v>
      </c>
      <c r="J2651" s="15" t="s">
        <v>23</v>
      </c>
      <c r="K2651" s="13">
        <v>32.996135593220338</v>
      </c>
      <c r="L2651" s="13">
        <v>1557.7370847457626</v>
      </c>
      <c r="M2651" s="198"/>
      <c r="N2651" s="55">
        <f t="shared" ref="N2651:N2665" si="223">K2651/1.2</f>
        <v>27.496779661016948</v>
      </c>
      <c r="O2651" s="55">
        <f t="shared" ref="O2651:O2665" si="224">L2651/1.2</f>
        <v>1298.1142372881354</v>
      </c>
    </row>
    <row r="2652" spans="1:17" ht="15" customHeight="1" outlineLevel="1" x14ac:dyDescent="0.25">
      <c r="A2652" s="148"/>
      <c r="B2652" s="148"/>
      <c r="C2652" s="148"/>
      <c r="D2652" s="138"/>
      <c r="E2652" s="138"/>
      <c r="F2652" s="50">
        <v>43466</v>
      </c>
      <c r="G2652" s="50">
        <v>43646</v>
      </c>
      <c r="H2652" s="150"/>
      <c r="I2652" s="15" t="s">
        <v>23</v>
      </c>
      <c r="J2652" s="15" t="s">
        <v>23</v>
      </c>
      <c r="K2652" s="13">
        <v>32.349152542372877</v>
      </c>
      <c r="L2652" s="13">
        <v>1672.639225181598</v>
      </c>
      <c r="M2652" s="196" t="s">
        <v>421</v>
      </c>
      <c r="N2652" s="55">
        <f t="shared" si="223"/>
        <v>26.957627118644066</v>
      </c>
      <c r="O2652" s="55">
        <f t="shared" si="224"/>
        <v>1393.8660209846651</v>
      </c>
    </row>
    <row r="2653" spans="1:17" ht="15" customHeight="1" outlineLevel="1" x14ac:dyDescent="0.25">
      <c r="A2653" s="148"/>
      <c r="B2653" s="148"/>
      <c r="C2653" s="148"/>
      <c r="D2653" s="138"/>
      <c r="E2653" s="138"/>
      <c r="F2653" s="50">
        <v>43647</v>
      </c>
      <c r="G2653" s="50">
        <v>43830</v>
      </c>
      <c r="H2653" s="150"/>
      <c r="I2653" s="15" t="s">
        <v>23</v>
      </c>
      <c r="J2653" s="15" t="s">
        <v>23</v>
      </c>
      <c r="K2653" s="13">
        <v>32.996135593220338</v>
      </c>
      <c r="L2653" s="13">
        <v>1706.0920096852301</v>
      </c>
      <c r="M2653" s="198"/>
      <c r="N2653" s="55">
        <f t="shared" si="223"/>
        <v>27.496779661016948</v>
      </c>
      <c r="O2653" s="55">
        <f t="shared" si="224"/>
        <v>1421.7433414043585</v>
      </c>
    </row>
    <row r="2654" spans="1:17" ht="15" customHeight="1" outlineLevel="1" x14ac:dyDescent="0.25">
      <c r="A2654" s="148"/>
      <c r="B2654" s="148"/>
      <c r="C2654" s="148"/>
      <c r="D2654" s="138"/>
      <c r="E2654" s="138"/>
      <c r="F2654" s="50">
        <v>43466</v>
      </c>
      <c r="G2654" s="50">
        <v>43646</v>
      </c>
      <c r="H2654" s="150"/>
      <c r="I2654" s="15" t="s">
        <v>23</v>
      </c>
      <c r="J2654" s="15" t="s">
        <v>23</v>
      </c>
      <c r="K2654" s="13">
        <v>32.349152542372877</v>
      </c>
      <c r="L2654" s="13">
        <v>1424.0036646816309</v>
      </c>
      <c r="M2654" s="196" t="s">
        <v>422</v>
      </c>
      <c r="N2654" s="55">
        <f t="shared" si="223"/>
        <v>26.957627118644066</v>
      </c>
      <c r="O2654" s="55">
        <f t="shared" si="224"/>
        <v>1186.6697205680257</v>
      </c>
    </row>
    <row r="2655" spans="1:17" ht="15" customHeight="1" outlineLevel="1" x14ac:dyDescent="0.25">
      <c r="A2655" s="148"/>
      <c r="B2655" s="148"/>
      <c r="C2655" s="148"/>
      <c r="D2655" s="138"/>
      <c r="E2655" s="138"/>
      <c r="F2655" s="50">
        <v>43647</v>
      </c>
      <c r="G2655" s="50">
        <v>43830</v>
      </c>
      <c r="H2655" s="150"/>
      <c r="I2655" s="15" t="s">
        <v>23</v>
      </c>
      <c r="J2655" s="15" t="s">
        <v>23</v>
      </c>
      <c r="K2655" s="13">
        <v>32.996135593220338</v>
      </c>
      <c r="L2655" s="13">
        <v>1452.4837379752635</v>
      </c>
      <c r="M2655" s="198"/>
      <c r="N2655" s="55">
        <f t="shared" si="223"/>
        <v>27.496779661016948</v>
      </c>
      <c r="O2655" s="55">
        <f t="shared" si="224"/>
        <v>1210.4031149793864</v>
      </c>
    </row>
    <row r="2656" spans="1:17" ht="15" customHeight="1" outlineLevel="1" x14ac:dyDescent="0.25">
      <c r="A2656" s="148"/>
      <c r="B2656" s="148"/>
      <c r="C2656" s="148"/>
      <c r="D2656" s="138"/>
      <c r="E2656" s="138"/>
      <c r="F2656" s="50">
        <v>43466</v>
      </c>
      <c r="G2656" s="50">
        <v>43646</v>
      </c>
      <c r="H2656" s="150"/>
      <c r="I2656" s="15" t="s">
        <v>23</v>
      </c>
      <c r="J2656" s="15" t="s">
        <v>23</v>
      </c>
      <c r="K2656" s="13">
        <v>32.349152542372877</v>
      </c>
      <c r="L2656" s="13">
        <v>1527.1923360353719</v>
      </c>
      <c r="M2656" s="196" t="s">
        <v>423</v>
      </c>
      <c r="N2656" s="55">
        <f t="shared" si="223"/>
        <v>26.957627118644066</v>
      </c>
      <c r="O2656" s="55">
        <f t="shared" si="224"/>
        <v>1272.6602800294766</v>
      </c>
    </row>
    <row r="2657" spans="1:17" ht="15" customHeight="1" outlineLevel="1" x14ac:dyDescent="0.25">
      <c r="A2657" s="148"/>
      <c r="B2657" s="148"/>
      <c r="C2657" s="148"/>
      <c r="D2657" s="138"/>
      <c r="E2657" s="138"/>
      <c r="F2657" s="50">
        <v>43647</v>
      </c>
      <c r="G2657" s="50">
        <v>43830</v>
      </c>
      <c r="H2657" s="150"/>
      <c r="I2657" s="15" t="s">
        <v>23</v>
      </c>
      <c r="J2657" s="15" t="s">
        <v>23</v>
      </c>
      <c r="K2657" s="13">
        <v>32.996135593220338</v>
      </c>
      <c r="L2657" s="13">
        <v>1557.7361827560794</v>
      </c>
      <c r="M2657" s="198"/>
      <c r="N2657" s="55">
        <f t="shared" si="223"/>
        <v>27.496779661016948</v>
      </c>
      <c r="O2657" s="55">
        <f t="shared" si="224"/>
        <v>1298.1134856300662</v>
      </c>
    </row>
    <row r="2658" spans="1:17" ht="15" customHeight="1" outlineLevel="1" x14ac:dyDescent="0.25">
      <c r="A2658" s="148"/>
      <c r="B2658" s="148"/>
      <c r="C2658" s="148"/>
      <c r="D2658" s="138"/>
      <c r="E2658" s="138"/>
      <c r="F2658" s="50">
        <v>43466</v>
      </c>
      <c r="G2658" s="50">
        <v>43646</v>
      </c>
      <c r="H2658" s="150"/>
      <c r="I2658" s="15" t="s">
        <v>23</v>
      </c>
      <c r="J2658" s="15" t="s">
        <v>23</v>
      </c>
      <c r="K2658" s="13">
        <v>32.349152542372877</v>
      </c>
      <c r="L2658" s="13">
        <v>1596.6101694915253</v>
      </c>
      <c r="M2658" s="196" t="s">
        <v>424</v>
      </c>
      <c r="N2658" s="55">
        <f t="shared" si="223"/>
        <v>26.957627118644066</v>
      </c>
      <c r="O2658" s="55">
        <f t="shared" si="224"/>
        <v>1330.5084745762711</v>
      </c>
    </row>
    <row r="2659" spans="1:17" ht="15" customHeight="1" outlineLevel="1" x14ac:dyDescent="0.25">
      <c r="A2659" s="148"/>
      <c r="B2659" s="148"/>
      <c r="C2659" s="148"/>
      <c r="D2659" s="138"/>
      <c r="E2659" s="138"/>
      <c r="F2659" s="50">
        <v>43647</v>
      </c>
      <c r="G2659" s="50">
        <v>43830</v>
      </c>
      <c r="H2659" s="150"/>
      <c r="I2659" s="15" t="s">
        <v>23</v>
      </c>
      <c r="J2659" s="15" t="s">
        <v>23</v>
      </c>
      <c r="K2659" s="13">
        <v>32.996135593220338</v>
      </c>
      <c r="L2659" s="13">
        <v>1628.542372881356</v>
      </c>
      <c r="M2659" s="198"/>
      <c r="N2659" s="55">
        <f t="shared" si="223"/>
        <v>27.496779661016948</v>
      </c>
      <c r="O2659" s="55">
        <f t="shared" si="224"/>
        <v>1357.1186440677966</v>
      </c>
    </row>
    <row r="2660" spans="1:17" ht="15" customHeight="1" outlineLevel="1" x14ac:dyDescent="0.25">
      <c r="A2660" s="148"/>
      <c r="B2660" s="148"/>
      <c r="C2660" s="148"/>
      <c r="D2660" s="138"/>
      <c r="E2660" s="138"/>
      <c r="F2660" s="50">
        <v>43466</v>
      </c>
      <c r="G2660" s="50">
        <v>43646</v>
      </c>
      <c r="H2660" s="150"/>
      <c r="I2660" s="15" t="s">
        <v>23</v>
      </c>
      <c r="J2660" s="15" t="s">
        <v>23</v>
      </c>
      <c r="K2660" s="13">
        <v>32.349152542372877</v>
      </c>
      <c r="L2660" s="13">
        <v>1727.4798555154209</v>
      </c>
      <c r="M2660" s="196" t="s">
        <v>425</v>
      </c>
      <c r="N2660" s="55">
        <f t="shared" si="223"/>
        <v>26.957627118644066</v>
      </c>
      <c r="O2660" s="55">
        <f t="shared" si="224"/>
        <v>1439.5665462628508</v>
      </c>
    </row>
    <row r="2661" spans="1:17" ht="15" customHeight="1" outlineLevel="1" x14ac:dyDescent="0.25">
      <c r="A2661" s="148"/>
      <c r="B2661" s="148"/>
      <c r="C2661" s="148"/>
      <c r="D2661" s="138"/>
      <c r="E2661" s="138"/>
      <c r="F2661" s="50">
        <v>43647</v>
      </c>
      <c r="G2661" s="50">
        <v>43830</v>
      </c>
      <c r="H2661" s="150"/>
      <c r="I2661" s="15" t="s">
        <v>23</v>
      </c>
      <c r="J2661" s="15" t="s">
        <v>23</v>
      </c>
      <c r="K2661" s="13">
        <v>32.996135593220338</v>
      </c>
      <c r="L2661" s="13">
        <v>1762.0294526257294</v>
      </c>
      <c r="M2661" s="198"/>
      <c r="N2661" s="55">
        <f t="shared" si="223"/>
        <v>27.496779661016948</v>
      </c>
      <c r="O2661" s="55">
        <f t="shared" si="224"/>
        <v>1468.357877188108</v>
      </c>
    </row>
    <row r="2662" spans="1:17" ht="15" customHeight="1" outlineLevel="1" x14ac:dyDescent="0.25">
      <c r="A2662" s="148"/>
      <c r="B2662" s="148"/>
      <c r="C2662" s="148"/>
      <c r="D2662" s="138"/>
      <c r="E2662" s="138"/>
      <c r="F2662" s="50">
        <v>43466</v>
      </c>
      <c r="G2662" s="50">
        <v>43646</v>
      </c>
      <c r="H2662" s="150"/>
      <c r="I2662" s="15" t="s">
        <v>23</v>
      </c>
      <c r="J2662" s="15" t="s">
        <v>23</v>
      </c>
      <c r="K2662" s="13">
        <v>32.349152542372877</v>
      </c>
      <c r="L2662" s="13">
        <v>1463.5593220338983</v>
      </c>
      <c r="M2662" s="196" t="s">
        <v>426</v>
      </c>
      <c r="N2662" s="55">
        <f t="shared" si="223"/>
        <v>26.957627118644066</v>
      </c>
      <c r="O2662" s="55">
        <f t="shared" si="224"/>
        <v>1219.6327683615821</v>
      </c>
      <c r="P2662" s="121">
        <f>I2648-N2662</f>
        <v>15.042372881355934</v>
      </c>
      <c r="Q2662" s="57">
        <f>J2648-O2662</f>
        <v>1680.8872316384179</v>
      </c>
    </row>
    <row r="2663" spans="1:17" ht="15" customHeight="1" outlineLevel="1" x14ac:dyDescent="0.25">
      <c r="A2663" s="148"/>
      <c r="B2663" s="148"/>
      <c r="C2663" s="148"/>
      <c r="D2663" s="138"/>
      <c r="E2663" s="138"/>
      <c r="F2663" s="50">
        <v>43647</v>
      </c>
      <c r="G2663" s="50">
        <v>43830</v>
      </c>
      <c r="H2663" s="150"/>
      <c r="I2663" s="15" t="s">
        <v>23</v>
      </c>
      <c r="J2663" s="15" t="s">
        <v>23</v>
      </c>
      <c r="K2663" s="13">
        <v>32.996135593220338</v>
      </c>
      <c r="L2663" s="13">
        <v>1492.8305084745764</v>
      </c>
      <c r="M2663" s="198"/>
      <c r="N2663" s="55">
        <f t="shared" si="223"/>
        <v>27.496779661016948</v>
      </c>
      <c r="O2663" s="55">
        <f t="shared" si="224"/>
        <v>1244.0254237288136</v>
      </c>
    </row>
    <row r="2664" spans="1:17" ht="15" customHeight="1" outlineLevel="1" x14ac:dyDescent="0.25">
      <c r="A2664" s="148"/>
      <c r="B2664" s="148"/>
      <c r="C2664" s="148"/>
      <c r="D2664" s="138"/>
      <c r="E2664" s="138"/>
      <c r="F2664" s="50">
        <v>43466</v>
      </c>
      <c r="G2664" s="50">
        <v>43646</v>
      </c>
      <c r="H2664" s="150"/>
      <c r="I2664" s="15" t="s">
        <v>23</v>
      </c>
      <c r="J2664" s="15" t="s">
        <v>23</v>
      </c>
      <c r="K2664" s="13">
        <v>32.349152542372877</v>
      </c>
      <c r="L2664" s="13">
        <v>1596.6101694915253</v>
      </c>
      <c r="M2664" s="196" t="s">
        <v>427</v>
      </c>
      <c r="N2664" s="55">
        <f t="shared" si="223"/>
        <v>26.957627118644066</v>
      </c>
      <c r="O2664" s="55">
        <f t="shared" si="224"/>
        <v>1330.5084745762711</v>
      </c>
      <c r="P2664" s="121">
        <f>I2648-N2664</f>
        <v>15.042372881355934</v>
      </c>
      <c r="Q2664" s="57">
        <f>J2648-O2664</f>
        <v>1570.0115254237289</v>
      </c>
    </row>
    <row r="2665" spans="1:17" ht="15" customHeight="1" outlineLevel="1" x14ac:dyDescent="0.25">
      <c r="A2665" s="147"/>
      <c r="B2665" s="147"/>
      <c r="C2665" s="148"/>
      <c r="D2665" s="141"/>
      <c r="E2665" s="141"/>
      <c r="F2665" s="50">
        <v>43647</v>
      </c>
      <c r="G2665" s="50">
        <v>43830</v>
      </c>
      <c r="H2665" s="151"/>
      <c r="I2665" s="15" t="s">
        <v>23</v>
      </c>
      <c r="J2665" s="15" t="s">
        <v>23</v>
      </c>
      <c r="K2665" s="13">
        <v>32.996135593220338</v>
      </c>
      <c r="L2665" s="13">
        <v>1628.542372881356</v>
      </c>
      <c r="M2665" s="198"/>
      <c r="N2665" s="55">
        <f t="shared" si="223"/>
        <v>27.496779661016948</v>
      </c>
      <c r="O2665" s="55">
        <f t="shared" si="224"/>
        <v>1357.1186440677966</v>
      </c>
    </row>
    <row r="2666" spans="1:17" ht="15" customHeight="1" outlineLevel="1" x14ac:dyDescent="0.25">
      <c r="A2666" s="146" t="s">
        <v>51</v>
      </c>
      <c r="B2666" s="146" t="s">
        <v>582</v>
      </c>
      <c r="C2666" s="148"/>
      <c r="D2666" s="137">
        <v>42723</v>
      </c>
      <c r="E2666" s="137" t="s">
        <v>771</v>
      </c>
      <c r="F2666" s="12">
        <v>43466</v>
      </c>
      <c r="G2666" s="12">
        <v>43646</v>
      </c>
      <c r="H2666" s="149" t="s">
        <v>770</v>
      </c>
      <c r="I2666" s="66">
        <v>42</v>
      </c>
      <c r="J2666" s="13">
        <v>2900.52</v>
      </c>
      <c r="K2666" s="15" t="s">
        <v>23</v>
      </c>
      <c r="L2666" s="15" t="s">
        <v>23</v>
      </c>
      <c r="M2666" s="153"/>
    </row>
    <row r="2667" spans="1:17" ht="15" customHeight="1" outlineLevel="1" x14ac:dyDescent="0.25">
      <c r="A2667" s="148"/>
      <c r="B2667" s="148"/>
      <c r="C2667" s="148"/>
      <c r="D2667" s="141"/>
      <c r="E2667" s="141"/>
      <c r="F2667" s="12">
        <v>43647</v>
      </c>
      <c r="G2667" s="12">
        <v>43830</v>
      </c>
      <c r="H2667" s="151"/>
      <c r="I2667" s="66">
        <v>42.58</v>
      </c>
      <c r="J2667" s="13">
        <v>3103.51</v>
      </c>
      <c r="K2667" s="15" t="s">
        <v>23</v>
      </c>
      <c r="L2667" s="15" t="s">
        <v>23</v>
      </c>
      <c r="M2667" s="152"/>
    </row>
    <row r="2668" spans="1:17" ht="15" customHeight="1" outlineLevel="1" x14ac:dyDescent="0.25">
      <c r="A2668" s="148"/>
      <c r="B2668" s="148"/>
      <c r="C2668" s="148"/>
      <c r="D2668" s="137">
        <v>43454</v>
      </c>
      <c r="E2668" s="137" t="s">
        <v>742</v>
      </c>
      <c r="F2668" s="50">
        <v>43466</v>
      </c>
      <c r="G2668" s="50">
        <v>43646</v>
      </c>
      <c r="H2668" s="149"/>
      <c r="I2668" s="15" t="s">
        <v>23</v>
      </c>
      <c r="J2668" s="15" t="s">
        <v>23</v>
      </c>
      <c r="K2668" s="13">
        <v>32.349152542372877</v>
      </c>
      <c r="L2668" s="13">
        <v>1527.1932203389829</v>
      </c>
      <c r="M2668" s="196" t="s">
        <v>420</v>
      </c>
      <c r="N2668" s="55">
        <f>K2668/1.2</f>
        <v>26.957627118644066</v>
      </c>
      <c r="O2668" s="55">
        <f>L2668/1.2</f>
        <v>1272.6610169491526</v>
      </c>
    </row>
    <row r="2669" spans="1:17" ht="15" customHeight="1" outlineLevel="1" x14ac:dyDescent="0.25">
      <c r="A2669" s="148"/>
      <c r="B2669" s="148"/>
      <c r="C2669" s="148"/>
      <c r="D2669" s="138"/>
      <c r="E2669" s="138"/>
      <c r="F2669" s="50">
        <v>43647</v>
      </c>
      <c r="G2669" s="50">
        <v>43830</v>
      </c>
      <c r="H2669" s="150"/>
      <c r="I2669" s="15" t="s">
        <v>23</v>
      </c>
      <c r="J2669" s="15" t="s">
        <v>23</v>
      </c>
      <c r="K2669" s="13">
        <v>32.996135593220338</v>
      </c>
      <c r="L2669" s="13">
        <v>1557.7370847457626</v>
      </c>
      <c r="M2669" s="198"/>
      <c r="N2669" s="55">
        <f t="shared" ref="N2669:N2683" si="225">K2669/1.2</f>
        <v>27.496779661016948</v>
      </c>
      <c r="O2669" s="55">
        <f t="shared" ref="O2669:O2683" si="226">L2669/1.2</f>
        <v>1298.1142372881354</v>
      </c>
    </row>
    <row r="2670" spans="1:17" ht="15" customHeight="1" outlineLevel="1" x14ac:dyDescent="0.25">
      <c r="A2670" s="148"/>
      <c r="B2670" s="148"/>
      <c r="C2670" s="148"/>
      <c r="D2670" s="138"/>
      <c r="E2670" s="138"/>
      <c r="F2670" s="50">
        <v>43466</v>
      </c>
      <c r="G2670" s="50">
        <v>43646</v>
      </c>
      <c r="H2670" s="150"/>
      <c r="I2670" s="15" t="s">
        <v>23</v>
      </c>
      <c r="J2670" s="15" t="s">
        <v>23</v>
      </c>
      <c r="K2670" s="13">
        <v>32.349152542372877</v>
      </c>
      <c r="L2670" s="13">
        <v>1672.639225181598</v>
      </c>
      <c r="M2670" s="196" t="s">
        <v>421</v>
      </c>
      <c r="N2670" s="55">
        <f t="shared" si="225"/>
        <v>26.957627118644066</v>
      </c>
      <c r="O2670" s="55">
        <f t="shared" si="226"/>
        <v>1393.8660209846651</v>
      </c>
    </row>
    <row r="2671" spans="1:17" ht="15" customHeight="1" outlineLevel="1" x14ac:dyDescent="0.25">
      <c r="A2671" s="148"/>
      <c r="B2671" s="148"/>
      <c r="C2671" s="148"/>
      <c r="D2671" s="138"/>
      <c r="E2671" s="138"/>
      <c r="F2671" s="50">
        <v>43647</v>
      </c>
      <c r="G2671" s="50">
        <v>43830</v>
      </c>
      <c r="H2671" s="150"/>
      <c r="I2671" s="15" t="s">
        <v>23</v>
      </c>
      <c r="J2671" s="15" t="s">
        <v>23</v>
      </c>
      <c r="K2671" s="13">
        <v>32.996135593220338</v>
      </c>
      <c r="L2671" s="13">
        <v>1706.0920096852301</v>
      </c>
      <c r="M2671" s="198"/>
      <c r="N2671" s="55">
        <f t="shared" si="225"/>
        <v>27.496779661016948</v>
      </c>
      <c r="O2671" s="55">
        <f t="shared" si="226"/>
        <v>1421.7433414043585</v>
      </c>
    </row>
    <row r="2672" spans="1:17" ht="15" customHeight="1" outlineLevel="1" x14ac:dyDescent="0.25">
      <c r="A2672" s="148"/>
      <c r="B2672" s="148"/>
      <c r="C2672" s="148"/>
      <c r="D2672" s="138"/>
      <c r="E2672" s="138"/>
      <c r="F2672" s="50">
        <v>43466</v>
      </c>
      <c r="G2672" s="50">
        <v>43646</v>
      </c>
      <c r="H2672" s="150"/>
      <c r="I2672" s="15" t="s">
        <v>23</v>
      </c>
      <c r="J2672" s="15" t="s">
        <v>23</v>
      </c>
      <c r="K2672" s="13">
        <v>32.349152542372877</v>
      </c>
      <c r="L2672" s="13">
        <v>1424.0036646816309</v>
      </c>
      <c r="M2672" s="196" t="s">
        <v>422</v>
      </c>
      <c r="N2672" s="55">
        <f t="shared" si="225"/>
        <v>26.957627118644066</v>
      </c>
      <c r="O2672" s="55">
        <f t="shared" si="226"/>
        <v>1186.6697205680257</v>
      </c>
    </row>
    <row r="2673" spans="1:17" ht="15" customHeight="1" outlineLevel="1" x14ac:dyDescent="0.25">
      <c r="A2673" s="148"/>
      <c r="B2673" s="148"/>
      <c r="C2673" s="148"/>
      <c r="D2673" s="138"/>
      <c r="E2673" s="138"/>
      <c r="F2673" s="50">
        <v>43647</v>
      </c>
      <c r="G2673" s="50">
        <v>43830</v>
      </c>
      <c r="H2673" s="150"/>
      <c r="I2673" s="15" t="s">
        <v>23</v>
      </c>
      <c r="J2673" s="15" t="s">
        <v>23</v>
      </c>
      <c r="K2673" s="13">
        <v>32.996135593220338</v>
      </c>
      <c r="L2673" s="13">
        <v>1452.4837379752635</v>
      </c>
      <c r="M2673" s="198"/>
      <c r="N2673" s="55">
        <f t="shared" si="225"/>
        <v>27.496779661016948</v>
      </c>
      <c r="O2673" s="55">
        <f t="shared" si="226"/>
        <v>1210.4031149793864</v>
      </c>
    </row>
    <row r="2674" spans="1:17" ht="15" customHeight="1" outlineLevel="1" x14ac:dyDescent="0.25">
      <c r="A2674" s="148"/>
      <c r="B2674" s="148"/>
      <c r="C2674" s="148"/>
      <c r="D2674" s="138"/>
      <c r="E2674" s="138"/>
      <c r="F2674" s="50">
        <v>43466</v>
      </c>
      <c r="G2674" s="50">
        <v>43646</v>
      </c>
      <c r="H2674" s="150"/>
      <c r="I2674" s="15" t="s">
        <v>23</v>
      </c>
      <c r="J2674" s="15" t="s">
        <v>23</v>
      </c>
      <c r="K2674" s="13">
        <v>32.349152542372877</v>
      </c>
      <c r="L2674" s="13">
        <v>1527.1923360353719</v>
      </c>
      <c r="M2674" s="196" t="s">
        <v>423</v>
      </c>
      <c r="N2674" s="55">
        <f t="shared" si="225"/>
        <v>26.957627118644066</v>
      </c>
      <c r="O2674" s="55">
        <f t="shared" si="226"/>
        <v>1272.6602800294766</v>
      </c>
    </row>
    <row r="2675" spans="1:17" ht="15" customHeight="1" outlineLevel="1" x14ac:dyDescent="0.25">
      <c r="A2675" s="148"/>
      <c r="B2675" s="148"/>
      <c r="C2675" s="148"/>
      <c r="D2675" s="138"/>
      <c r="E2675" s="138"/>
      <c r="F2675" s="50">
        <v>43647</v>
      </c>
      <c r="G2675" s="50">
        <v>43830</v>
      </c>
      <c r="H2675" s="150"/>
      <c r="I2675" s="15" t="s">
        <v>23</v>
      </c>
      <c r="J2675" s="15" t="s">
        <v>23</v>
      </c>
      <c r="K2675" s="13">
        <v>32.996135593220338</v>
      </c>
      <c r="L2675" s="13">
        <v>1557.7361827560794</v>
      </c>
      <c r="M2675" s="198"/>
      <c r="N2675" s="55">
        <f t="shared" si="225"/>
        <v>27.496779661016948</v>
      </c>
      <c r="O2675" s="55">
        <f t="shared" si="226"/>
        <v>1298.1134856300662</v>
      </c>
    </row>
    <row r="2676" spans="1:17" ht="15" customHeight="1" outlineLevel="1" x14ac:dyDescent="0.25">
      <c r="A2676" s="148"/>
      <c r="B2676" s="148"/>
      <c r="C2676" s="148"/>
      <c r="D2676" s="138"/>
      <c r="E2676" s="138"/>
      <c r="F2676" s="50">
        <v>43466</v>
      </c>
      <c r="G2676" s="50">
        <v>43646</v>
      </c>
      <c r="H2676" s="150"/>
      <c r="I2676" s="15" t="s">
        <v>23</v>
      </c>
      <c r="J2676" s="15" t="s">
        <v>23</v>
      </c>
      <c r="K2676" s="13">
        <v>32.349152542372877</v>
      </c>
      <c r="L2676" s="13">
        <v>1596.6101694915253</v>
      </c>
      <c r="M2676" s="196" t="s">
        <v>424</v>
      </c>
      <c r="N2676" s="55">
        <f t="shared" si="225"/>
        <v>26.957627118644066</v>
      </c>
      <c r="O2676" s="55">
        <f t="shared" si="226"/>
        <v>1330.5084745762711</v>
      </c>
      <c r="P2676" s="121">
        <f>I2666-N2676</f>
        <v>15.042372881355934</v>
      </c>
      <c r="Q2676" s="57">
        <f>J2666-O2676</f>
        <v>1570.0115254237289</v>
      </c>
    </row>
    <row r="2677" spans="1:17" ht="15" customHeight="1" outlineLevel="1" x14ac:dyDescent="0.25">
      <c r="A2677" s="148"/>
      <c r="B2677" s="148"/>
      <c r="C2677" s="148"/>
      <c r="D2677" s="138"/>
      <c r="E2677" s="138"/>
      <c r="F2677" s="50">
        <v>43647</v>
      </c>
      <c r="G2677" s="50">
        <v>43830</v>
      </c>
      <c r="H2677" s="150"/>
      <c r="I2677" s="15" t="s">
        <v>23</v>
      </c>
      <c r="J2677" s="15" t="s">
        <v>23</v>
      </c>
      <c r="K2677" s="13">
        <v>32.996135593220338</v>
      </c>
      <c r="L2677" s="13">
        <v>1628.542372881356</v>
      </c>
      <c r="M2677" s="198"/>
      <c r="N2677" s="55">
        <f t="shared" si="225"/>
        <v>27.496779661016948</v>
      </c>
      <c r="O2677" s="55">
        <f t="shared" si="226"/>
        <v>1357.1186440677966</v>
      </c>
    </row>
    <row r="2678" spans="1:17" ht="15" customHeight="1" outlineLevel="1" x14ac:dyDescent="0.25">
      <c r="A2678" s="148"/>
      <c r="B2678" s="148"/>
      <c r="C2678" s="148"/>
      <c r="D2678" s="138"/>
      <c r="E2678" s="138"/>
      <c r="F2678" s="50">
        <v>43466</v>
      </c>
      <c r="G2678" s="50">
        <v>43646</v>
      </c>
      <c r="H2678" s="150"/>
      <c r="I2678" s="15" t="s">
        <v>23</v>
      </c>
      <c r="J2678" s="15" t="s">
        <v>23</v>
      </c>
      <c r="K2678" s="13">
        <v>32.349152542372877</v>
      </c>
      <c r="L2678" s="13">
        <v>1727.4798555154209</v>
      </c>
      <c r="M2678" s="196" t="s">
        <v>425</v>
      </c>
      <c r="N2678" s="55">
        <f t="shared" si="225"/>
        <v>26.957627118644066</v>
      </c>
      <c r="O2678" s="55">
        <f t="shared" si="226"/>
        <v>1439.5665462628508</v>
      </c>
    </row>
    <row r="2679" spans="1:17" ht="15" customHeight="1" outlineLevel="1" x14ac:dyDescent="0.25">
      <c r="A2679" s="148"/>
      <c r="B2679" s="148"/>
      <c r="C2679" s="148"/>
      <c r="D2679" s="138"/>
      <c r="E2679" s="138"/>
      <c r="F2679" s="50">
        <v>43647</v>
      </c>
      <c r="G2679" s="50">
        <v>43830</v>
      </c>
      <c r="H2679" s="150"/>
      <c r="I2679" s="15" t="s">
        <v>23</v>
      </c>
      <c r="J2679" s="15" t="s">
        <v>23</v>
      </c>
      <c r="K2679" s="13">
        <v>32.996135593220338</v>
      </c>
      <c r="L2679" s="13">
        <v>1762.0294526257294</v>
      </c>
      <c r="M2679" s="198"/>
      <c r="N2679" s="55">
        <f t="shared" si="225"/>
        <v>27.496779661016948</v>
      </c>
      <c r="O2679" s="55">
        <f t="shared" si="226"/>
        <v>1468.357877188108</v>
      </c>
    </row>
    <row r="2680" spans="1:17" ht="15" customHeight="1" outlineLevel="1" x14ac:dyDescent="0.25">
      <c r="A2680" s="148"/>
      <c r="B2680" s="148"/>
      <c r="C2680" s="148"/>
      <c r="D2680" s="138"/>
      <c r="E2680" s="138"/>
      <c r="F2680" s="50">
        <v>43466</v>
      </c>
      <c r="G2680" s="50">
        <v>43646</v>
      </c>
      <c r="H2680" s="150"/>
      <c r="I2680" s="15" t="s">
        <v>23</v>
      </c>
      <c r="J2680" s="15" t="s">
        <v>23</v>
      </c>
      <c r="K2680" s="13">
        <v>32.349152542372877</v>
      </c>
      <c r="L2680" s="13">
        <v>1463.5593220338983</v>
      </c>
      <c r="M2680" s="196" t="s">
        <v>426</v>
      </c>
      <c r="N2680" s="55">
        <f t="shared" si="225"/>
        <v>26.957627118644066</v>
      </c>
      <c r="O2680" s="55">
        <f t="shared" si="226"/>
        <v>1219.6327683615821</v>
      </c>
      <c r="P2680" s="121">
        <f>I2666-N2680</f>
        <v>15.042372881355934</v>
      </c>
      <c r="Q2680" s="57">
        <f>J2666-O2680</f>
        <v>1680.8872316384179</v>
      </c>
    </row>
    <row r="2681" spans="1:17" ht="15" customHeight="1" outlineLevel="1" x14ac:dyDescent="0.25">
      <c r="A2681" s="148"/>
      <c r="B2681" s="148"/>
      <c r="C2681" s="148"/>
      <c r="D2681" s="138"/>
      <c r="E2681" s="138"/>
      <c r="F2681" s="50">
        <v>43647</v>
      </c>
      <c r="G2681" s="50">
        <v>43830</v>
      </c>
      <c r="H2681" s="150"/>
      <c r="I2681" s="15" t="s">
        <v>23</v>
      </c>
      <c r="J2681" s="15" t="s">
        <v>23</v>
      </c>
      <c r="K2681" s="13">
        <v>32.996135593220338</v>
      </c>
      <c r="L2681" s="13">
        <v>1492.8305084745764</v>
      </c>
      <c r="M2681" s="198"/>
      <c r="N2681" s="55">
        <f t="shared" si="225"/>
        <v>27.496779661016948</v>
      </c>
      <c r="O2681" s="55">
        <f t="shared" si="226"/>
        <v>1244.0254237288136</v>
      </c>
    </row>
    <row r="2682" spans="1:17" ht="15" customHeight="1" outlineLevel="1" x14ac:dyDescent="0.25">
      <c r="A2682" s="148"/>
      <c r="B2682" s="148"/>
      <c r="C2682" s="148"/>
      <c r="D2682" s="138"/>
      <c r="E2682" s="138"/>
      <c r="F2682" s="50">
        <v>43466</v>
      </c>
      <c r="G2682" s="50">
        <v>43646</v>
      </c>
      <c r="H2682" s="150"/>
      <c r="I2682" s="15" t="s">
        <v>23</v>
      </c>
      <c r="J2682" s="15" t="s">
        <v>23</v>
      </c>
      <c r="K2682" s="13">
        <v>32.349152542372877</v>
      </c>
      <c r="L2682" s="13">
        <v>1596.6101694915253</v>
      </c>
      <c r="M2682" s="196" t="s">
        <v>427</v>
      </c>
      <c r="N2682" s="55">
        <f t="shared" si="225"/>
        <v>26.957627118644066</v>
      </c>
      <c r="O2682" s="55">
        <f t="shared" si="226"/>
        <v>1330.5084745762711</v>
      </c>
      <c r="P2682" s="121">
        <f>I2666-N2682</f>
        <v>15.042372881355934</v>
      </c>
      <c r="Q2682" s="57">
        <f>J2666-O2682</f>
        <v>1570.0115254237289</v>
      </c>
    </row>
    <row r="2683" spans="1:17" ht="15" customHeight="1" outlineLevel="1" x14ac:dyDescent="0.25">
      <c r="A2683" s="147"/>
      <c r="B2683" s="147"/>
      <c r="C2683" s="148"/>
      <c r="D2683" s="141"/>
      <c r="E2683" s="141"/>
      <c r="F2683" s="50">
        <v>43647</v>
      </c>
      <c r="G2683" s="50">
        <v>43830</v>
      </c>
      <c r="H2683" s="151"/>
      <c r="I2683" s="15" t="s">
        <v>23</v>
      </c>
      <c r="J2683" s="15" t="s">
        <v>23</v>
      </c>
      <c r="K2683" s="13">
        <v>32.996135593220338</v>
      </c>
      <c r="L2683" s="13">
        <v>1628.542372881356</v>
      </c>
      <c r="M2683" s="198"/>
      <c r="N2683" s="55">
        <f t="shared" si="225"/>
        <v>27.496779661016948</v>
      </c>
      <c r="O2683" s="55">
        <f t="shared" si="226"/>
        <v>1357.1186440677966</v>
      </c>
    </row>
    <row r="2684" spans="1:17" ht="15" customHeight="1" outlineLevel="1" x14ac:dyDescent="0.25">
      <c r="A2684" s="146" t="s">
        <v>51</v>
      </c>
      <c r="B2684" s="146" t="s">
        <v>583</v>
      </c>
      <c r="C2684" s="148"/>
      <c r="D2684" s="137">
        <v>42723</v>
      </c>
      <c r="E2684" s="137" t="s">
        <v>771</v>
      </c>
      <c r="F2684" s="12">
        <v>43466</v>
      </c>
      <c r="G2684" s="12">
        <v>43646</v>
      </c>
      <c r="H2684" s="149" t="s">
        <v>770</v>
      </c>
      <c r="I2684" s="66">
        <v>42</v>
      </c>
      <c r="J2684" s="13">
        <v>2900.52</v>
      </c>
      <c r="K2684" s="15" t="s">
        <v>23</v>
      </c>
      <c r="L2684" s="15" t="s">
        <v>23</v>
      </c>
      <c r="M2684" s="153"/>
    </row>
    <row r="2685" spans="1:17" ht="15" customHeight="1" outlineLevel="1" x14ac:dyDescent="0.25">
      <c r="A2685" s="148"/>
      <c r="B2685" s="148"/>
      <c r="C2685" s="148"/>
      <c r="D2685" s="141"/>
      <c r="E2685" s="141"/>
      <c r="F2685" s="12">
        <v>43647</v>
      </c>
      <c r="G2685" s="12">
        <v>43830</v>
      </c>
      <c r="H2685" s="151"/>
      <c r="I2685" s="66">
        <v>42.58</v>
      </c>
      <c r="J2685" s="13">
        <v>3103.51</v>
      </c>
      <c r="K2685" s="15" t="s">
        <v>23</v>
      </c>
      <c r="L2685" s="15" t="s">
        <v>23</v>
      </c>
      <c r="M2685" s="152"/>
    </row>
    <row r="2686" spans="1:17" ht="15" customHeight="1" outlineLevel="1" x14ac:dyDescent="0.25">
      <c r="A2686" s="148"/>
      <c r="B2686" s="148"/>
      <c r="C2686" s="148"/>
      <c r="D2686" s="137">
        <v>43454</v>
      </c>
      <c r="E2686" s="137" t="s">
        <v>742</v>
      </c>
      <c r="F2686" s="50">
        <v>43466</v>
      </c>
      <c r="G2686" s="50">
        <v>43646</v>
      </c>
      <c r="H2686" s="149"/>
      <c r="I2686" s="15" t="s">
        <v>23</v>
      </c>
      <c r="J2686" s="15" t="s">
        <v>23</v>
      </c>
      <c r="K2686" s="13">
        <v>32.349152542372877</v>
      </c>
      <c r="L2686" s="13">
        <v>1527.1932203389829</v>
      </c>
      <c r="M2686" s="196" t="s">
        <v>420</v>
      </c>
      <c r="N2686" s="55">
        <f>K2686/1.2</f>
        <v>26.957627118644066</v>
      </c>
      <c r="O2686" s="55">
        <f>L2686/1.2</f>
        <v>1272.6610169491526</v>
      </c>
    </row>
    <row r="2687" spans="1:17" ht="15" customHeight="1" outlineLevel="1" x14ac:dyDescent="0.25">
      <c r="A2687" s="148"/>
      <c r="B2687" s="148"/>
      <c r="C2687" s="148"/>
      <c r="D2687" s="138"/>
      <c r="E2687" s="138"/>
      <c r="F2687" s="50">
        <v>43647</v>
      </c>
      <c r="G2687" s="50">
        <v>43830</v>
      </c>
      <c r="H2687" s="150"/>
      <c r="I2687" s="15" t="s">
        <v>23</v>
      </c>
      <c r="J2687" s="15" t="s">
        <v>23</v>
      </c>
      <c r="K2687" s="13">
        <v>32.996135593220338</v>
      </c>
      <c r="L2687" s="13">
        <v>1557.7370847457626</v>
      </c>
      <c r="M2687" s="198"/>
      <c r="N2687" s="55">
        <f t="shared" ref="N2687:N2701" si="227">K2687/1.2</f>
        <v>27.496779661016948</v>
      </c>
      <c r="O2687" s="55">
        <f t="shared" ref="O2687:O2701" si="228">L2687/1.2</f>
        <v>1298.1142372881354</v>
      </c>
    </row>
    <row r="2688" spans="1:17" ht="15" customHeight="1" outlineLevel="1" x14ac:dyDescent="0.25">
      <c r="A2688" s="148"/>
      <c r="B2688" s="148"/>
      <c r="C2688" s="148"/>
      <c r="D2688" s="138"/>
      <c r="E2688" s="138"/>
      <c r="F2688" s="50">
        <v>43466</v>
      </c>
      <c r="G2688" s="50">
        <v>43646</v>
      </c>
      <c r="H2688" s="150"/>
      <c r="I2688" s="15" t="s">
        <v>23</v>
      </c>
      <c r="J2688" s="15" t="s">
        <v>23</v>
      </c>
      <c r="K2688" s="13">
        <v>32.349152542372877</v>
      </c>
      <c r="L2688" s="13">
        <v>1672.639225181598</v>
      </c>
      <c r="M2688" s="196" t="s">
        <v>421</v>
      </c>
      <c r="N2688" s="55">
        <f t="shared" si="227"/>
        <v>26.957627118644066</v>
      </c>
      <c r="O2688" s="55">
        <f t="shared" si="228"/>
        <v>1393.8660209846651</v>
      </c>
    </row>
    <row r="2689" spans="1:17" ht="15" customHeight="1" outlineLevel="1" x14ac:dyDescent="0.25">
      <c r="A2689" s="148"/>
      <c r="B2689" s="148"/>
      <c r="C2689" s="148"/>
      <c r="D2689" s="138"/>
      <c r="E2689" s="138"/>
      <c r="F2689" s="50">
        <v>43647</v>
      </c>
      <c r="G2689" s="50">
        <v>43830</v>
      </c>
      <c r="H2689" s="150"/>
      <c r="I2689" s="15" t="s">
        <v>23</v>
      </c>
      <c r="J2689" s="15" t="s">
        <v>23</v>
      </c>
      <c r="K2689" s="13">
        <v>32.996135593220338</v>
      </c>
      <c r="L2689" s="13">
        <v>1706.0920096852301</v>
      </c>
      <c r="M2689" s="198"/>
      <c r="N2689" s="55">
        <f t="shared" si="227"/>
        <v>27.496779661016948</v>
      </c>
      <c r="O2689" s="55">
        <f t="shared" si="228"/>
        <v>1421.7433414043585</v>
      </c>
    </row>
    <row r="2690" spans="1:17" ht="15" customHeight="1" outlineLevel="1" x14ac:dyDescent="0.25">
      <c r="A2690" s="148"/>
      <c r="B2690" s="148"/>
      <c r="C2690" s="148"/>
      <c r="D2690" s="138"/>
      <c r="E2690" s="138"/>
      <c r="F2690" s="50">
        <v>43466</v>
      </c>
      <c r="G2690" s="50">
        <v>43646</v>
      </c>
      <c r="H2690" s="150"/>
      <c r="I2690" s="15" t="s">
        <v>23</v>
      </c>
      <c r="J2690" s="15" t="s">
        <v>23</v>
      </c>
      <c r="K2690" s="13">
        <v>32.349152542372877</v>
      </c>
      <c r="L2690" s="13">
        <v>1424.0036646816309</v>
      </c>
      <c r="M2690" s="196" t="s">
        <v>422</v>
      </c>
      <c r="N2690" s="55">
        <f t="shared" si="227"/>
        <v>26.957627118644066</v>
      </c>
      <c r="O2690" s="55">
        <f t="shared" si="228"/>
        <v>1186.6697205680257</v>
      </c>
    </row>
    <row r="2691" spans="1:17" ht="15" customHeight="1" outlineLevel="1" x14ac:dyDescent="0.25">
      <c r="A2691" s="148"/>
      <c r="B2691" s="148"/>
      <c r="C2691" s="148"/>
      <c r="D2691" s="138"/>
      <c r="E2691" s="138"/>
      <c r="F2691" s="50">
        <v>43647</v>
      </c>
      <c r="G2691" s="50">
        <v>43830</v>
      </c>
      <c r="H2691" s="150"/>
      <c r="I2691" s="15" t="s">
        <v>23</v>
      </c>
      <c r="J2691" s="15" t="s">
        <v>23</v>
      </c>
      <c r="K2691" s="13">
        <v>32.996135593220338</v>
      </c>
      <c r="L2691" s="13">
        <v>1452.4837379752635</v>
      </c>
      <c r="M2691" s="198"/>
      <c r="N2691" s="55">
        <f t="shared" si="227"/>
        <v>27.496779661016948</v>
      </c>
      <c r="O2691" s="55">
        <f t="shared" si="228"/>
        <v>1210.4031149793864</v>
      </c>
    </row>
    <row r="2692" spans="1:17" ht="15" customHeight="1" outlineLevel="1" x14ac:dyDescent="0.25">
      <c r="A2692" s="148"/>
      <c r="B2692" s="148"/>
      <c r="C2692" s="148"/>
      <c r="D2692" s="138"/>
      <c r="E2692" s="138"/>
      <c r="F2692" s="50">
        <v>43466</v>
      </c>
      <c r="G2692" s="50">
        <v>43646</v>
      </c>
      <c r="H2692" s="150"/>
      <c r="I2692" s="15" t="s">
        <v>23</v>
      </c>
      <c r="J2692" s="15" t="s">
        <v>23</v>
      </c>
      <c r="K2692" s="13">
        <v>32.349152542372877</v>
      </c>
      <c r="L2692" s="13">
        <v>1527.1923360353719</v>
      </c>
      <c r="M2692" s="196" t="s">
        <v>423</v>
      </c>
      <c r="N2692" s="55">
        <f t="shared" si="227"/>
        <v>26.957627118644066</v>
      </c>
      <c r="O2692" s="55">
        <f t="shared" si="228"/>
        <v>1272.6602800294766</v>
      </c>
    </row>
    <row r="2693" spans="1:17" ht="15" customHeight="1" outlineLevel="1" x14ac:dyDescent="0.25">
      <c r="A2693" s="148"/>
      <c r="B2693" s="148"/>
      <c r="C2693" s="148"/>
      <c r="D2693" s="138"/>
      <c r="E2693" s="138"/>
      <c r="F2693" s="50">
        <v>43647</v>
      </c>
      <c r="G2693" s="50">
        <v>43830</v>
      </c>
      <c r="H2693" s="150"/>
      <c r="I2693" s="15" t="s">
        <v>23</v>
      </c>
      <c r="J2693" s="15" t="s">
        <v>23</v>
      </c>
      <c r="K2693" s="13">
        <v>32.996135593220338</v>
      </c>
      <c r="L2693" s="13">
        <v>1557.7361827560794</v>
      </c>
      <c r="M2693" s="198"/>
      <c r="N2693" s="55">
        <f t="shared" si="227"/>
        <v>27.496779661016948</v>
      </c>
      <c r="O2693" s="55">
        <f t="shared" si="228"/>
        <v>1298.1134856300662</v>
      </c>
    </row>
    <row r="2694" spans="1:17" ht="15" customHeight="1" outlineLevel="1" x14ac:dyDescent="0.25">
      <c r="A2694" s="148"/>
      <c r="B2694" s="148"/>
      <c r="C2694" s="148"/>
      <c r="D2694" s="138"/>
      <c r="E2694" s="138"/>
      <c r="F2694" s="50">
        <v>43466</v>
      </c>
      <c r="G2694" s="50">
        <v>43646</v>
      </c>
      <c r="H2694" s="150"/>
      <c r="I2694" s="15" t="s">
        <v>23</v>
      </c>
      <c r="J2694" s="15" t="s">
        <v>23</v>
      </c>
      <c r="K2694" s="13">
        <v>32.349152542372877</v>
      </c>
      <c r="L2694" s="13">
        <v>1596.6101694915253</v>
      </c>
      <c r="M2694" s="196" t="s">
        <v>424</v>
      </c>
      <c r="N2694" s="55">
        <f t="shared" si="227"/>
        <v>26.957627118644066</v>
      </c>
      <c r="O2694" s="55">
        <f t="shared" si="228"/>
        <v>1330.5084745762711</v>
      </c>
    </row>
    <row r="2695" spans="1:17" ht="15" customHeight="1" outlineLevel="1" x14ac:dyDescent="0.25">
      <c r="A2695" s="148"/>
      <c r="B2695" s="148"/>
      <c r="C2695" s="148"/>
      <c r="D2695" s="138"/>
      <c r="E2695" s="138"/>
      <c r="F2695" s="50">
        <v>43647</v>
      </c>
      <c r="G2695" s="50">
        <v>43830</v>
      </c>
      <c r="H2695" s="150"/>
      <c r="I2695" s="15" t="s">
        <v>23</v>
      </c>
      <c r="J2695" s="15" t="s">
        <v>23</v>
      </c>
      <c r="K2695" s="13">
        <v>32.996135593220338</v>
      </c>
      <c r="L2695" s="13">
        <v>1628.542372881356</v>
      </c>
      <c r="M2695" s="198"/>
      <c r="N2695" s="55">
        <f t="shared" si="227"/>
        <v>27.496779661016948</v>
      </c>
      <c r="O2695" s="55">
        <f t="shared" si="228"/>
        <v>1357.1186440677966</v>
      </c>
    </row>
    <row r="2696" spans="1:17" ht="15" customHeight="1" outlineLevel="1" x14ac:dyDescent="0.25">
      <c r="A2696" s="148"/>
      <c r="B2696" s="148"/>
      <c r="C2696" s="148"/>
      <c r="D2696" s="138"/>
      <c r="E2696" s="138"/>
      <c r="F2696" s="50">
        <v>43466</v>
      </c>
      <c r="G2696" s="50">
        <v>43646</v>
      </c>
      <c r="H2696" s="150"/>
      <c r="I2696" s="15" t="s">
        <v>23</v>
      </c>
      <c r="J2696" s="15" t="s">
        <v>23</v>
      </c>
      <c r="K2696" s="13">
        <v>32.349152542372877</v>
      </c>
      <c r="L2696" s="13">
        <v>1727.4798555154209</v>
      </c>
      <c r="M2696" s="196" t="s">
        <v>425</v>
      </c>
      <c r="N2696" s="55">
        <f t="shared" si="227"/>
        <v>26.957627118644066</v>
      </c>
      <c r="O2696" s="55">
        <f t="shared" si="228"/>
        <v>1439.5665462628508</v>
      </c>
    </row>
    <row r="2697" spans="1:17" ht="15" customHeight="1" outlineLevel="1" x14ac:dyDescent="0.25">
      <c r="A2697" s="148"/>
      <c r="B2697" s="148"/>
      <c r="C2697" s="148"/>
      <c r="D2697" s="138"/>
      <c r="E2697" s="138"/>
      <c r="F2697" s="50">
        <v>43647</v>
      </c>
      <c r="G2697" s="50">
        <v>43830</v>
      </c>
      <c r="H2697" s="150"/>
      <c r="I2697" s="15" t="s">
        <v>23</v>
      </c>
      <c r="J2697" s="15" t="s">
        <v>23</v>
      </c>
      <c r="K2697" s="13">
        <v>32.996135593220338</v>
      </c>
      <c r="L2697" s="13">
        <v>1762.0294526257294</v>
      </c>
      <c r="M2697" s="198"/>
      <c r="N2697" s="55">
        <f t="shared" si="227"/>
        <v>27.496779661016948</v>
      </c>
      <c r="O2697" s="55">
        <f t="shared" si="228"/>
        <v>1468.357877188108</v>
      </c>
    </row>
    <row r="2698" spans="1:17" ht="15" customHeight="1" outlineLevel="1" x14ac:dyDescent="0.25">
      <c r="A2698" s="148"/>
      <c r="B2698" s="148"/>
      <c r="C2698" s="148"/>
      <c r="D2698" s="138"/>
      <c r="E2698" s="138"/>
      <c r="F2698" s="50">
        <v>43466</v>
      </c>
      <c r="G2698" s="50">
        <v>43646</v>
      </c>
      <c r="H2698" s="150"/>
      <c r="I2698" s="15" t="s">
        <v>23</v>
      </c>
      <c r="J2698" s="15" t="s">
        <v>23</v>
      </c>
      <c r="K2698" s="13">
        <v>32.349152542372877</v>
      </c>
      <c r="L2698" s="13">
        <v>1463.5593220338983</v>
      </c>
      <c r="M2698" s="196" t="s">
        <v>426</v>
      </c>
      <c r="N2698" s="55">
        <f t="shared" si="227"/>
        <v>26.957627118644066</v>
      </c>
      <c r="O2698" s="55">
        <f t="shared" si="228"/>
        <v>1219.6327683615821</v>
      </c>
      <c r="P2698" s="121">
        <f>I2684-N2698</f>
        <v>15.042372881355934</v>
      </c>
      <c r="Q2698" s="121">
        <f>J2684-O2698</f>
        <v>1680.8872316384179</v>
      </c>
    </row>
    <row r="2699" spans="1:17" ht="15" customHeight="1" outlineLevel="1" x14ac:dyDescent="0.25">
      <c r="A2699" s="148"/>
      <c r="B2699" s="148"/>
      <c r="C2699" s="148"/>
      <c r="D2699" s="138"/>
      <c r="E2699" s="138"/>
      <c r="F2699" s="50">
        <v>43647</v>
      </c>
      <c r="G2699" s="50">
        <v>43830</v>
      </c>
      <c r="H2699" s="150"/>
      <c r="I2699" s="15" t="s">
        <v>23</v>
      </c>
      <c r="J2699" s="15" t="s">
        <v>23</v>
      </c>
      <c r="K2699" s="13">
        <v>32.996135593220338</v>
      </c>
      <c r="L2699" s="13">
        <v>1492.8305084745764</v>
      </c>
      <c r="M2699" s="198"/>
      <c r="N2699" s="55">
        <f t="shared" si="227"/>
        <v>27.496779661016948</v>
      </c>
      <c r="O2699" s="55">
        <f t="shared" si="228"/>
        <v>1244.0254237288136</v>
      </c>
    </row>
    <row r="2700" spans="1:17" ht="15" customHeight="1" outlineLevel="1" x14ac:dyDescent="0.25">
      <c r="A2700" s="148"/>
      <c r="B2700" s="148"/>
      <c r="C2700" s="148"/>
      <c r="D2700" s="138"/>
      <c r="E2700" s="138"/>
      <c r="F2700" s="50">
        <v>43466</v>
      </c>
      <c r="G2700" s="50">
        <v>43646</v>
      </c>
      <c r="H2700" s="150"/>
      <c r="I2700" s="15" t="s">
        <v>23</v>
      </c>
      <c r="J2700" s="15" t="s">
        <v>23</v>
      </c>
      <c r="K2700" s="13">
        <v>32.349152542372877</v>
      </c>
      <c r="L2700" s="13">
        <v>1596.6101694915253</v>
      </c>
      <c r="M2700" s="196" t="s">
        <v>427</v>
      </c>
      <c r="N2700" s="55">
        <f t="shared" si="227"/>
        <v>26.957627118644066</v>
      </c>
      <c r="O2700" s="55">
        <f t="shared" si="228"/>
        <v>1330.5084745762711</v>
      </c>
    </row>
    <row r="2701" spans="1:17" ht="15" customHeight="1" outlineLevel="1" x14ac:dyDescent="0.25">
      <c r="A2701" s="147"/>
      <c r="B2701" s="147"/>
      <c r="C2701" s="148"/>
      <c r="D2701" s="141"/>
      <c r="E2701" s="141"/>
      <c r="F2701" s="50">
        <v>43647</v>
      </c>
      <c r="G2701" s="50">
        <v>43830</v>
      </c>
      <c r="H2701" s="151"/>
      <c r="I2701" s="15" t="s">
        <v>23</v>
      </c>
      <c r="J2701" s="15" t="s">
        <v>23</v>
      </c>
      <c r="K2701" s="13">
        <v>32.996135593220338</v>
      </c>
      <c r="L2701" s="13">
        <v>1628.542372881356</v>
      </c>
      <c r="M2701" s="198"/>
      <c r="N2701" s="55">
        <f t="shared" si="227"/>
        <v>27.496779661016948</v>
      </c>
      <c r="O2701" s="55">
        <f t="shared" si="228"/>
        <v>1357.1186440677966</v>
      </c>
    </row>
    <row r="2702" spans="1:17" ht="15" customHeight="1" outlineLevel="1" x14ac:dyDescent="0.25">
      <c r="A2702" s="146" t="s">
        <v>51</v>
      </c>
      <c r="B2702" s="146" t="s">
        <v>194</v>
      </c>
      <c r="C2702" s="148"/>
      <c r="D2702" s="137">
        <v>42723</v>
      </c>
      <c r="E2702" s="137" t="s">
        <v>771</v>
      </c>
      <c r="F2702" s="12">
        <v>43466</v>
      </c>
      <c r="G2702" s="12">
        <v>43646</v>
      </c>
      <c r="H2702" s="149" t="s">
        <v>770</v>
      </c>
      <c r="I2702" s="66">
        <v>42</v>
      </c>
      <c r="J2702" s="13">
        <v>2900.52</v>
      </c>
      <c r="K2702" s="15" t="s">
        <v>23</v>
      </c>
      <c r="L2702" s="15" t="s">
        <v>23</v>
      </c>
      <c r="M2702" s="153"/>
    </row>
    <row r="2703" spans="1:17" ht="15" customHeight="1" outlineLevel="1" x14ac:dyDescent="0.25">
      <c r="A2703" s="148"/>
      <c r="B2703" s="148"/>
      <c r="C2703" s="148"/>
      <c r="D2703" s="141"/>
      <c r="E2703" s="141"/>
      <c r="F2703" s="12">
        <v>43647</v>
      </c>
      <c r="G2703" s="12">
        <v>43830</v>
      </c>
      <c r="H2703" s="151"/>
      <c r="I2703" s="66">
        <v>42.58</v>
      </c>
      <c r="J2703" s="13">
        <v>3103.51</v>
      </c>
      <c r="K2703" s="15" t="s">
        <v>23</v>
      </c>
      <c r="L2703" s="15" t="s">
        <v>23</v>
      </c>
      <c r="M2703" s="152"/>
    </row>
    <row r="2704" spans="1:17" ht="15" customHeight="1" outlineLevel="1" x14ac:dyDescent="0.25">
      <c r="A2704" s="148"/>
      <c r="B2704" s="148"/>
      <c r="C2704" s="148"/>
      <c r="D2704" s="137">
        <v>43454</v>
      </c>
      <c r="E2704" s="137" t="s">
        <v>742</v>
      </c>
      <c r="F2704" s="50">
        <v>43466</v>
      </c>
      <c r="G2704" s="50">
        <v>43646</v>
      </c>
      <c r="H2704" s="149"/>
      <c r="I2704" s="15" t="s">
        <v>23</v>
      </c>
      <c r="J2704" s="15" t="s">
        <v>23</v>
      </c>
      <c r="K2704" s="13">
        <v>32.349152542372877</v>
      </c>
      <c r="L2704" s="13">
        <v>1527.1932203389829</v>
      </c>
      <c r="M2704" s="196" t="s">
        <v>420</v>
      </c>
      <c r="N2704" s="55">
        <f>K2704/1.2</f>
        <v>26.957627118644066</v>
      </c>
      <c r="O2704" s="55">
        <f>L2704/1.2</f>
        <v>1272.6610169491526</v>
      </c>
    </row>
    <row r="2705" spans="1:17" ht="15" customHeight="1" outlineLevel="1" x14ac:dyDescent="0.25">
      <c r="A2705" s="148"/>
      <c r="B2705" s="148"/>
      <c r="C2705" s="148"/>
      <c r="D2705" s="138"/>
      <c r="E2705" s="138"/>
      <c r="F2705" s="50">
        <v>43647</v>
      </c>
      <c r="G2705" s="50">
        <v>43830</v>
      </c>
      <c r="H2705" s="150"/>
      <c r="I2705" s="15" t="s">
        <v>23</v>
      </c>
      <c r="J2705" s="15" t="s">
        <v>23</v>
      </c>
      <c r="K2705" s="13">
        <v>32.996135593220338</v>
      </c>
      <c r="L2705" s="13">
        <v>1557.7370847457626</v>
      </c>
      <c r="M2705" s="198"/>
      <c r="N2705" s="55">
        <f t="shared" ref="N2705:N2719" si="229">K2705/1.2</f>
        <v>27.496779661016948</v>
      </c>
      <c r="O2705" s="55">
        <f t="shared" ref="O2705:O2719" si="230">L2705/1.2</f>
        <v>1298.1142372881354</v>
      </c>
    </row>
    <row r="2706" spans="1:17" ht="15" customHeight="1" outlineLevel="1" x14ac:dyDescent="0.25">
      <c r="A2706" s="148"/>
      <c r="B2706" s="148"/>
      <c r="C2706" s="148"/>
      <c r="D2706" s="138"/>
      <c r="E2706" s="138"/>
      <c r="F2706" s="50">
        <v>43466</v>
      </c>
      <c r="G2706" s="50">
        <v>43646</v>
      </c>
      <c r="H2706" s="150"/>
      <c r="I2706" s="15" t="s">
        <v>23</v>
      </c>
      <c r="J2706" s="15" t="s">
        <v>23</v>
      </c>
      <c r="K2706" s="13">
        <v>32.349152542372877</v>
      </c>
      <c r="L2706" s="13">
        <v>1672.639225181598</v>
      </c>
      <c r="M2706" s="196" t="s">
        <v>421</v>
      </c>
      <c r="N2706" s="55">
        <f t="shared" si="229"/>
        <v>26.957627118644066</v>
      </c>
      <c r="O2706" s="55">
        <f t="shared" si="230"/>
        <v>1393.8660209846651</v>
      </c>
    </row>
    <row r="2707" spans="1:17" ht="15" customHeight="1" outlineLevel="1" x14ac:dyDescent="0.25">
      <c r="A2707" s="148"/>
      <c r="B2707" s="148"/>
      <c r="C2707" s="148"/>
      <c r="D2707" s="138"/>
      <c r="E2707" s="138"/>
      <c r="F2707" s="50">
        <v>43647</v>
      </c>
      <c r="G2707" s="50">
        <v>43830</v>
      </c>
      <c r="H2707" s="150"/>
      <c r="I2707" s="15" t="s">
        <v>23</v>
      </c>
      <c r="J2707" s="15" t="s">
        <v>23</v>
      </c>
      <c r="K2707" s="13">
        <v>32.996135593220338</v>
      </c>
      <c r="L2707" s="13">
        <v>1706.0920096852301</v>
      </c>
      <c r="M2707" s="198"/>
      <c r="N2707" s="55">
        <f t="shared" si="229"/>
        <v>27.496779661016948</v>
      </c>
      <c r="O2707" s="55">
        <f t="shared" si="230"/>
        <v>1421.7433414043585</v>
      </c>
    </row>
    <row r="2708" spans="1:17" ht="15" customHeight="1" outlineLevel="1" x14ac:dyDescent="0.25">
      <c r="A2708" s="148"/>
      <c r="B2708" s="148"/>
      <c r="C2708" s="148"/>
      <c r="D2708" s="138"/>
      <c r="E2708" s="138"/>
      <c r="F2708" s="50">
        <v>43466</v>
      </c>
      <c r="G2708" s="50">
        <v>43646</v>
      </c>
      <c r="H2708" s="150"/>
      <c r="I2708" s="15" t="s">
        <v>23</v>
      </c>
      <c r="J2708" s="15" t="s">
        <v>23</v>
      </c>
      <c r="K2708" s="13">
        <v>32.349152542372877</v>
      </c>
      <c r="L2708" s="13">
        <v>1424.0036646816309</v>
      </c>
      <c r="M2708" s="196" t="s">
        <v>422</v>
      </c>
      <c r="N2708" s="55">
        <f t="shared" si="229"/>
        <v>26.957627118644066</v>
      </c>
      <c r="O2708" s="55">
        <f t="shared" si="230"/>
        <v>1186.6697205680257</v>
      </c>
    </row>
    <row r="2709" spans="1:17" ht="15" customHeight="1" outlineLevel="1" x14ac:dyDescent="0.25">
      <c r="A2709" s="148"/>
      <c r="B2709" s="148"/>
      <c r="C2709" s="148"/>
      <c r="D2709" s="138"/>
      <c r="E2709" s="138"/>
      <c r="F2709" s="50">
        <v>43647</v>
      </c>
      <c r="G2709" s="50">
        <v>43830</v>
      </c>
      <c r="H2709" s="150"/>
      <c r="I2709" s="15" t="s">
        <v>23</v>
      </c>
      <c r="J2709" s="15" t="s">
        <v>23</v>
      </c>
      <c r="K2709" s="13">
        <v>32.996135593220338</v>
      </c>
      <c r="L2709" s="13">
        <v>1452.4837379752635</v>
      </c>
      <c r="M2709" s="198"/>
      <c r="N2709" s="55">
        <f t="shared" si="229"/>
        <v>27.496779661016948</v>
      </c>
      <c r="O2709" s="55">
        <f t="shared" si="230"/>
        <v>1210.4031149793864</v>
      </c>
    </row>
    <row r="2710" spans="1:17" ht="15" customHeight="1" outlineLevel="1" x14ac:dyDescent="0.25">
      <c r="A2710" s="148"/>
      <c r="B2710" s="148"/>
      <c r="C2710" s="148"/>
      <c r="D2710" s="138"/>
      <c r="E2710" s="138"/>
      <c r="F2710" s="50">
        <v>43466</v>
      </c>
      <c r="G2710" s="50">
        <v>43646</v>
      </c>
      <c r="H2710" s="150"/>
      <c r="I2710" s="15" t="s">
        <v>23</v>
      </c>
      <c r="J2710" s="15" t="s">
        <v>23</v>
      </c>
      <c r="K2710" s="13">
        <v>32.349152542372877</v>
      </c>
      <c r="L2710" s="13">
        <v>1527.1923360353719</v>
      </c>
      <c r="M2710" s="196" t="s">
        <v>423</v>
      </c>
      <c r="N2710" s="55">
        <f t="shared" si="229"/>
        <v>26.957627118644066</v>
      </c>
      <c r="O2710" s="55">
        <f t="shared" si="230"/>
        <v>1272.6602800294766</v>
      </c>
    </row>
    <row r="2711" spans="1:17" ht="15" customHeight="1" outlineLevel="1" x14ac:dyDescent="0.25">
      <c r="A2711" s="148"/>
      <c r="B2711" s="148"/>
      <c r="C2711" s="148"/>
      <c r="D2711" s="138"/>
      <c r="E2711" s="138"/>
      <c r="F2711" s="50">
        <v>43647</v>
      </c>
      <c r="G2711" s="50">
        <v>43830</v>
      </c>
      <c r="H2711" s="150"/>
      <c r="I2711" s="15" t="s">
        <v>23</v>
      </c>
      <c r="J2711" s="15" t="s">
        <v>23</v>
      </c>
      <c r="K2711" s="13">
        <v>32.996135593220338</v>
      </c>
      <c r="L2711" s="13">
        <v>1557.7361827560794</v>
      </c>
      <c r="M2711" s="198"/>
      <c r="N2711" s="55">
        <f t="shared" si="229"/>
        <v>27.496779661016948</v>
      </c>
      <c r="O2711" s="55">
        <f t="shared" si="230"/>
        <v>1298.1134856300662</v>
      </c>
    </row>
    <row r="2712" spans="1:17" ht="15" customHeight="1" outlineLevel="1" x14ac:dyDescent="0.25">
      <c r="A2712" s="148"/>
      <c r="B2712" s="148"/>
      <c r="C2712" s="148"/>
      <c r="D2712" s="138"/>
      <c r="E2712" s="138"/>
      <c r="F2712" s="50">
        <v>43466</v>
      </c>
      <c r="G2712" s="50">
        <v>43646</v>
      </c>
      <c r="H2712" s="150"/>
      <c r="I2712" s="15" t="s">
        <v>23</v>
      </c>
      <c r="J2712" s="15" t="s">
        <v>23</v>
      </c>
      <c r="K2712" s="13">
        <v>32.349152542372877</v>
      </c>
      <c r="L2712" s="13">
        <v>1596.6101694915253</v>
      </c>
      <c r="M2712" s="196" t="s">
        <v>424</v>
      </c>
      <c r="N2712" s="55">
        <f t="shared" si="229"/>
        <v>26.957627118644066</v>
      </c>
      <c r="O2712" s="55">
        <f t="shared" si="230"/>
        <v>1330.5084745762711</v>
      </c>
    </row>
    <row r="2713" spans="1:17" ht="15" customHeight="1" outlineLevel="1" x14ac:dyDescent="0.25">
      <c r="A2713" s="148"/>
      <c r="B2713" s="148"/>
      <c r="C2713" s="148"/>
      <c r="D2713" s="138"/>
      <c r="E2713" s="138"/>
      <c r="F2713" s="50">
        <v>43647</v>
      </c>
      <c r="G2713" s="50">
        <v>43830</v>
      </c>
      <c r="H2713" s="150"/>
      <c r="I2713" s="15" t="s">
        <v>23</v>
      </c>
      <c r="J2713" s="15" t="s">
        <v>23</v>
      </c>
      <c r="K2713" s="13">
        <v>32.996135593220338</v>
      </c>
      <c r="L2713" s="13">
        <v>1628.542372881356</v>
      </c>
      <c r="M2713" s="198"/>
      <c r="N2713" s="55">
        <f t="shared" si="229"/>
        <v>27.496779661016948</v>
      </c>
      <c r="O2713" s="55">
        <f t="shared" si="230"/>
        <v>1357.1186440677966</v>
      </c>
    </row>
    <row r="2714" spans="1:17" ht="15" customHeight="1" outlineLevel="1" x14ac:dyDescent="0.25">
      <c r="A2714" s="148"/>
      <c r="B2714" s="148"/>
      <c r="C2714" s="148"/>
      <c r="D2714" s="138"/>
      <c r="E2714" s="138"/>
      <c r="F2714" s="50">
        <v>43466</v>
      </c>
      <c r="G2714" s="50">
        <v>43646</v>
      </c>
      <c r="H2714" s="150"/>
      <c r="I2714" s="15" t="s">
        <v>23</v>
      </c>
      <c r="J2714" s="15" t="s">
        <v>23</v>
      </c>
      <c r="K2714" s="13">
        <v>32.349152542372877</v>
      </c>
      <c r="L2714" s="13">
        <v>1727.4798555154209</v>
      </c>
      <c r="M2714" s="196" t="s">
        <v>425</v>
      </c>
      <c r="N2714" s="55">
        <f t="shared" si="229"/>
        <v>26.957627118644066</v>
      </c>
      <c r="O2714" s="55">
        <f t="shared" si="230"/>
        <v>1439.5665462628508</v>
      </c>
    </row>
    <row r="2715" spans="1:17" ht="15" customHeight="1" outlineLevel="1" x14ac:dyDescent="0.25">
      <c r="A2715" s="148"/>
      <c r="B2715" s="148"/>
      <c r="C2715" s="148"/>
      <c r="D2715" s="138"/>
      <c r="E2715" s="138"/>
      <c r="F2715" s="50">
        <v>43647</v>
      </c>
      <c r="G2715" s="50">
        <v>43830</v>
      </c>
      <c r="H2715" s="150"/>
      <c r="I2715" s="15" t="s">
        <v>23</v>
      </c>
      <c r="J2715" s="15" t="s">
        <v>23</v>
      </c>
      <c r="K2715" s="13">
        <v>32.996135593220338</v>
      </c>
      <c r="L2715" s="13">
        <v>1762.0294526257294</v>
      </c>
      <c r="M2715" s="198"/>
      <c r="N2715" s="55">
        <f t="shared" si="229"/>
        <v>27.496779661016948</v>
      </c>
      <c r="O2715" s="55">
        <f t="shared" si="230"/>
        <v>1468.357877188108</v>
      </c>
    </row>
    <row r="2716" spans="1:17" ht="15" customHeight="1" outlineLevel="1" x14ac:dyDescent="0.25">
      <c r="A2716" s="148"/>
      <c r="B2716" s="148"/>
      <c r="C2716" s="148"/>
      <c r="D2716" s="138"/>
      <c r="E2716" s="138"/>
      <c r="F2716" s="50">
        <v>43466</v>
      </c>
      <c r="G2716" s="50">
        <v>43646</v>
      </c>
      <c r="H2716" s="150"/>
      <c r="I2716" s="15" t="s">
        <v>23</v>
      </c>
      <c r="J2716" s="15" t="s">
        <v>23</v>
      </c>
      <c r="K2716" s="13">
        <v>32.349152542372877</v>
      </c>
      <c r="L2716" s="13">
        <v>1463.5593220338983</v>
      </c>
      <c r="M2716" s="196" t="s">
        <v>426</v>
      </c>
      <c r="N2716" s="55">
        <f t="shared" si="229"/>
        <v>26.957627118644066</v>
      </c>
      <c r="O2716" s="55">
        <f t="shared" si="230"/>
        <v>1219.6327683615821</v>
      </c>
      <c r="P2716" s="121">
        <f>I2702-N2716</f>
        <v>15.042372881355934</v>
      </c>
      <c r="Q2716" s="121">
        <f>J2702-O2716</f>
        <v>1680.8872316384179</v>
      </c>
    </row>
    <row r="2717" spans="1:17" ht="15" customHeight="1" outlineLevel="1" x14ac:dyDescent="0.25">
      <c r="A2717" s="148"/>
      <c r="B2717" s="148"/>
      <c r="C2717" s="148"/>
      <c r="D2717" s="138"/>
      <c r="E2717" s="138"/>
      <c r="F2717" s="50">
        <v>43647</v>
      </c>
      <c r="G2717" s="50">
        <v>43830</v>
      </c>
      <c r="H2717" s="150"/>
      <c r="I2717" s="15" t="s">
        <v>23</v>
      </c>
      <c r="J2717" s="15" t="s">
        <v>23</v>
      </c>
      <c r="K2717" s="13">
        <v>32.996135593220338</v>
      </c>
      <c r="L2717" s="13">
        <v>1492.8305084745764</v>
      </c>
      <c r="M2717" s="198"/>
      <c r="N2717" s="55">
        <f t="shared" si="229"/>
        <v>27.496779661016948</v>
      </c>
      <c r="O2717" s="55">
        <f t="shared" si="230"/>
        <v>1244.0254237288136</v>
      </c>
    </row>
    <row r="2718" spans="1:17" ht="15" customHeight="1" outlineLevel="1" x14ac:dyDescent="0.25">
      <c r="A2718" s="148"/>
      <c r="B2718" s="148"/>
      <c r="C2718" s="148"/>
      <c r="D2718" s="138"/>
      <c r="E2718" s="138"/>
      <c r="F2718" s="50">
        <v>43466</v>
      </c>
      <c r="G2718" s="50">
        <v>43646</v>
      </c>
      <c r="H2718" s="150"/>
      <c r="I2718" s="15" t="s">
        <v>23</v>
      </c>
      <c r="J2718" s="15" t="s">
        <v>23</v>
      </c>
      <c r="K2718" s="13">
        <v>32.349152542372877</v>
      </c>
      <c r="L2718" s="13">
        <v>1596.6101694915253</v>
      </c>
      <c r="M2718" s="196" t="s">
        <v>427</v>
      </c>
      <c r="N2718" s="55">
        <f t="shared" si="229"/>
        <v>26.957627118644066</v>
      </c>
      <c r="O2718" s="55">
        <f t="shared" si="230"/>
        <v>1330.5084745762711</v>
      </c>
      <c r="P2718" s="121">
        <f>I2702-N2718</f>
        <v>15.042372881355934</v>
      </c>
      <c r="Q2718" s="121">
        <f>J2702-O2718</f>
        <v>1570.0115254237289</v>
      </c>
    </row>
    <row r="2719" spans="1:17" ht="15" customHeight="1" outlineLevel="1" x14ac:dyDescent="0.25">
      <c r="A2719" s="147"/>
      <c r="B2719" s="147"/>
      <c r="C2719" s="148"/>
      <c r="D2719" s="141"/>
      <c r="E2719" s="141"/>
      <c r="F2719" s="50">
        <v>43647</v>
      </c>
      <c r="G2719" s="50">
        <v>43830</v>
      </c>
      <c r="H2719" s="151"/>
      <c r="I2719" s="15" t="s">
        <v>23</v>
      </c>
      <c r="J2719" s="15" t="s">
        <v>23</v>
      </c>
      <c r="K2719" s="13">
        <v>32.996135593220338</v>
      </c>
      <c r="L2719" s="13">
        <v>1628.542372881356</v>
      </c>
      <c r="M2719" s="198"/>
      <c r="N2719" s="55">
        <f t="shared" si="229"/>
        <v>27.496779661016948</v>
      </c>
      <c r="O2719" s="55">
        <f t="shared" si="230"/>
        <v>1357.1186440677966</v>
      </c>
    </row>
    <row r="2720" spans="1:17" ht="15" customHeight="1" outlineLevel="1" x14ac:dyDescent="0.25">
      <c r="A2720" s="146" t="s">
        <v>51</v>
      </c>
      <c r="B2720" s="146" t="s">
        <v>584</v>
      </c>
      <c r="C2720" s="148"/>
      <c r="D2720" s="137">
        <v>42723</v>
      </c>
      <c r="E2720" s="137" t="s">
        <v>771</v>
      </c>
      <c r="F2720" s="12">
        <v>43466</v>
      </c>
      <c r="G2720" s="12">
        <v>43646</v>
      </c>
      <c r="H2720" s="149" t="s">
        <v>770</v>
      </c>
      <c r="I2720" s="66">
        <v>42</v>
      </c>
      <c r="J2720" s="13">
        <v>2900.52</v>
      </c>
      <c r="K2720" s="15" t="s">
        <v>23</v>
      </c>
      <c r="L2720" s="15" t="s">
        <v>23</v>
      </c>
      <c r="M2720" s="153"/>
    </row>
    <row r="2721" spans="1:17" ht="15" customHeight="1" outlineLevel="1" x14ac:dyDescent="0.25">
      <c r="A2721" s="148"/>
      <c r="B2721" s="148"/>
      <c r="C2721" s="148"/>
      <c r="D2721" s="141"/>
      <c r="E2721" s="141"/>
      <c r="F2721" s="12">
        <v>43647</v>
      </c>
      <c r="G2721" s="12">
        <v>43830</v>
      </c>
      <c r="H2721" s="151"/>
      <c r="I2721" s="66">
        <v>42.58</v>
      </c>
      <c r="J2721" s="13">
        <v>3103.51</v>
      </c>
      <c r="K2721" s="15" t="s">
        <v>23</v>
      </c>
      <c r="L2721" s="15" t="s">
        <v>23</v>
      </c>
      <c r="M2721" s="152"/>
    </row>
    <row r="2722" spans="1:17" ht="15" customHeight="1" outlineLevel="1" x14ac:dyDescent="0.25">
      <c r="A2722" s="148"/>
      <c r="B2722" s="148"/>
      <c r="C2722" s="148"/>
      <c r="D2722" s="137">
        <v>43454</v>
      </c>
      <c r="E2722" s="137" t="s">
        <v>742</v>
      </c>
      <c r="F2722" s="50">
        <v>43466</v>
      </c>
      <c r="G2722" s="50">
        <v>43646</v>
      </c>
      <c r="H2722" s="149"/>
      <c r="I2722" s="15" t="s">
        <v>23</v>
      </c>
      <c r="J2722" s="15" t="s">
        <v>23</v>
      </c>
      <c r="K2722" s="13">
        <v>32.349152542372877</v>
      </c>
      <c r="L2722" s="13">
        <v>1527.1932203389829</v>
      </c>
      <c r="M2722" s="196" t="s">
        <v>420</v>
      </c>
      <c r="N2722" s="55">
        <f>K2722/1.2</f>
        <v>26.957627118644066</v>
      </c>
      <c r="O2722" s="55">
        <f>L2722/1.2</f>
        <v>1272.6610169491526</v>
      </c>
    </row>
    <row r="2723" spans="1:17" ht="15" customHeight="1" outlineLevel="1" x14ac:dyDescent="0.25">
      <c r="A2723" s="148"/>
      <c r="B2723" s="148"/>
      <c r="C2723" s="148"/>
      <c r="D2723" s="138"/>
      <c r="E2723" s="138"/>
      <c r="F2723" s="50">
        <v>43647</v>
      </c>
      <c r="G2723" s="50">
        <v>43830</v>
      </c>
      <c r="H2723" s="150"/>
      <c r="I2723" s="15" t="s">
        <v>23</v>
      </c>
      <c r="J2723" s="15" t="s">
        <v>23</v>
      </c>
      <c r="K2723" s="13">
        <v>32.996135593220338</v>
      </c>
      <c r="L2723" s="13">
        <v>1557.7370847457626</v>
      </c>
      <c r="M2723" s="198"/>
      <c r="N2723" s="55">
        <f t="shared" ref="N2723:N2737" si="231">K2723/1.2</f>
        <v>27.496779661016948</v>
      </c>
      <c r="O2723" s="55">
        <f t="shared" ref="O2723:O2737" si="232">L2723/1.2</f>
        <v>1298.1142372881354</v>
      </c>
    </row>
    <row r="2724" spans="1:17" ht="15" customHeight="1" outlineLevel="1" x14ac:dyDescent="0.25">
      <c r="A2724" s="148"/>
      <c r="B2724" s="148"/>
      <c r="C2724" s="148"/>
      <c r="D2724" s="138"/>
      <c r="E2724" s="138"/>
      <c r="F2724" s="50">
        <v>43466</v>
      </c>
      <c r="G2724" s="50">
        <v>43646</v>
      </c>
      <c r="H2724" s="150"/>
      <c r="I2724" s="15" t="s">
        <v>23</v>
      </c>
      <c r="J2724" s="15" t="s">
        <v>23</v>
      </c>
      <c r="K2724" s="13">
        <v>32.349152542372877</v>
      </c>
      <c r="L2724" s="13">
        <v>1672.639225181598</v>
      </c>
      <c r="M2724" s="196" t="s">
        <v>421</v>
      </c>
      <c r="N2724" s="55">
        <f t="shared" si="231"/>
        <v>26.957627118644066</v>
      </c>
      <c r="O2724" s="55">
        <f t="shared" si="232"/>
        <v>1393.8660209846651</v>
      </c>
    </row>
    <row r="2725" spans="1:17" ht="15" customHeight="1" outlineLevel="1" x14ac:dyDescent="0.25">
      <c r="A2725" s="148"/>
      <c r="B2725" s="148"/>
      <c r="C2725" s="148"/>
      <c r="D2725" s="138"/>
      <c r="E2725" s="138"/>
      <c r="F2725" s="50">
        <v>43647</v>
      </c>
      <c r="G2725" s="50">
        <v>43830</v>
      </c>
      <c r="H2725" s="150"/>
      <c r="I2725" s="15" t="s">
        <v>23</v>
      </c>
      <c r="J2725" s="15" t="s">
        <v>23</v>
      </c>
      <c r="K2725" s="13">
        <v>32.996135593220338</v>
      </c>
      <c r="L2725" s="13">
        <v>1706.0920096852301</v>
      </c>
      <c r="M2725" s="198"/>
      <c r="N2725" s="55">
        <f t="shared" si="231"/>
        <v>27.496779661016948</v>
      </c>
      <c r="O2725" s="55">
        <f t="shared" si="232"/>
        <v>1421.7433414043585</v>
      </c>
    </row>
    <row r="2726" spans="1:17" ht="15" customHeight="1" outlineLevel="1" x14ac:dyDescent="0.25">
      <c r="A2726" s="148"/>
      <c r="B2726" s="148"/>
      <c r="C2726" s="148"/>
      <c r="D2726" s="138"/>
      <c r="E2726" s="138"/>
      <c r="F2726" s="50">
        <v>43466</v>
      </c>
      <c r="G2726" s="50">
        <v>43646</v>
      </c>
      <c r="H2726" s="150"/>
      <c r="I2726" s="15" t="s">
        <v>23</v>
      </c>
      <c r="J2726" s="15" t="s">
        <v>23</v>
      </c>
      <c r="K2726" s="13">
        <v>32.349152542372877</v>
      </c>
      <c r="L2726" s="13">
        <v>1424.0036646816309</v>
      </c>
      <c r="M2726" s="196" t="s">
        <v>422</v>
      </c>
      <c r="N2726" s="55">
        <f t="shared" si="231"/>
        <v>26.957627118644066</v>
      </c>
      <c r="O2726" s="55">
        <f t="shared" si="232"/>
        <v>1186.6697205680257</v>
      </c>
    </row>
    <row r="2727" spans="1:17" ht="15" customHeight="1" outlineLevel="1" x14ac:dyDescent="0.25">
      <c r="A2727" s="148"/>
      <c r="B2727" s="148"/>
      <c r="C2727" s="148"/>
      <c r="D2727" s="138"/>
      <c r="E2727" s="138"/>
      <c r="F2727" s="50">
        <v>43647</v>
      </c>
      <c r="G2727" s="50">
        <v>43830</v>
      </c>
      <c r="H2727" s="150"/>
      <c r="I2727" s="15" t="s">
        <v>23</v>
      </c>
      <c r="J2727" s="15" t="s">
        <v>23</v>
      </c>
      <c r="K2727" s="13">
        <v>32.996135593220338</v>
      </c>
      <c r="L2727" s="13">
        <v>1452.4837379752635</v>
      </c>
      <c r="M2727" s="198"/>
      <c r="N2727" s="55">
        <f t="shared" si="231"/>
        <v>27.496779661016948</v>
      </c>
      <c r="O2727" s="55">
        <f t="shared" si="232"/>
        <v>1210.4031149793864</v>
      </c>
    </row>
    <row r="2728" spans="1:17" ht="15" customHeight="1" outlineLevel="1" x14ac:dyDescent="0.25">
      <c r="A2728" s="148"/>
      <c r="B2728" s="148"/>
      <c r="C2728" s="148"/>
      <c r="D2728" s="138"/>
      <c r="E2728" s="138"/>
      <c r="F2728" s="50">
        <v>43466</v>
      </c>
      <c r="G2728" s="50">
        <v>43646</v>
      </c>
      <c r="H2728" s="150"/>
      <c r="I2728" s="15" t="s">
        <v>23</v>
      </c>
      <c r="J2728" s="15" t="s">
        <v>23</v>
      </c>
      <c r="K2728" s="13">
        <v>32.349152542372877</v>
      </c>
      <c r="L2728" s="13">
        <v>1527.1923360353719</v>
      </c>
      <c r="M2728" s="196" t="s">
        <v>423</v>
      </c>
      <c r="N2728" s="55">
        <f t="shared" si="231"/>
        <v>26.957627118644066</v>
      </c>
      <c r="O2728" s="55">
        <f t="shared" si="232"/>
        <v>1272.6602800294766</v>
      </c>
    </row>
    <row r="2729" spans="1:17" ht="15" customHeight="1" outlineLevel="1" x14ac:dyDescent="0.25">
      <c r="A2729" s="148"/>
      <c r="B2729" s="148"/>
      <c r="C2729" s="148"/>
      <c r="D2729" s="138"/>
      <c r="E2729" s="138"/>
      <c r="F2729" s="50">
        <v>43647</v>
      </c>
      <c r="G2729" s="50">
        <v>43830</v>
      </c>
      <c r="H2729" s="150"/>
      <c r="I2729" s="15" t="s">
        <v>23</v>
      </c>
      <c r="J2729" s="15" t="s">
        <v>23</v>
      </c>
      <c r="K2729" s="13">
        <v>32.996135593220338</v>
      </c>
      <c r="L2729" s="13">
        <v>1557.7361827560794</v>
      </c>
      <c r="M2729" s="198"/>
      <c r="N2729" s="55">
        <f t="shared" si="231"/>
        <v>27.496779661016948</v>
      </c>
      <c r="O2729" s="55">
        <f t="shared" si="232"/>
        <v>1298.1134856300662</v>
      </c>
    </row>
    <row r="2730" spans="1:17" ht="15" customHeight="1" outlineLevel="1" x14ac:dyDescent="0.25">
      <c r="A2730" s="148"/>
      <c r="B2730" s="148"/>
      <c r="C2730" s="148"/>
      <c r="D2730" s="138"/>
      <c r="E2730" s="138"/>
      <c r="F2730" s="50">
        <v>43466</v>
      </c>
      <c r="G2730" s="50">
        <v>43646</v>
      </c>
      <c r="H2730" s="150"/>
      <c r="I2730" s="15" t="s">
        <v>23</v>
      </c>
      <c r="J2730" s="15" t="s">
        <v>23</v>
      </c>
      <c r="K2730" s="13">
        <v>32.349152542372877</v>
      </c>
      <c r="L2730" s="13">
        <v>1596.6101694915253</v>
      </c>
      <c r="M2730" s="196" t="s">
        <v>424</v>
      </c>
      <c r="N2730" s="55">
        <f t="shared" si="231"/>
        <v>26.957627118644066</v>
      </c>
      <c r="O2730" s="55">
        <f t="shared" si="232"/>
        <v>1330.5084745762711</v>
      </c>
    </row>
    <row r="2731" spans="1:17" ht="15" customHeight="1" outlineLevel="1" x14ac:dyDescent="0.25">
      <c r="A2731" s="148"/>
      <c r="B2731" s="148"/>
      <c r="C2731" s="148"/>
      <c r="D2731" s="138"/>
      <c r="E2731" s="138"/>
      <c r="F2731" s="50">
        <v>43647</v>
      </c>
      <c r="G2731" s="50">
        <v>43830</v>
      </c>
      <c r="H2731" s="150"/>
      <c r="I2731" s="15" t="s">
        <v>23</v>
      </c>
      <c r="J2731" s="15" t="s">
        <v>23</v>
      </c>
      <c r="K2731" s="13">
        <v>32.996135593220338</v>
      </c>
      <c r="L2731" s="13">
        <v>1628.542372881356</v>
      </c>
      <c r="M2731" s="198"/>
      <c r="N2731" s="55">
        <f t="shared" si="231"/>
        <v>27.496779661016948</v>
      </c>
      <c r="O2731" s="55">
        <f t="shared" si="232"/>
        <v>1357.1186440677966</v>
      </c>
    </row>
    <row r="2732" spans="1:17" ht="15" customHeight="1" outlineLevel="1" x14ac:dyDescent="0.25">
      <c r="A2732" s="148"/>
      <c r="B2732" s="148"/>
      <c r="C2732" s="148"/>
      <c r="D2732" s="138"/>
      <c r="E2732" s="138"/>
      <c r="F2732" s="50">
        <v>43466</v>
      </c>
      <c r="G2732" s="50">
        <v>43646</v>
      </c>
      <c r="H2732" s="150"/>
      <c r="I2732" s="15" t="s">
        <v>23</v>
      </c>
      <c r="J2732" s="15" t="s">
        <v>23</v>
      </c>
      <c r="K2732" s="13">
        <v>32.349152542372877</v>
      </c>
      <c r="L2732" s="13">
        <v>1727.4798555154209</v>
      </c>
      <c r="M2732" s="196" t="s">
        <v>425</v>
      </c>
      <c r="N2732" s="55">
        <f t="shared" si="231"/>
        <v>26.957627118644066</v>
      </c>
      <c r="O2732" s="55">
        <f t="shared" si="232"/>
        <v>1439.5665462628508</v>
      </c>
      <c r="P2732" s="121">
        <f>I2720-N2732</f>
        <v>15.042372881355934</v>
      </c>
      <c r="Q2732" s="57">
        <f>J2720-O2732</f>
        <v>1460.9534537371492</v>
      </c>
    </row>
    <row r="2733" spans="1:17" ht="15" customHeight="1" outlineLevel="1" x14ac:dyDescent="0.25">
      <c r="A2733" s="148"/>
      <c r="B2733" s="148"/>
      <c r="C2733" s="148"/>
      <c r="D2733" s="138"/>
      <c r="E2733" s="138"/>
      <c r="F2733" s="50">
        <v>43647</v>
      </c>
      <c r="G2733" s="50">
        <v>43830</v>
      </c>
      <c r="H2733" s="150"/>
      <c r="I2733" s="15" t="s">
        <v>23</v>
      </c>
      <c r="J2733" s="15" t="s">
        <v>23</v>
      </c>
      <c r="K2733" s="13">
        <v>32.996135593220338</v>
      </c>
      <c r="L2733" s="13">
        <v>1762.0294526257294</v>
      </c>
      <c r="M2733" s="198"/>
      <c r="N2733" s="55">
        <f t="shared" si="231"/>
        <v>27.496779661016948</v>
      </c>
      <c r="O2733" s="55">
        <f t="shared" si="232"/>
        <v>1468.357877188108</v>
      </c>
    </row>
    <row r="2734" spans="1:17" ht="15" customHeight="1" outlineLevel="1" x14ac:dyDescent="0.25">
      <c r="A2734" s="148"/>
      <c r="B2734" s="148"/>
      <c r="C2734" s="148"/>
      <c r="D2734" s="138"/>
      <c r="E2734" s="138"/>
      <c r="F2734" s="50">
        <v>43466</v>
      </c>
      <c r="G2734" s="50">
        <v>43646</v>
      </c>
      <c r="H2734" s="150"/>
      <c r="I2734" s="15" t="s">
        <v>23</v>
      </c>
      <c r="J2734" s="15" t="s">
        <v>23</v>
      </c>
      <c r="K2734" s="13">
        <v>32.349152542372877</v>
      </c>
      <c r="L2734" s="13">
        <v>1463.5593220338983</v>
      </c>
      <c r="M2734" s="196" t="s">
        <v>426</v>
      </c>
      <c r="N2734" s="55">
        <f t="shared" si="231"/>
        <v>26.957627118644066</v>
      </c>
      <c r="O2734" s="55">
        <f t="shared" si="232"/>
        <v>1219.6327683615821</v>
      </c>
      <c r="P2734" s="121">
        <f>I2720-N2734</f>
        <v>15.042372881355934</v>
      </c>
      <c r="Q2734" s="121">
        <f>J2720-O2734</f>
        <v>1680.8872316384179</v>
      </c>
    </row>
    <row r="2735" spans="1:17" ht="15" customHeight="1" outlineLevel="1" x14ac:dyDescent="0.25">
      <c r="A2735" s="148"/>
      <c r="B2735" s="148"/>
      <c r="C2735" s="148"/>
      <c r="D2735" s="138"/>
      <c r="E2735" s="138"/>
      <c r="F2735" s="50">
        <v>43647</v>
      </c>
      <c r="G2735" s="50">
        <v>43830</v>
      </c>
      <c r="H2735" s="150"/>
      <c r="I2735" s="15" t="s">
        <v>23</v>
      </c>
      <c r="J2735" s="15" t="s">
        <v>23</v>
      </c>
      <c r="K2735" s="13">
        <v>32.996135593220338</v>
      </c>
      <c r="L2735" s="13">
        <v>1492.8305084745764</v>
      </c>
      <c r="M2735" s="198"/>
      <c r="N2735" s="55">
        <f t="shared" si="231"/>
        <v>27.496779661016948</v>
      </c>
      <c r="O2735" s="55">
        <f t="shared" si="232"/>
        <v>1244.0254237288136</v>
      </c>
    </row>
    <row r="2736" spans="1:17" ht="15" customHeight="1" outlineLevel="1" x14ac:dyDescent="0.25">
      <c r="A2736" s="148"/>
      <c r="B2736" s="148"/>
      <c r="C2736" s="148"/>
      <c r="D2736" s="138"/>
      <c r="E2736" s="138"/>
      <c r="F2736" s="50">
        <v>43466</v>
      </c>
      <c r="G2736" s="50">
        <v>43646</v>
      </c>
      <c r="H2736" s="150"/>
      <c r="I2736" s="15" t="s">
        <v>23</v>
      </c>
      <c r="J2736" s="15" t="s">
        <v>23</v>
      </c>
      <c r="K2736" s="13">
        <v>32.349152542372877</v>
      </c>
      <c r="L2736" s="13">
        <v>1596.6101694915253</v>
      </c>
      <c r="M2736" s="196" t="s">
        <v>427</v>
      </c>
      <c r="N2736" s="55">
        <f t="shared" si="231"/>
        <v>26.957627118644066</v>
      </c>
      <c r="O2736" s="55">
        <f t="shared" si="232"/>
        <v>1330.5084745762711</v>
      </c>
      <c r="P2736" s="121">
        <f>I2720-N2736</f>
        <v>15.042372881355934</v>
      </c>
      <c r="Q2736" s="121">
        <f>J2720-O2736</f>
        <v>1570.0115254237289</v>
      </c>
    </row>
    <row r="2737" spans="1:17" ht="15" customHeight="1" outlineLevel="1" x14ac:dyDescent="0.25">
      <c r="A2737" s="147"/>
      <c r="B2737" s="147"/>
      <c r="C2737" s="148"/>
      <c r="D2737" s="141"/>
      <c r="E2737" s="141"/>
      <c r="F2737" s="50">
        <v>43647</v>
      </c>
      <c r="G2737" s="50">
        <v>43830</v>
      </c>
      <c r="H2737" s="151"/>
      <c r="I2737" s="15" t="s">
        <v>23</v>
      </c>
      <c r="J2737" s="15" t="s">
        <v>23</v>
      </c>
      <c r="K2737" s="13">
        <v>32.996135593220338</v>
      </c>
      <c r="L2737" s="13">
        <v>1628.542372881356</v>
      </c>
      <c r="M2737" s="198"/>
      <c r="N2737" s="55">
        <f t="shared" si="231"/>
        <v>27.496779661016948</v>
      </c>
      <c r="O2737" s="55">
        <f t="shared" si="232"/>
        <v>1357.1186440677966</v>
      </c>
    </row>
    <row r="2738" spans="1:17" ht="15" customHeight="1" outlineLevel="1" x14ac:dyDescent="0.25">
      <c r="A2738" s="146" t="s">
        <v>51</v>
      </c>
      <c r="B2738" s="146" t="s">
        <v>585</v>
      </c>
      <c r="C2738" s="148"/>
      <c r="D2738" s="137">
        <v>42723</v>
      </c>
      <c r="E2738" s="137" t="s">
        <v>771</v>
      </c>
      <c r="F2738" s="12">
        <v>43466</v>
      </c>
      <c r="G2738" s="12">
        <v>43646</v>
      </c>
      <c r="H2738" s="149" t="s">
        <v>770</v>
      </c>
      <c r="I2738" s="66">
        <v>42</v>
      </c>
      <c r="J2738" s="13">
        <v>2900.52</v>
      </c>
      <c r="K2738" s="15" t="s">
        <v>23</v>
      </c>
      <c r="L2738" s="15" t="s">
        <v>23</v>
      </c>
      <c r="M2738" s="153"/>
    </row>
    <row r="2739" spans="1:17" ht="15" customHeight="1" outlineLevel="1" x14ac:dyDescent="0.25">
      <c r="A2739" s="148"/>
      <c r="B2739" s="148"/>
      <c r="C2739" s="148"/>
      <c r="D2739" s="141"/>
      <c r="E2739" s="141"/>
      <c r="F2739" s="12">
        <v>43647</v>
      </c>
      <c r="G2739" s="12">
        <v>43830</v>
      </c>
      <c r="H2739" s="151"/>
      <c r="I2739" s="66">
        <v>42.58</v>
      </c>
      <c r="J2739" s="13">
        <v>3103.51</v>
      </c>
      <c r="K2739" s="15" t="s">
        <v>23</v>
      </c>
      <c r="L2739" s="15" t="s">
        <v>23</v>
      </c>
      <c r="M2739" s="152"/>
    </row>
    <row r="2740" spans="1:17" ht="15" customHeight="1" outlineLevel="1" x14ac:dyDescent="0.25">
      <c r="A2740" s="148"/>
      <c r="B2740" s="148"/>
      <c r="C2740" s="148"/>
      <c r="D2740" s="137">
        <v>43454</v>
      </c>
      <c r="E2740" s="137" t="s">
        <v>742</v>
      </c>
      <c r="F2740" s="50">
        <v>43466</v>
      </c>
      <c r="G2740" s="50">
        <v>43646</v>
      </c>
      <c r="H2740" s="149"/>
      <c r="I2740" s="15" t="s">
        <v>23</v>
      </c>
      <c r="J2740" s="15" t="s">
        <v>23</v>
      </c>
      <c r="K2740" s="13">
        <v>32.349152542372877</v>
      </c>
      <c r="L2740" s="13">
        <v>1527.1932203389829</v>
      </c>
      <c r="M2740" s="196" t="s">
        <v>420</v>
      </c>
      <c r="N2740" s="55">
        <f>K2740/1.2</f>
        <v>26.957627118644066</v>
      </c>
      <c r="O2740" s="55">
        <f>L2740/1.2</f>
        <v>1272.6610169491526</v>
      </c>
    </row>
    <row r="2741" spans="1:17" ht="15" customHeight="1" outlineLevel="1" x14ac:dyDescent="0.25">
      <c r="A2741" s="148"/>
      <c r="B2741" s="148"/>
      <c r="C2741" s="148"/>
      <c r="D2741" s="138"/>
      <c r="E2741" s="138"/>
      <c r="F2741" s="50">
        <v>43647</v>
      </c>
      <c r="G2741" s="50">
        <v>43830</v>
      </c>
      <c r="H2741" s="150"/>
      <c r="I2741" s="15" t="s">
        <v>23</v>
      </c>
      <c r="J2741" s="15" t="s">
        <v>23</v>
      </c>
      <c r="K2741" s="13">
        <v>32.996135593220338</v>
      </c>
      <c r="L2741" s="13">
        <v>1557.7370847457626</v>
      </c>
      <c r="M2741" s="198"/>
      <c r="N2741" s="55">
        <f t="shared" ref="N2741:N2755" si="233">K2741/1.2</f>
        <v>27.496779661016948</v>
      </c>
      <c r="O2741" s="55">
        <f t="shared" ref="O2741:O2755" si="234">L2741/1.2</f>
        <v>1298.1142372881354</v>
      </c>
    </row>
    <row r="2742" spans="1:17" ht="15" customHeight="1" outlineLevel="1" x14ac:dyDescent="0.25">
      <c r="A2742" s="148"/>
      <c r="B2742" s="148"/>
      <c r="C2742" s="148"/>
      <c r="D2742" s="138"/>
      <c r="E2742" s="138"/>
      <c r="F2742" s="50">
        <v>43466</v>
      </c>
      <c r="G2742" s="50">
        <v>43646</v>
      </c>
      <c r="H2742" s="150"/>
      <c r="I2742" s="15" t="s">
        <v>23</v>
      </c>
      <c r="J2742" s="15" t="s">
        <v>23</v>
      </c>
      <c r="K2742" s="13">
        <v>32.349152542372877</v>
      </c>
      <c r="L2742" s="13">
        <v>1672.639225181598</v>
      </c>
      <c r="M2742" s="196" t="s">
        <v>421</v>
      </c>
      <c r="N2742" s="55">
        <f t="shared" si="233"/>
        <v>26.957627118644066</v>
      </c>
      <c r="O2742" s="55">
        <f t="shared" si="234"/>
        <v>1393.8660209846651</v>
      </c>
    </row>
    <row r="2743" spans="1:17" ht="15" customHeight="1" outlineLevel="1" x14ac:dyDescent="0.25">
      <c r="A2743" s="148"/>
      <c r="B2743" s="148"/>
      <c r="C2743" s="148"/>
      <c r="D2743" s="138"/>
      <c r="E2743" s="138"/>
      <c r="F2743" s="50">
        <v>43647</v>
      </c>
      <c r="G2743" s="50">
        <v>43830</v>
      </c>
      <c r="H2743" s="150"/>
      <c r="I2743" s="15" t="s">
        <v>23</v>
      </c>
      <c r="J2743" s="15" t="s">
        <v>23</v>
      </c>
      <c r="K2743" s="13">
        <v>32.996135593220338</v>
      </c>
      <c r="L2743" s="13">
        <v>1706.0920096852301</v>
      </c>
      <c r="M2743" s="198"/>
      <c r="N2743" s="55">
        <f t="shared" si="233"/>
        <v>27.496779661016948</v>
      </c>
      <c r="O2743" s="55">
        <f t="shared" si="234"/>
        <v>1421.7433414043585</v>
      </c>
    </row>
    <row r="2744" spans="1:17" ht="15" customHeight="1" outlineLevel="1" x14ac:dyDescent="0.25">
      <c r="A2744" s="148"/>
      <c r="B2744" s="148"/>
      <c r="C2744" s="148"/>
      <c r="D2744" s="138"/>
      <c r="E2744" s="138"/>
      <c r="F2744" s="50">
        <v>43466</v>
      </c>
      <c r="G2744" s="50">
        <v>43646</v>
      </c>
      <c r="H2744" s="150"/>
      <c r="I2744" s="15" t="s">
        <v>23</v>
      </c>
      <c r="J2744" s="15" t="s">
        <v>23</v>
      </c>
      <c r="K2744" s="13">
        <v>32.349152542372877</v>
      </c>
      <c r="L2744" s="13">
        <v>1424.0036646816309</v>
      </c>
      <c r="M2744" s="196" t="s">
        <v>422</v>
      </c>
      <c r="N2744" s="55">
        <f t="shared" si="233"/>
        <v>26.957627118644066</v>
      </c>
      <c r="O2744" s="55">
        <f t="shared" si="234"/>
        <v>1186.6697205680257</v>
      </c>
    </row>
    <row r="2745" spans="1:17" ht="15" customHeight="1" outlineLevel="1" x14ac:dyDescent="0.25">
      <c r="A2745" s="148"/>
      <c r="B2745" s="148"/>
      <c r="C2745" s="148"/>
      <c r="D2745" s="138"/>
      <c r="E2745" s="138"/>
      <c r="F2745" s="50">
        <v>43647</v>
      </c>
      <c r="G2745" s="50">
        <v>43830</v>
      </c>
      <c r="H2745" s="150"/>
      <c r="I2745" s="15" t="s">
        <v>23</v>
      </c>
      <c r="J2745" s="15" t="s">
        <v>23</v>
      </c>
      <c r="K2745" s="13">
        <v>32.996135593220338</v>
      </c>
      <c r="L2745" s="13">
        <v>1452.4837379752635</v>
      </c>
      <c r="M2745" s="198"/>
      <c r="N2745" s="55">
        <f t="shared" si="233"/>
        <v>27.496779661016948</v>
      </c>
      <c r="O2745" s="55">
        <f t="shared" si="234"/>
        <v>1210.4031149793864</v>
      </c>
    </row>
    <row r="2746" spans="1:17" ht="15" customHeight="1" outlineLevel="1" x14ac:dyDescent="0.25">
      <c r="A2746" s="148"/>
      <c r="B2746" s="148"/>
      <c r="C2746" s="148"/>
      <c r="D2746" s="138"/>
      <c r="E2746" s="138"/>
      <c r="F2746" s="50">
        <v>43466</v>
      </c>
      <c r="G2746" s="50">
        <v>43646</v>
      </c>
      <c r="H2746" s="150"/>
      <c r="I2746" s="15" t="s">
        <v>23</v>
      </c>
      <c r="J2746" s="15" t="s">
        <v>23</v>
      </c>
      <c r="K2746" s="13">
        <v>32.349152542372877</v>
      </c>
      <c r="L2746" s="13">
        <v>1527.1923360353719</v>
      </c>
      <c r="M2746" s="196" t="s">
        <v>423</v>
      </c>
      <c r="N2746" s="55">
        <f t="shared" si="233"/>
        <v>26.957627118644066</v>
      </c>
      <c r="O2746" s="55">
        <f t="shared" si="234"/>
        <v>1272.6602800294766</v>
      </c>
    </row>
    <row r="2747" spans="1:17" ht="15" customHeight="1" outlineLevel="1" x14ac:dyDescent="0.25">
      <c r="A2747" s="148"/>
      <c r="B2747" s="148"/>
      <c r="C2747" s="148"/>
      <c r="D2747" s="138"/>
      <c r="E2747" s="138"/>
      <c r="F2747" s="50">
        <v>43647</v>
      </c>
      <c r="G2747" s="50">
        <v>43830</v>
      </c>
      <c r="H2747" s="150"/>
      <c r="I2747" s="15" t="s">
        <v>23</v>
      </c>
      <c r="J2747" s="15" t="s">
        <v>23</v>
      </c>
      <c r="K2747" s="13">
        <v>32.996135593220338</v>
      </c>
      <c r="L2747" s="13">
        <v>1557.7361827560794</v>
      </c>
      <c r="M2747" s="198"/>
      <c r="N2747" s="55">
        <f t="shared" si="233"/>
        <v>27.496779661016948</v>
      </c>
      <c r="O2747" s="55">
        <f t="shared" si="234"/>
        <v>1298.1134856300662</v>
      </c>
    </row>
    <row r="2748" spans="1:17" ht="15" customHeight="1" outlineLevel="1" x14ac:dyDescent="0.25">
      <c r="A2748" s="148"/>
      <c r="B2748" s="148"/>
      <c r="C2748" s="148"/>
      <c r="D2748" s="138"/>
      <c r="E2748" s="138"/>
      <c r="F2748" s="50">
        <v>43466</v>
      </c>
      <c r="G2748" s="50">
        <v>43646</v>
      </c>
      <c r="H2748" s="150"/>
      <c r="I2748" s="15" t="s">
        <v>23</v>
      </c>
      <c r="J2748" s="15" t="s">
        <v>23</v>
      </c>
      <c r="K2748" s="13">
        <v>32.349152542372877</v>
      </c>
      <c r="L2748" s="13">
        <v>1596.6101694915253</v>
      </c>
      <c r="M2748" s="196" t="s">
        <v>424</v>
      </c>
      <c r="N2748" s="55">
        <f t="shared" si="233"/>
        <v>26.957627118644066</v>
      </c>
      <c r="O2748" s="55">
        <f t="shared" si="234"/>
        <v>1330.5084745762711</v>
      </c>
    </row>
    <row r="2749" spans="1:17" ht="15" customHeight="1" outlineLevel="1" x14ac:dyDescent="0.25">
      <c r="A2749" s="148"/>
      <c r="B2749" s="148"/>
      <c r="C2749" s="148"/>
      <c r="D2749" s="138"/>
      <c r="E2749" s="138"/>
      <c r="F2749" s="50">
        <v>43647</v>
      </c>
      <c r="G2749" s="50">
        <v>43830</v>
      </c>
      <c r="H2749" s="150"/>
      <c r="I2749" s="15" t="s">
        <v>23</v>
      </c>
      <c r="J2749" s="15" t="s">
        <v>23</v>
      </c>
      <c r="K2749" s="13">
        <v>32.996135593220338</v>
      </c>
      <c r="L2749" s="13">
        <v>1628.542372881356</v>
      </c>
      <c r="M2749" s="198"/>
      <c r="N2749" s="55">
        <f t="shared" si="233"/>
        <v>27.496779661016948</v>
      </c>
      <c r="O2749" s="55">
        <f t="shared" si="234"/>
        <v>1357.1186440677966</v>
      </c>
    </row>
    <row r="2750" spans="1:17" ht="15" customHeight="1" outlineLevel="1" x14ac:dyDescent="0.25">
      <c r="A2750" s="148"/>
      <c r="B2750" s="148"/>
      <c r="C2750" s="148"/>
      <c r="D2750" s="138"/>
      <c r="E2750" s="138"/>
      <c r="F2750" s="50">
        <v>43466</v>
      </c>
      <c r="G2750" s="50">
        <v>43646</v>
      </c>
      <c r="H2750" s="150"/>
      <c r="I2750" s="15" t="s">
        <v>23</v>
      </c>
      <c r="J2750" s="15" t="s">
        <v>23</v>
      </c>
      <c r="K2750" s="13">
        <v>32.349152542372877</v>
      </c>
      <c r="L2750" s="13">
        <v>1727.4798555154209</v>
      </c>
      <c r="M2750" s="196" t="s">
        <v>425</v>
      </c>
      <c r="N2750" s="55">
        <f t="shared" si="233"/>
        <v>26.957627118644066</v>
      </c>
      <c r="O2750" s="55">
        <f t="shared" si="234"/>
        <v>1439.5665462628508</v>
      </c>
    </row>
    <row r="2751" spans="1:17" ht="15" customHeight="1" outlineLevel="1" x14ac:dyDescent="0.25">
      <c r="A2751" s="148"/>
      <c r="B2751" s="148"/>
      <c r="C2751" s="148"/>
      <c r="D2751" s="138"/>
      <c r="E2751" s="138"/>
      <c r="F2751" s="50">
        <v>43647</v>
      </c>
      <c r="G2751" s="50">
        <v>43830</v>
      </c>
      <c r="H2751" s="150"/>
      <c r="I2751" s="15" t="s">
        <v>23</v>
      </c>
      <c r="J2751" s="15" t="s">
        <v>23</v>
      </c>
      <c r="K2751" s="13">
        <v>32.996135593220338</v>
      </c>
      <c r="L2751" s="13">
        <v>1762.0294526257294</v>
      </c>
      <c r="M2751" s="198"/>
      <c r="N2751" s="55">
        <f t="shared" si="233"/>
        <v>27.496779661016948</v>
      </c>
      <c r="O2751" s="55">
        <f t="shared" si="234"/>
        <v>1468.357877188108</v>
      </c>
    </row>
    <row r="2752" spans="1:17" ht="15" customHeight="1" outlineLevel="1" x14ac:dyDescent="0.25">
      <c r="A2752" s="148"/>
      <c r="B2752" s="148"/>
      <c r="C2752" s="148"/>
      <c r="D2752" s="138"/>
      <c r="E2752" s="138"/>
      <c r="F2752" s="50">
        <v>43466</v>
      </c>
      <c r="G2752" s="50">
        <v>43646</v>
      </c>
      <c r="H2752" s="150"/>
      <c r="I2752" s="15" t="s">
        <v>23</v>
      </c>
      <c r="J2752" s="15" t="s">
        <v>23</v>
      </c>
      <c r="K2752" s="13">
        <v>32.349152542372877</v>
      </c>
      <c r="L2752" s="13">
        <v>1463.5593220338983</v>
      </c>
      <c r="M2752" s="196" t="s">
        <v>426</v>
      </c>
      <c r="N2752" s="55">
        <f t="shared" si="233"/>
        <v>26.957627118644066</v>
      </c>
      <c r="O2752" s="55">
        <f t="shared" si="234"/>
        <v>1219.6327683615821</v>
      </c>
      <c r="P2752" s="121">
        <f>I2738-N2752</f>
        <v>15.042372881355934</v>
      </c>
      <c r="Q2752" s="121">
        <f>J2738-O2752</f>
        <v>1680.8872316384179</v>
      </c>
    </row>
    <row r="2753" spans="1:20" s="10" customFormat="1" ht="28.5" customHeight="1" x14ac:dyDescent="0.25">
      <c r="A2753" s="148"/>
      <c r="B2753" s="148"/>
      <c r="C2753" s="148"/>
      <c r="D2753" s="138"/>
      <c r="E2753" s="138"/>
      <c r="F2753" s="50">
        <v>43647</v>
      </c>
      <c r="G2753" s="50">
        <v>43830</v>
      </c>
      <c r="H2753" s="150"/>
      <c r="I2753" s="15" t="s">
        <v>23</v>
      </c>
      <c r="J2753" s="15" t="s">
        <v>23</v>
      </c>
      <c r="K2753" s="13">
        <v>32.996135593220338</v>
      </c>
      <c r="L2753" s="13">
        <v>1492.8305084745764</v>
      </c>
      <c r="M2753" s="198"/>
      <c r="N2753" s="55">
        <f t="shared" ref="N2753" si="235">K2753/1.2</f>
        <v>27.496779661016948</v>
      </c>
      <c r="O2753" s="55">
        <f t="shared" ref="O2753" si="236">L2753/1.2</f>
        <v>1244.0254237288136</v>
      </c>
      <c r="Q2753" s="64"/>
      <c r="R2753" s="64"/>
      <c r="S2753" s="65"/>
      <c r="T2753" s="11"/>
    </row>
    <row r="2754" spans="1:20" ht="15" customHeight="1" outlineLevel="1" x14ac:dyDescent="0.25">
      <c r="A2754" s="148"/>
      <c r="B2754" s="148"/>
      <c r="C2754" s="148"/>
      <c r="D2754" s="138"/>
      <c r="E2754" s="138"/>
      <c r="F2754" s="50">
        <v>43466</v>
      </c>
      <c r="G2754" s="50">
        <v>43646</v>
      </c>
      <c r="H2754" s="150"/>
      <c r="I2754" s="15" t="s">
        <v>23</v>
      </c>
      <c r="J2754" s="15" t="s">
        <v>23</v>
      </c>
      <c r="K2754" s="13">
        <v>32.349152542372877</v>
      </c>
      <c r="L2754" s="13">
        <v>1596.6101694915253</v>
      </c>
      <c r="M2754" s="196" t="s">
        <v>427</v>
      </c>
      <c r="N2754" s="55">
        <f t="shared" si="233"/>
        <v>26.957627118644066</v>
      </c>
      <c r="O2754" s="55">
        <f t="shared" si="234"/>
        <v>1330.5084745762711</v>
      </c>
    </row>
    <row r="2755" spans="1:20" ht="15" customHeight="1" outlineLevel="1" x14ac:dyDescent="0.25">
      <c r="A2755" s="147"/>
      <c r="B2755" s="147"/>
      <c r="C2755" s="148"/>
      <c r="D2755" s="141"/>
      <c r="E2755" s="141"/>
      <c r="F2755" s="50">
        <v>43647</v>
      </c>
      <c r="G2755" s="50">
        <v>43830</v>
      </c>
      <c r="H2755" s="151"/>
      <c r="I2755" s="15" t="s">
        <v>23</v>
      </c>
      <c r="J2755" s="15" t="s">
        <v>23</v>
      </c>
      <c r="K2755" s="13">
        <v>32.996135593220338</v>
      </c>
      <c r="L2755" s="13">
        <v>1628.542372881356</v>
      </c>
      <c r="M2755" s="198"/>
      <c r="N2755" s="55">
        <f t="shared" si="233"/>
        <v>27.496779661016948</v>
      </c>
      <c r="O2755" s="55">
        <f t="shared" si="234"/>
        <v>1357.1186440677966</v>
      </c>
    </row>
    <row r="2756" spans="1:20" ht="15" customHeight="1" outlineLevel="1" x14ac:dyDescent="0.25">
      <c r="A2756" s="146" t="s">
        <v>51</v>
      </c>
      <c r="B2756" s="146" t="s">
        <v>586</v>
      </c>
      <c r="C2756" s="148"/>
      <c r="D2756" s="137">
        <v>42723</v>
      </c>
      <c r="E2756" s="137" t="s">
        <v>771</v>
      </c>
      <c r="F2756" s="12">
        <v>43466</v>
      </c>
      <c r="G2756" s="12">
        <v>43646</v>
      </c>
      <c r="H2756" s="149" t="s">
        <v>770</v>
      </c>
      <c r="I2756" s="66">
        <v>42</v>
      </c>
      <c r="J2756" s="13">
        <v>2900.52</v>
      </c>
      <c r="K2756" s="15" t="s">
        <v>23</v>
      </c>
      <c r="L2756" s="15" t="s">
        <v>23</v>
      </c>
      <c r="M2756" s="153"/>
    </row>
    <row r="2757" spans="1:20" ht="15" customHeight="1" outlineLevel="1" x14ac:dyDescent="0.25">
      <c r="A2757" s="148"/>
      <c r="B2757" s="148"/>
      <c r="C2757" s="148"/>
      <c r="D2757" s="141"/>
      <c r="E2757" s="141"/>
      <c r="F2757" s="12">
        <v>43647</v>
      </c>
      <c r="G2757" s="12">
        <v>43830</v>
      </c>
      <c r="H2757" s="151"/>
      <c r="I2757" s="66">
        <v>42.58</v>
      </c>
      <c r="J2757" s="13">
        <v>3103.51</v>
      </c>
      <c r="K2757" s="15" t="s">
        <v>23</v>
      </c>
      <c r="L2757" s="15" t="s">
        <v>23</v>
      </c>
      <c r="M2757" s="152"/>
    </row>
    <row r="2758" spans="1:20" ht="15" customHeight="1" outlineLevel="1" x14ac:dyDescent="0.25">
      <c r="A2758" s="148"/>
      <c r="B2758" s="148"/>
      <c r="C2758" s="148"/>
      <c r="D2758" s="137">
        <v>43454</v>
      </c>
      <c r="E2758" s="137" t="s">
        <v>742</v>
      </c>
      <c r="F2758" s="50">
        <v>43466</v>
      </c>
      <c r="G2758" s="50">
        <v>43646</v>
      </c>
      <c r="H2758" s="149"/>
      <c r="I2758" s="15" t="s">
        <v>23</v>
      </c>
      <c r="J2758" s="15" t="s">
        <v>23</v>
      </c>
      <c r="K2758" s="13">
        <v>32.349152542372877</v>
      </c>
      <c r="L2758" s="13">
        <v>1527.1932203389829</v>
      </c>
      <c r="M2758" s="196" t="s">
        <v>420</v>
      </c>
      <c r="N2758" s="55">
        <f>K2758/1.2</f>
        <v>26.957627118644066</v>
      </c>
      <c r="O2758" s="55">
        <f>L2758/1.2</f>
        <v>1272.6610169491526</v>
      </c>
    </row>
    <row r="2759" spans="1:20" ht="15" customHeight="1" outlineLevel="1" x14ac:dyDescent="0.25">
      <c r="A2759" s="148"/>
      <c r="B2759" s="148"/>
      <c r="C2759" s="148"/>
      <c r="D2759" s="138"/>
      <c r="E2759" s="138"/>
      <c r="F2759" s="50">
        <v>43647</v>
      </c>
      <c r="G2759" s="50">
        <v>43830</v>
      </c>
      <c r="H2759" s="150"/>
      <c r="I2759" s="15" t="s">
        <v>23</v>
      </c>
      <c r="J2759" s="15" t="s">
        <v>23</v>
      </c>
      <c r="K2759" s="13">
        <v>32.996135593220338</v>
      </c>
      <c r="L2759" s="13">
        <v>1557.7370847457626</v>
      </c>
      <c r="M2759" s="198"/>
      <c r="N2759" s="55">
        <f t="shared" ref="N2759:N2773" si="237">K2759/1.2</f>
        <v>27.496779661016948</v>
      </c>
      <c r="O2759" s="55">
        <f t="shared" ref="O2759:O2773" si="238">L2759/1.2</f>
        <v>1298.1142372881354</v>
      </c>
    </row>
    <row r="2760" spans="1:20" ht="15" customHeight="1" outlineLevel="1" x14ac:dyDescent="0.25">
      <c r="A2760" s="148"/>
      <c r="B2760" s="148"/>
      <c r="C2760" s="148"/>
      <c r="D2760" s="138"/>
      <c r="E2760" s="138"/>
      <c r="F2760" s="50">
        <v>43466</v>
      </c>
      <c r="G2760" s="50">
        <v>43646</v>
      </c>
      <c r="H2760" s="150"/>
      <c r="I2760" s="15" t="s">
        <v>23</v>
      </c>
      <c r="J2760" s="15" t="s">
        <v>23</v>
      </c>
      <c r="K2760" s="13">
        <v>32.349152542372877</v>
      </c>
      <c r="L2760" s="13">
        <v>1672.639225181598</v>
      </c>
      <c r="M2760" s="196" t="s">
        <v>421</v>
      </c>
      <c r="N2760" s="55">
        <f t="shared" si="237"/>
        <v>26.957627118644066</v>
      </c>
      <c r="O2760" s="55">
        <f t="shared" si="238"/>
        <v>1393.8660209846651</v>
      </c>
    </row>
    <row r="2761" spans="1:20" ht="15" customHeight="1" outlineLevel="1" x14ac:dyDescent="0.25">
      <c r="A2761" s="148"/>
      <c r="B2761" s="148"/>
      <c r="C2761" s="148"/>
      <c r="D2761" s="138"/>
      <c r="E2761" s="138"/>
      <c r="F2761" s="50">
        <v>43647</v>
      </c>
      <c r="G2761" s="50">
        <v>43830</v>
      </c>
      <c r="H2761" s="150"/>
      <c r="I2761" s="15" t="s">
        <v>23</v>
      </c>
      <c r="J2761" s="15" t="s">
        <v>23</v>
      </c>
      <c r="K2761" s="13">
        <v>32.996135593220338</v>
      </c>
      <c r="L2761" s="13">
        <v>1706.0920096852301</v>
      </c>
      <c r="M2761" s="198"/>
      <c r="N2761" s="55">
        <f t="shared" si="237"/>
        <v>27.496779661016948</v>
      </c>
      <c r="O2761" s="55">
        <f t="shared" si="238"/>
        <v>1421.7433414043585</v>
      </c>
    </row>
    <row r="2762" spans="1:20" ht="15" customHeight="1" outlineLevel="1" x14ac:dyDescent="0.25">
      <c r="A2762" s="148"/>
      <c r="B2762" s="148"/>
      <c r="C2762" s="148"/>
      <c r="D2762" s="138"/>
      <c r="E2762" s="138"/>
      <c r="F2762" s="50">
        <v>43466</v>
      </c>
      <c r="G2762" s="50">
        <v>43646</v>
      </c>
      <c r="H2762" s="150"/>
      <c r="I2762" s="15" t="s">
        <v>23</v>
      </c>
      <c r="J2762" s="15" t="s">
        <v>23</v>
      </c>
      <c r="K2762" s="13">
        <v>32.349152542372877</v>
      </c>
      <c r="L2762" s="13">
        <v>1424.0036646816309</v>
      </c>
      <c r="M2762" s="196" t="s">
        <v>422</v>
      </c>
      <c r="N2762" s="55">
        <f t="shared" si="237"/>
        <v>26.957627118644066</v>
      </c>
      <c r="O2762" s="55">
        <f t="shared" si="238"/>
        <v>1186.6697205680257</v>
      </c>
    </row>
    <row r="2763" spans="1:20" ht="15" customHeight="1" outlineLevel="1" x14ac:dyDescent="0.25">
      <c r="A2763" s="148"/>
      <c r="B2763" s="148"/>
      <c r="C2763" s="148"/>
      <c r="D2763" s="138"/>
      <c r="E2763" s="138"/>
      <c r="F2763" s="50">
        <v>43647</v>
      </c>
      <c r="G2763" s="50">
        <v>43830</v>
      </c>
      <c r="H2763" s="150"/>
      <c r="I2763" s="15" t="s">
        <v>23</v>
      </c>
      <c r="J2763" s="15" t="s">
        <v>23</v>
      </c>
      <c r="K2763" s="13">
        <v>32.996135593220338</v>
      </c>
      <c r="L2763" s="13">
        <v>1452.4837379752635</v>
      </c>
      <c r="M2763" s="198"/>
      <c r="N2763" s="55">
        <f t="shared" si="237"/>
        <v>27.496779661016948</v>
      </c>
      <c r="O2763" s="55">
        <f t="shared" si="238"/>
        <v>1210.4031149793864</v>
      </c>
    </row>
    <row r="2764" spans="1:20" ht="15" customHeight="1" outlineLevel="1" x14ac:dyDescent="0.25">
      <c r="A2764" s="148"/>
      <c r="B2764" s="148"/>
      <c r="C2764" s="148"/>
      <c r="D2764" s="138"/>
      <c r="E2764" s="138"/>
      <c r="F2764" s="50">
        <v>43466</v>
      </c>
      <c r="G2764" s="50">
        <v>43646</v>
      </c>
      <c r="H2764" s="150"/>
      <c r="I2764" s="15" t="s">
        <v>23</v>
      </c>
      <c r="J2764" s="15" t="s">
        <v>23</v>
      </c>
      <c r="K2764" s="13">
        <v>32.349152542372877</v>
      </c>
      <c r="L2764" s="13">
        <v>1527.1923360353719</v>
      </c>
      <c r="M2764" s="196" t="s">
        <v>423</v>
      </c>
      <c r="N2764" s="55">
        <f t="shared" si="237"/>
        <v>26.957627118644066</v>
      </c>
      <c r="O2764" s="55">
        <f t="shared" si="238"/>
        <v>1272.6602800294766</v>
      </c>
    </row>
    <row r="2765" spans="1:20" ht="15" customHeight="1" outlineLevel="1" x14ac:dyDescent="0.25">
      <c r="A2765" s="148"/>
      <c r="B2765" s="148"/>
      <c r="C2765" s="148"/>
      <c r="D2765" s="138"/>
      <c r="E2765" s="138"/>
      <c r="F2765" s="50">
        <v>43647</v>
      </c>
      <c r="G2765" s="50">
        <v>43830</v>
      </c>
      <c r="H2765" s="150"/>
      <c r="I2765" s="15" t="s">
        <v>23</v>
      </c>
      <c r="J2765" s="15" t="s">
        <v>23</v>
      </c>
      <c r="K2765" s="13">
        <v>32.996135593220338</v>
      </c>
      <c r="L2765" s="13">
        <v>1557.7361827560794</v>
      </c>
      <c r="M2765" s="198"/>
      <c r="N2765" s="55">
        <f t="shared" si="237"/>
        <v>27.496779661016948</v>
      </c>
      <c r="O2765" s="55">
        <f t="shared" si="238"/>
        <v>1298.1134856300662</v>
      </c>
    </row>
    <row r="2766" spans="1:20" ht="15" customHeight="1" outlineLevel="1" x14ac:dyDescent="0.25">
      <c r="A2766" s="148"/>
      <c r="B2766" s="148"/>
      <c r="C2766" s="148"/>
      <c r="D2766" s="138"/>
      <c r="E2766" s="138"/>
      <c r="F2766" s="50">
        <v>43466</v>
      </c>
      <c r="G2766" s="50">
        <v>43646</v>
      </c>
      <c r="H2766" s="150"/>
      <c r="I2766" s="15" t="s">
        <v>23</v>
      </c>
      <c r="J2766" s="15" t="s">
        <v>23</v>
      </c>
      <c r="K2766" s="13">
        <v>32.349152542372877</v>
      </c>
      <c r="L2766" s="13">
        <v>1596.6101694915253</v>
      </c>
      <c r="M2766" s="196" t="s">
        <v>424</v>
      </c>
      <c r="N2766" s="55">
        <f t="shared" si="237"/>
        <v>26.957627118644066</v>
      </c>
      <c r="O2766" s="55">
        <f t="shared" si="238"/>
        <v>1330.5084745762711</v>
      </c>
      <c r="P2766" s="121">
        <f>I2756-N2766</f>
        <v>15.042372881355934</v>
      </c>
      <c r="Q2766" s="121">
        <f>J2756-O2766</f>
        <v>1570.0115254237289</v>
      </c>
    </row>
    <row r="2767" spans="1:20" ht="15" customHeight="1" outlineLevel="1" x14ac:dyDescent="0.25">
      <c r="A2767" s="148"/>
      <c r="B2767" s="148"/>
      <c r="C2767" s="148"/>
      <c r="D2767" s="138"/>
      <c r="E2767" s="138"/>
      <c r="F2767" s="50">
        <v>43647</v>
      </c>
      <c r="G2767" s="50">
        <v>43830</v>
      </c>
      <c r="H2767" s="150"/>
      <c r="I2767" s="15" t="s">
        <v>23</v>
      </c>
      <c r="J2767" s="15" t="s">
        <v>23</v>
      </c>
      <c r="K2767" s="13">
        <v>32.996135593220338</v>
      </c>
      <c r="L2767" s="13">
        <v>1628.542372881356</v>
      </c>
      <c r="M2767" s="198"/>
      <c r="N2767" s="55">
        <f t="shared" si="237"/>
        <v>27.496779661016948</v>
      </c>
      <c r="O2767" s="55">
        <f t="shared" si="238"/>
        <v>1357.1186440677966</v>
      </c>
    </row>
    <row r="2768" spans="1:20" ht="15" customHeight="1" outlineLevel="1" x14ac:dyDescent="0.25">
      <c r="A2768" s="148"/>
      <c r="B2768" s="148"/>
      <c r="C2768" s="148"/>
      <c r="D2768" s="138"/>
      <c r="E2768" s="138"/>
      <c r="F2768" s="50">
        <v>43466</v>
      </c>
      <c r="G2768" s="50">
        <v>43646</v>
      </c>
      <c r="H2768" s="150"/>
      <c r="I2768" s="15" t="s">
        <v>23</v>
      </c>
      <c r="J2768" s="15" t="s">
        <v>23</v>
      </c>
      <c r="K2768" s="13">
        <v>32.349152542372877</v>
      </c>
      <c r="L2768" s="13">
        <v>1727.4798555154209</v>
      </c>
      <c r="M2768" s="196" t="s">
        <v>425</v>
      </c>
      <c r="N2768" s="55">
        <f t="shared" si="237"/>
        <v>26.957627118644066</v>
      </c>
      <c r="O2768" s="55">
        <f t="shared" si="238"/>
        <v>1439.5665462628508</v>
      </c>
    </row>
    <row r="2769" spans="1:20" ht="15" customHeight="1" outlineLevel="1" x14ac:dyDescent="0.25">
      <c r="A2769" s="148"/>
      <c r="B2769" s="148"/>
      <c r="C2769" s="148"/>
      <c r="D2769" s="138"/>
      <c r="E2769" s="138"/>
      <c r="F2769" s="50">
        <v>43647</v>
      </c>
      <c r="G2769" s="50">
        <v>43830</v>
      </c>
      <c r="H2769" s="150"/>
      <c r="I2769" s="15" t="s">
        <v>23</v>
      </c>
      <c r="J2769" s="15" t="s">
        <v>23</v>
      </c>
      <c r="K2769" s="13">
        <v>32.996135593220338</v>
      </c>
      <c r="L2769" s="13">
        <v>1762.0294526257294</v>
      </c>
      <c r="M2769" s="198"/>
      <c r="N2769" s="55">
        <f t="shared" si="237"/>
        <v>27.496779661016948</v>
      </c>
      <c r="O2769" s="55">
        <f t="shared" si="238"/>
        <v>1468.357877188108</v>
      </c>
    </row>
    <row r="2770" spans="1:20" ht="15" customHeight="1" outlineLevel="1" x14ac:dyDescent="0.25">
      <c r="A2770" s="148"/>
      <c r="B2770" s="148"/>
      <c r="C2770" s="148"/>
      <c r="D2770" s="138"/>
      <c r="E2770" s="138"/>
      <c r="F2770" s="50">
        <v>43466</v>
      </c>
      <c r="G2770" s="50">
        <v>43646</v>
      </c>
      <c r="H2770" s="150"/>
      <c r="I2770" s="15" t="s">
        <v>23</v>
      </c>
      <c r="J2770" s="15" t="s">
        <v>23</v>
      </c>
      <c r="K2770" s="13">
        <v>32.349152542372877</v>
      </c>
      <c r="L2770" s="13">
        <v>1463.5593220338983</v>
      </c>
      <c r="M2770" s="196" t="s">
        <v>426</v>
      </c>
      <c r="N2770" s="55">
        <f t="shared" si="237"/>
        <v>26.957627118644066</v>
      </c>
      <c r="O2770" s="55">
        <f t="shared" si="238"/>
        <v>1219.6327683615821</v>
      </c>
      <c r="P2770" s="121">
        <f>I2756-N2770</f>
        <v>15.042372881355934</v>
      </c>
      <c r="Q2770" s="121">
        <f>J2756-O2770</f>
        <v>1680.8872316384179</v>
      </c>
    </row>
    <row r="2771" spans="1:20" ht="15" customHeight="1" outlineLevel="1" x14ac:dyDescent="0.25">
      <c r="A2771" s="148"/>
      <c r="B2771" s="148"/>
      <c r="C2771" s="148"/>
      <c r="D2771" s="138"/>
      <c r="E2771" s="138"/>
      <c r="F2771" s="50">
        <v>43647</v>
      </c>
      <c r="G2771" s="50">
        <v>43830</v>
      </c>
      <c r="H2771" s="150"/>
      <c r="I2771" s="15" t="s">
        <v>23</v>
      </c>
      <c r="J2771" s="15" t="s">
        <v>23</v>
      </c>
      <c r="K2771" s="13">
        <v>32.996135593220338</v>
      </c>
      <c r="L2771" s="13">
        <v>1492.8305084745764</v>
      </c>
      <c r="M2771" s="198"/>
      <c r="N2771" s="55">
        <f t="shared" si="237"/>
        <v>27.496779661016948</v>
      </c>
      <c r="O2771" s="55">
        <f t="shared" si="238"/>
        <v>1244.0254237288136</v>
      </c>
    </row>
    <row r="2772" spans="1:20" ht="15" customHeight="1" outlineLevel="1" x14ac:dyDescent="0.25">
      <c r="A2772" s="148"/>
      <c r="B2772" s="148"/>
      <c r="C2772" s="148"/>
      <c r="D2772" s="138"/>
      <c r="E2772" s="138"/>
      <c r="F2772" s="50">
        <v>43466</v>
      </c>
      <c r="G2772" s="50">
        <v>43646</v>
      </c>
      <c r="H2772" s="150"/>
      <c r="I2772" s="15" t="s">
        <v>23</v>
      </c>
      <c r="J2772" s="15" t="s">
        <v>23</v>
      </c>
      <c r="K2772" s="13">
        <v>32.349152542372877</v>
      </c>
      <c r="L2772" s="13">
        <v>1596.6101694915253</v>
      </c>
      <c r="M2772" s="196" t="s">
        <v>427</v>
      </c>
      <c r="N2772" s="55">
        <f t="shared" si="237"/>
        <v>26.957627118644066</v>
      </c>
      <c r="O2772" s="55">
        <f t="shared" si="238"/>
        <v>1330.5084745762711</v>
      </c>
    </row>
    <row r="2773" spans="1:20" ht="15" customHeight="1" outlineLevel="1" x14ac:dyDescent="0.25">
      <c r="A2773" s="147"/>
      <c r="B2773" s="147"/>
      <c r="C2773" s="148"/>
      <c r="D2773" s="141"/>
      <c r="E2773" s="141"/>
      <c r="F2773" s="50">
        <v>43647</v>
      </c>
      <c r="G2773" s="50">
        <v>43830</v>
      </c>
      <c r="H2773" s="151"/>
      <c r="I2773" s="15" t="s">
        <v>23</v>
      </c>
      <c r="J2773" s="15" t="s">
        <v>23</v>
      </c>
      <c r="K2773" s="13">
        <v>32.996135593220338</v>
      </c>
      <c r="L2773" s="13">
        <v>1628.542372881356</v>
      </c>
      <c r="M2773" s="198"/>
      <c r="N2773" s="55">
        <f t="shared" si="237"/>
        <v>27.496779661016948</v>
      </c>
      <c r="O2773" s="55">
        <f t="shared" si="238"/>
        <v>1357.1186440677966</v>
      </c>
    </row>
    <row r="2774" spans="1:20" s="10" customFormat="1" ht="28.5" customHeight="1" x14ac:dyDescent="0.25">
      <c r="A2774" s="146" t="s">
        <v>51</v>
      </c>
      <c r="B2774" s="146" t="s">
        <v>587</v>
      </c>
      <c r="C2774" s="148"/>
      <c r="D2774" s="137">
        <v>42723</v>
      </c>
      <c r="E2774" s="137" t="s">
        <v>771</v>
      </c>
      <c r="F2774" s="12">
        <v>43466</v>
      </c>
      <c r="G2774" s="12">
        <v>43646</v>
      </c>
      <c r="H2774" s="149" t="s">
        <v>770</v>
      </c>
      <c r="I2774" s="66">
        <v>42</v>
      </c>
      <c r="J2774" s="13">
        <v>2900.52</v>
      </c>
      <c r="K2774" s="15" t="s">
        <v>23</v>
      </c>
      <c r="L2774" s="15" t="s">
        <v>23</v>
      </c>
      <c r="M2774" s="153"/>
      <c r="N2774" s="69"/>
      <c r="O2774" s="11"/>
      <c r="Q2774" s="64"/>
      <c r="R2774" s="64"/>
      <c r="S2774" s="65"/>
      <c r="T2774" s="11"/>
    </row>
    <row r="2775" spans="1:20" ht="15" customHeight="1" outlineLevel="1" x14ac:dyDescent="0.25">
      <c r="A2775" s="148"/>
      <c r="B2775" s="148"/>
      <c r="C2775" s="148"/>
      <c r="D2775" s="141"/>
      <c r="E2775" s="141"/>
      <c r="F2775" s="12">
        <v>43647</v>
      </c>
      <c r="G2775" s="12">
        <v>43830</v>
      </c>
      <c r="H2775" s="151"/>
      <c r="I2775" s="66">
        <v>42.58</v>
      </c>
      <c r="J2775" s="13">
        <v>3103.51</v>
      </c>
      <c r="K2775" s="15" t="s">
        <v>23</v>
      </c>
      <c r="L2775" s="15" t="s">
        <v>23</v>
      </c>
      <c r="M2775" s="152"/>
    </row>
    <row r="2776" spans="1:20" ht="15" customHeight="1" outlineLevel="1" x14ac:dyDescent="0.25">
      <c r="A2776" s="148"/>
      <c r="B2776" s="148"/>
      <c r="C2776" s="148"/>
      <c r="D2776" s="137">
        <v>43454</v>
      </c>
      <c r="E2776" s="137" t="s">
        <v>742</v>
      </c>
      <c r="F2776" s="50">
        <v>43466</v>
      </c>
      <c r="G2776" s="50">
        <v>43646</v>
      </c>
      <c r="H2776" s="149"/>
      <c r="I2776" s="15" t="s">
        <v>23</v>
      </c>
      <c r="J2776" s="15" t="s">
        <v>23</v>
      </c>
      <c r="K2776" s="13">
        <v>32.349152542372877</v>
      </c>
      <c r="L2776" s="13">
        <v>1527.1932203389829</v>
      </c>
      <c r="M2776" s="196" t="s">
        <v>420</v>
      </c>
      <c r="N2776" s="55">
        <f>K2776/1.2</f>
        <v>26.957627118644066</v>
      </c>
      <c r="O2776" s="55">
        <f>L2776/1.2</f>
        <v>1272.6610169491526</v>
      </c>
    </row>
    <row r="2777" spans="1:20" ht="15" customHeight="1" outlineLevel="1" x14ac:dyDescent="0.25">
      <c r="A2777" s="148"/>
      <c r="B2777" s="148"/>
      <c r="C2777" s="148"/>
      <c r="D2777" s="138"/>
      <c r="E2777" s="138"/>
      <c r="F2777" s="50">
        <v>43647</v>
      </c>
      <c r="G2777" s="50">
        <v>43830</v>
      </c>
      <c r="H2777" s="150"/>
      <c r="I2777" s="15" t="s">
        <v>23</v>
      </c>
      <c r="J2777" s="15" t="s">
        <v>23</v>
      </c>
      <c r="K2777" s="13">
        <v>32.996135593220338</v>
      </c>
      <c r="L2777" s="13">
        <v>1557.7370847457626</v>
      </c>
      <c r="M2777" s="198"/>
      <c r="N2777" s="55">
        <f t="shared" ref="N2777:N2791" si="239">K2777/1.2</f>
        <v>27.496779661016948</v>
      </c>
      <c r="O2777" s="55">
        <f t="shared" ref="O2777:O2791" si="240">L2777/1.2</f>
        <v>1298.1142372881354</v>
      </c>
    </row>
    <row r="2778" spans="1:20" ht="15" customHeight="1" outlineLevel="1" x14ac:dyDescent="0.25">
      <c r="A2778" s="148"/>
      <c r="B2778" s="148"/>
      <c r="C2778" s="148"/>
      <c r="D2778" s="138"/>
      <c r="E2778" s="138"/>
      <c r="F2778" s="50">
        <v>43466</v>
      </c>
      <c r="G2778" s="50">
        <v>43646</v>
      </c>
      <c r="H2778" s="150"/>
      <c r="I2778" s="15" t="s">
        <v>23</v>
      </c>
      <c r="J2778" s="15" t="s">
        <v>23</v>
      </c>
      <c r="K2778" s="13">
        <v>32.349152542372877</v>
      </c>
      <c r="L2778" s="13">
        <v>1672.639225181598</v>
      </c>
      <c r="M2778" s="196" t="s">
        <v>421</v>
      </c>
      <c r="N2778" s="55">
        <f t="shared" si="239"/>
        <v>26.957627118644066</v>
      </c>
      <c r="O2778" s="55">
        <f t="shared" si="240"/>
        <v>1393.8660209846651</v>
      </c>
    </row>
    <row r="2779" spans="1:20" ht="15" customHeight="1" outlineLevel="1" x14ac:dyDescent="0.25">
      <c r="A2779" s="148"/>
      <c r="B2779" s="148"/>
      <c r="C2779" s="148"/>
      <c r="D2779" s="138"/>
      <c r="E2779" s="138"/>
      <c r="F2779" s="50">
        <v>43647</v>
      </c>
      <c r="G2779" s="50">
        <v>43830</v>
      </c>
      <c r="H2779" s="150"/>
      <c r="I2779" s="15" t="s">
        <v>23</v>
      </c>
      <c r="J2779" s="15" t="s">
        <v>23</v>
      </c>
      <c r="K2779" s="13">
        <v>32.996135593220338</v>
      </c>
      <c r="L2779" s="13">
        <v>1706.0920096852301</v>
      </c>
      <c r="M2779" s="198"/>
      <c r="N2779" s="55">
        <f t="shared" si="239"/>
        <v>27.496779661016948</v>
      </c>
      <c r="O2779" s="55">
        <f t="shared" si="240"/>
        <v>1421.7433414043585</v>
      </c>
    </row>
    <row r="2780" spans="1:20" ht="15" customHeight="1" outlineLevel="1" x14ac:dyDescent="0.25">
      <c r="A2780" s="148"/>
      <c r="B2780" s="148"/>
      <c r="C2780" s="148"/>
      <c r="D2780" s="138"/>
      <c r="E2780" s="138"/>
      <c r="F2780" s="50">
        <v>43466</v>
      </c>
      <c r="G2780" s="50">
        <v>43646</v>
      </c>
      <c r="H2780" s="150"/>
      <c r="I2780" s="15" t="s">
        <v>23</v>
      </c>
      <c r="J2780" s="15" t="s">
        <v>23</v>
      </c>
      <c r="K2780" s="13">
        <v>32.349152542372877</v>
      </c>
      <c r="L2780" s="13">
        <v>1424.0036646816309</v>
      </c>
      <c r="M2780" s="196" t="s">
        <v>422</v>
      </c>
      <c r="N2780" s="55">
        <f t="shared" si="239"/>
        <v>26.957627118644066</v>
      </c>
      <c r="O2780" s="55">
        <f t="shared" si="240"/>
        <v>1186.6697205680257</v>
      </c>
    </row>
    <row r="2781" spans="1:20" ht="15" customHeight="1" outlineLevel="1" x14ac:dyDescent="0.25">
      <c r="A2781" s="148"/>
      <c r="B2781" s="148"/>
      <c r="C2781" s="148"/>
      <c r="D2781" s="138"/>
      <c r="E2781" s="138"/>
      <c r="F2781" s="50">
        <v>43647</v>
      </c>
      <c r="G2781" s="50">
        <v>43830</v>
      </c>
      <c r="H2781" s="150"/>
      <c r="I2781" s="15" t="s">
        <v>23</v>
      </c>
      <c r="J2781" s="15" t="s">
        <v>23</v>
      </c>
      <c r="K2781" s="13">
        <v>32.996135593220338</v>
      </c>
      <c r="L2781" s="13">
        <v>1452.4837379752635</v>
      </c>
      <c r="M2781" s="198"/>
      <c r="N2781" s="55">
        <f t="shared" si="239"/>
        <v>27.496779661016948</v>
      </c>
      <c r="O2781" s="55">
        <f t="shared" si="240"/>
        <v>1210.4031149793864</v>
      </c>
    </row>
    <row r="2782" spans="1:20" ht="15" customHeight="1" outlineLevel="1" x14ac:dyDescent="0.25">
      <c r="A2782" s="148"/>
      <c r="B2782" s="148"/>
      <c r="C2782" s="148"/>
      <c r="D2782" s="138"/>
      <c r="E2782" s="138"/>
      <c r="F2782" s="50">
        <v>43466</v>
      </c>
      <c r="G2782" s="50">
        <v>43646</v>
      </c>
      <c r="H2782" s="150"/>
      <c r="I2782" s="15" t="s">
        <v>23</v>
      </c>
      <c r="J2782" s="15" t="s">
        <v>23</v>
      </c>
      <c r="K2782" s="13">
        <v>32.349152542372877</v>
      </c>
      <c r="L2782" s="13">
        <v>1527.1923360353719</v>
      </c>
      <c r="M2782" s="196" t="s">
        <v>423</v>
      </c>
      <c r="N2782" s="55">
        <f t="shared" si="239"/>
        <v>26.957627118644066</v>
      </c>
      <c r="O2782" s="55">
        <f t="shared" si="240"/>
        <v>1272.6602800294766</v>
      </c>
    </row>
    <row r="2783" spans="1:20" ht="15" customHeight="1" outlineLevel="1" x14ac:dyDescent="0.25">
      <c r="A2783" s="148"/>
      <c r="B2783" s="148"/>
      <c r="C2783" s="148"/>
      <c r="D2783" s="138"/>
      <c r="E2783" s="138"/>
      <c r="F2783" s="50">
        <v>43647</v>
      </c>
      <c r="G2783" s="50">
        <v>43830</v>
      </c>
      <c r="H2783" s="150"/>
      <c r="I2783" s="15" t="s">
        <v>23</v>
      </c>
      <c r="J2783" s="15" t="s">
        <v>23</v>
      </c>
      <c r="K2783" s="13">
        <v>32.996135593220338</v>
      </c>
      <c r="L2783" s="13">
        <v>1557.7361827560794</v>
      </c>
      <c r="M2783" s="198"/>
      <c r="N2783" s="55">
        <f t="shared" si="239"/>
        <v>27.496779661016948</v>
      </c>
      <c r="O2783" s="55">
        <f t="shared" si="240"/>
        <v>1298.1134856300662</v>
      </c>
    </row>
    <row r="2784" spans="1:20" ht="15" customHeight="1" outlineLevel="1" x14ac:dyDescent="0.25">
      <c r="A2784" s="148"/>
      <c r="B2784" s="148"/>
      <c r="C2784" s="148"/>
      <c r="D2784" s="138"/>
      <c r="E2784" s="138"/>
      <c r="F2784" s="50">
        <v>43466</v>
      </c>
      <c r="G2784" s="50">
        <v>43646</v>
      </c>
      <c r="H2784" s="150"/>
      <c r="I2784" s="15" t="s">
        <v>23</v>
      </c>
      <c r="J2784" s="15" t="s">
        <v>23</v>
      </c>
      <c r="K2784" s="13">
        <v>32.349152542372877</v>
      </c>
      <c r="L2784" s="13">
        <v>1596.6101694915253</v>
      </c>
      <c r="M2784" s="196" t="s">
        <v>424</v>
      </c>
      <c r="N2784" s="55">
        <f t="shared" si="239"/>
        <v>26.957627118644066</v>
      </c>
      <c r="O2784" s="55">
        <f t="shared" si="240"/>
        <v>1330.5084745762711</v>
      </c>
    </row>
    <row r="2785" spans="1:17" ht="15" customHeight="1" outlineLevel="1" x14ac:dyDescent="0.25">
      <c r="A2785" s="148"/>
      <c r="B2785" s="148"/>
      <c r="C2785" s="148"/>
      <c r="D2785" s="138"/>
      <c r="E2785" s="138"/>
      <c r="F2785" s="50">
        <v>43647</v>
      </c>
      <c r="G2785" s="50">
        <v>43830</v>
      </c>
      <c r="H2785" s="150"/>
      <c r="I2785" s="15" t="s">
        <v>23</v>
      </c>
      <c r="J2785" s="15" t="s">
        <v>23</v>
      </c>
      <c r="K2785" s="13">
        <v>32.996135593220338</v>
      </c>
      <c r="L2785" s="13">
        <v>1628.542372881356</v>
      </c>
      <c r="M2785" s="198"/>
      <c r="N2785" s="55">
        <f t="shared" si="239"/>
        <v>27.496779661016948</v>
      </c>
      <c r="O2785" s="55">
        <f t="shared" si="240"/>
        <v>1357.1186440677966</v>
      </c>
    </row>
    <row r="2786" spans="1:17" ht="15" customHeight="1" outlineLevel="1" x14ac:dyDescent="0.25">
      <c r="A2786" s="148"/>
      <c r="B2786" s="148"/>
      <c r="C2786" s="148"/>
      <c r="D2786" s="138"/>
      <c r="E2786" s="138"/>
      <c r="F2786" s="50">
        <v>43466</v>
      </c>
      <c r="G2786" s="50">
        <v>43646</v>
      </c>
      <c r="H2786" s="150"/>
      <c r="I2786" s="15" t="s">
        <v>23</v>
      </c>
      <c r="J2786" s="15" t="s">
        <v>23</v>
      </c>
      <c r="K2786" s="13">
        <v>32.349152542372877</v>
      </c>
      <c r="L2786" s="13">
        <v>1727.4798555154209</v>
      </c>
      <c r="M2786" s="196" t="s">
        <v>425</v>
      </c>
      <c r="N2786" s="55">
        <f t="shared" si="239"/>
        <v>26.957627118644066</v>
      </c>
      <c r="O2786" s="55">
        <f t="shared" si="240"/>
        <v>1439.5665462628508</v>
      </c>
    </row>
    <row r="2787" spans="1:17" ht="15" customHeight="1" outlineLevel="1" x14ac:dyDescent="0.25">
      <c r="A2787" s="148"/>
      <c r="B2787" s="148"/>
      <c r="C2787" s="148"/>
      <c r="D2787" s="138"/>
      <c r="E2787" s="138"/>
      <c r="F2787" s="50">
        <v>43647</v>
      </c>
      <c r="G2787" s="50">
        <v>43830</v>
      </c>
      <c r="H2787" s="150"/>
      <c r="I2787" s="15" t="s">
        <v>23</v>
      </c>
      <c r="J2787" s="15" t="s">
        <v>23</v>
      </c>
      <c r="K2787" s="13">
        <v>32.996135593220338</v>
      </c>
      <c r="L2787" s="13">
        <v>1762.0294526257294</v>
      </c>
      <c r="M2787" s="198"/>
      <c r="N2787" s="55">
        <f t="shared" si="239"/>
        <v>27.496779661016948</v>
      </c>
      <c r="O2787" s="55">
        <f t="shared" si="240"/>
        <v>1468.357877188108</v>
      </c>
    </row>
    <row r="2788" spans="1:17" ht="15" customHeight="1" outlineLevel="1" x14ac:dyDescent="0.25">
      <c r="A2788" s="148"/>
      <c r="B2788" s="148"/>
      <c r="C2788" s="148"/>
      <c r="D2788" s="138"/>
      <c r="E2788" s="138"/>
      <c r="F2788" s="50">
        <v>43466</v>
      </c>
      <c r="G2788" s="50">
        <v>43646</v>
      </c>
      <c r="H2788" s="150"/>
      <c r="I2788" s="15" t="s">
        <v>23</v>
      </c>
      <c r="J2788" s="15" t="s">
        <v>23</v>
      </c>
      <c r="K2788" s="13">
        <v>32.349152542372877</v>
      </c>
      <c r="L2788" s="13">
        <v>1463.5593220338983</v>
      </c>
      <c r="M2788" s="196" t="s">
        <v>426</v>
      </c>
      <c r="N2788" s="55">
        <f t="shared" si="239"/>
        <v>26.957627118644066</v>
      </c>
      <c r="O2788" s="55">
        <f t="shared" si="240"/>
        <v>1219.6327683615821</v>
      </c>
      <c r="P2788" s="121">
        <f>I2774-N2788</f>
        <v>15.042372881355934</v>
      </c>
      <c r="Q2788" s="121">
        <f>J2774-O2788</f>
        <v>1680.8872316384179</v>
      </c>
    </row>
    <row r="2789" spans="1:17" ht="15" customHeight="1" outlineLevel="1" x14ac:dyDescent="0.25">
      <c r="A2789" s="148"/>
      <c r="B2789" s="148"/>
      <c r="C2789" s="148"/>
      <c r="D2789" s="138"/>
      <c r="E2789" s="138"/>
      <c r="F2789" s="50">
        <v>43647</v>
      </c>
      <c r="G2789" s="50">
        <v>43830</v>
      </c>
      <c r="H2789" s="150"/>
      <c r="I2789" s="15" t="s">
        <v>23</v>
      </c>
      <c r="J2789" s="15" t="s">
        <v>23</v>
      </c>
      <c r="K2789" s="13">
        <v>32.996135593220338</v>
      </c>
      <c r="L2789" s="13">
        <v>1492.8305084745764</v>
      </c>
      <c r="M2789" s="198"/>
      <c r="N2789" s="55">
        <f t="shared" si="239"/>
        <v>27.496779661016948</v>
      </c>
      <c r="O2789" s="55">
        <f t="shared" si="240"/>
        <v>1244.0254237288136</v>
      </c>
    </row>
    <row r="2790" spans="1:17" ht="15" customHeight="1" outlineLevel="1" x14ac:dyDescent="0.25">
      <c r="A2790" s="148"/>
      <c r="B2790" s="148"/>
      <c r="C2790" s="148"/>
      <c r="D2790" s="138"/>
      <c r="E2790" s="138"/>
      <c r="F2790" s="50">
        <v>43466</v>
      </c>
      <c r="G2790" s="50">
        <v>43646</v>
      </c>
      <c r="H2790" s="150"/>
      <c r="I2790" s="15" t="s">
        <v>23</v>
      </c>
      <c r="J2790" s="15" t="s">
        <v>23</v>
      </c>
      <c r="K2790" s="13">
        <v>32.349152542372877</v>
      </c>
      <c r="L2790" s="13">
        <v>1596.6101694915253</v>
      </c>
      <c r="M2790" s="196" t="s">
        <v>427</v>
      </c>
      <c r="N2790" s="55">
        <f t="shared" si="239"/>
        <v>26.957627118644066</v>
      </c>
      <c r="O2790" s="55">
        <f t="shared" si="240"/>
        <v>1330.5084745762711</v>
      </c>
      <c r="P2790" s="121">
        <f>I2774-N2790</f>
        <v>15.042372881355934</v>
      </c>
      <c r="Q2790" s="121">
        <f>J2774-O2790</f>
        <v>1570.0115254237289</v>
      </c>
    </row>
    <row r="2791" spans="1:17" ht="15" customHeight="1" outlineLevel="1" x14ac:dyDescent="0.25">
      <c r="A2791" s="147"/>
      <c r="B2791" s="147"/>
      <c r="C2791" s="147"/>
      <c r="D2791" s="141"/>
      <c r="E2791" s="141"/>
      <c r="F2791" s="50">
        <v>43647</v>
      </c>
      <c r="G2791" s="50">
        <v>43830</v>
      </c>
      <c r="H2791" s="151"/>
      <c r="I2791" s="15" t="s">
        <v>23</v>
      </c>
      <c r="J2791" s="15" t="s">
        <v>23</v>
      </c>
      <c r="K2791" s="13">
        <v>32.996135593220338</v>
      </c>
      <c r="L2791" s="13">
        <v>1628.542372881356</v>
      </c>
      <c r="M2791" s="198"/>
      <c r="N2791" s="55">
        <f t="shared" si="239"/>
        <v>27.496779661016948</v>
      </c>
      <c r="O2791" s="55">
        <f t="shared" si="240"/>
        <v>1357.1186440677966</v>
      </c>
    </row>
    <row r="2792" spans="1:17" ht="15" customHeight="1" outlineLevel="1" x14ac:dyDescent="0.25">
      <c r="A2792" s="59">
        <v>11</v>
      </c>
      <c r="B2792" s="7" t="s">
        <v>155</v>
      </c>
      <c r="C2792" s="60"/>
      <c r="D2792" s="61"/>
      <c r="E2792" s="61"/>
      <c r="F2792" s="61"/>
      <c r="G2792" s="61"/>
      <c r="H2792" s="61"/>
      <c r="I2792" s="61"/>
      <c r="J2792" s="61"/>
      <c r="K2792" s="62"/>
      <c r="L2792" s="62"/>
      <c r="M2792" s="63"/>
    </row>
    <row r="2793" spans="1:17" ht="15" customHeight="1" outlineLevel="1" x14ac:dyDescent="0.25">
      <c r="A2793" s="146" t="s">
        <v>39</v>
      </c>
      <c r="B2793" s="146" t="s">
        <v>66</v>
      </c>
      <c r="C2793" s="146" t="s">
        <v>449</v>
      </c>
      <c r="D2793" s="137">
        <v>43087</v>
      </c>
      <c r="E2793" s="137" t="s">
        <v>809</v>
      </c>
      <c r="F2793" s="12">
        <v>43466</v>
      </c>
      <c r="G2793" s="12">
        <v>43646</v>
      </c>
      <c r="H2793" s="149" t="s">
        <v>810</v>
      </c>
      <c r="I2793" s="66">
        <v>39.85</v>
      </c>
      <c r="J2793" s="13">
        <v>2151.83</v>
      </c>
      <c r="K2793" s="15" t="s">
        <v>23</v>
      </c>
      <c r="L2793" s="15" t="s">
        <v>23</v>
      </c>
      <c r="M2793" s="153"/>
    </row>
    <row r="2794" spans="1:17" ht="15" customHeight="1" outlineLevel="1" x14ac:dyDescent="0.25">
      <c r="A2794" s="148"/>
      <c r="B2794" s="148"/>
      <c r="C2794" s="148"/>
      <c r="D2794" s="141"/>
      <c r="E2794" s="141"/>
      <c r="F2794" s="12">
        <v>43647</v>
      </c>
      <c r="G2794" s="12">
        <v>43830</v>
      </c>
      <c r="H2794" s="151"/>
      <c r="I2794" s="66">
        <v>42.91</v>
      </c>
      <c r="J2794" s="13">
        <v>2194.81</v>
      </c>
      <c r="K2794" s="15" t="s">
        <v>23</v>
      </c>
      <c r="L2794" s="15" t="s">
        <v>23</v>
      </c>
      <c r="M2794" s="152"/>
    </row>
    <row r="2795" spans="1:17" ht="15" customHeight="1" outlineLevel="1" x14ac:dyDescent="0.25">
      <c r="A2795" s="148"/>
      <c r="B2795" s="148"/>
      <c r="C2795" s="148"/>
      <c r="D2795" s="137">
        <v>43454</v>
      </c>
      <c r="E2795" s="137" t="s">
        <v>811</v>
      </c>
      <c r="F2795" s="50">
        <v>43466</v>
      </c>
      <c r="G2795" s="50">
        <v>43646</v>
      </c>
      <c r="H2795" s="149"/>
      <c r="I2795" s="15" t="s">
        <v>23</v>
      </c>
      <c r="J2795" s="15" t="s">
        <v>23</v>
      </c>
      <c r="K2795" s="13">
        <v>37.33</v>
      </c>
      <c r="L2795" s="13">
        <v>1735.6251535249255</v>
      </c>
      <c r="M2795" s="196" t="s">
        <v>420</v>
      </c>
    </row>
    <row r="2796" spans="1:17" ht="15" customHeight="1" outlineLevel="1" x14ac:dyDescent="0.25">
      <c r="A2796" s="148"/>
      <c r="B2796" s="148"/>
      <c r="C2796" s="148"/>
      <c r="D2796" s="138"/>
      <c r="E2796" s="138"/>
      <c r="F2796" s="50">
        <v>43647</v>
      </c>
      <c r="G2796" s="50">
        <v>43830</v>
      </c>
      <c r="H2796" s="150"/>
      <c r="I2796" s="15" t="s">
        <v>23</v>
      </c>
      <c r="J2796" s="15" t="s">
        <v>23</v>
      </c>
      <c r="K2796" s="13">
        <v>38.076599999999999</v>
      </c>
      <c r="L2796" s="13">
        <v>1770.3376565954241</v>
      </c>
      <c r="M2796" s="198"/>
    </row>
    <row r="2797" spans="1:17" ht="15" customHeight="1" outlineLevel="1" x14ac:dyDescent="0.25">
      <c r="A2797" s="148"/>
      <c r="B2797" s="148"/>
      <c r="C2797" s="148"/>
      <c r="D2797" s="138"/>
      <c r="E2797" s="138"/>
      <c r="F2797" s="50">
        <v>43466</v>
      </c>
      <c r="G2797" s="50">
        <v>43646</v>
      </c>
      <c r="H2797" s="150"/>
      <c r="I2797" s="15" t="s">
        <v>23</v>
      </c>
      <c r="J2797" s="15" t="s">
        <v>23</v>
      </c>
      <c r="K2797" s="13">
        <v>37.33</v>
      </c>
      <c r="L2797" s="13">
        <v>1900.9227871939663</v>
      </c>
      <c r="M2797" s="196" t="s">
        <v>421</v>
      </c>
    </row>
    <row r="2798" spans="1:17" ht="15" customHeight="1" outlineLevel="1" x14ac:dyDescent="0.25">
      <c r="A2798" s="148"/>
      <c r="B2798" s="148"/>
      <c r="C2798" s="148"/>
      <c r="D2798" s="138"/>
      <c r="E2798" s="138"/>
      <c r="F2798" s="50">
        <v>43647</v>
      </c>
      <c r="G2798" s="50">
        <v>43830</v>
      </c>
      <c r="H2798" s="150"/>
      <c r="I2798" s="15" t="s">
        <v>23</v>
      </c>
      <c r="J2798" s="15" t="s">
        <v>23</v>
      </c>
      <c r="K2798" s="13">
        <v>38.076599999999999</v>
      </c>
      <c r="L2798" s="13">
        <v>1938.9412429378456</v>
      </c>
      <c r="M2798" s="198"/>
    </row>
    <row r="2799" spans="1:17" ht="15" customHeight="1" outlineLevel="1" x14ac:dyDescent="0.25">
      <c r="A2799" s="148"/>
      <c r="B2799" s="148"/>
      <c r="C2799" s="148"/>
      <c r="D2799" s="138"/>
      <c r="E2799" s="138"/>
      <c r="F2799" s="50">
        <v>43466</v>
      </c>
      <c r="G2799" s="50">
        <v>43646</v>
      </c>
      <c r="H2799" s="150"/>
      <c r="I2799" s="15" t="s">
        <v>23</v>
      </c>
      <c r="J2799" s="15" t="s">
        <v>23</v>
      </c>
      <c r="K2799" s="13">
        <v>37.33</v>
      </c>
      <c r="L2799" s="13">
        <v>1618.3531836921607</v>
      </c>
      <c r="M2799" s="196" t="s">
        <v>422</v>
      </c>
    </row>
    <row r="2800" spans="1:17" ht="15" customHeight="1" outlineLevel="1" x14ac:dyDescent="0.25">
      <c r="A2800" s="148"/>
      <c r="B2800" s="148"/>
      <c r="C2800" s="148"/>
      <c r="D2800" s="138"/>
      <c r="E2800" s="138"/>
      <c r="F2800" s="50">
        <v>43647</v>
      </c>
      <c r="G2800" s="50">
        <v>43830</v>
      </c>
      <c r="H2800" s="150"/>
      <c r="I2800" s="15" t="s">
        <v>23</v>
      </c>
      <c r="J2800" s="15" t="s">
        <v>23</v>
      </c>
      <c r="K2800" s="13">
        <v>38.076599999999999</v>
      </c>
      <c r="L2800" s="13">
        <v>1650.7202473660038</v>
      </c>
      <c r="M2800" s="198"/>
    </row>
    <row r="2801" spans="1:13" ht="15" customHeight="1" outlineLevel="1" x14ac:dyDescent="0.25">
      <c r="A2801" s="148"/>
      <c r="B2801" s="148"/>
      <c r="C2801" s="148"/>
      <c r="D2801" s="138"/>
      <c r="E2801" s="138"/>
      <c r="F2801" s="50">
        <v>43466</v>
      </c>
      <c r="G2801" s="50">
        <v>43646</v>
      </c>
      <c r="H2801" s="150"/>
      <c r="I2801" s="15" t="s">
        <v>23</v>
      </c>
      <c r="J2801" s="15" t="s">
        <v>23</v>
      </c>
      <c r="K2801" s="13">
        <v>37.33</v>
      </c>
      <c r="L2801" s="13">
        <v>1735.6251535249255</v>
      </c>
      <c r="M2801" s="196" t="s">
        <v>423</v>
      </c>
    </row>
    <row r="2802" spans="1:13" ht="15" customHeight="1" outlineLevel="1" x14ac:dyDescent="0.25">
      <c r="A2802" s="148"/>
      <c r="B2802" s="148"/>
      <c r="C2802" s="148"/>
      <c r="D2802" s="138"/>
      <c r="E2802" s="138"/>
      <c r="F2802" s="50">
        <v>43647</v>
      </c>
      <c r="G2802" s="50">
        <v>43830</v>
      </c>
      <c r="H2802" s="150"/>
      <c r="I2802" s="15" t="s">
        <v>23</v>
      </c>
      <c r="J2802" s="15" t="s">
        <v>23</v>
      </c>
      <c r="K2802" s="13">
        <v>38.076599999999999</v>
      </c>
      <c r="L2802" s="13">
        <v>1770.3376565954241</v>
      </c>
      <c r="M2802" s="198"/>
    </row>
    <row r="2803" spans="1:13" ht="15" customHeight="1" outlineLevel="1" x14ac:dyDescent="0.25">
      <c r="A2803" s="148"/>
      <c r="B2803" s="148"/>
      <c r="C2803" s="148"/>
      <c r="D2803" s="138"/>
      <c r="E2803" s="138"/>
      <c r="F2803" s="50">
        <v>43466</v>
      </c>
      <c r="G2803" s="50">
        <v>43646</v>
      </c>
      <c r="H2803" s="150"/>
      <c r="I2803" s="15" t="s">
        <v>23</v>
      </c>
      <c r="J2803" s="15" t="s">
        <v>23</v>
      </c>
      <c r="K2803" s="13">
        <v>37.33</v>
      </c>
      <c r="L2803" s="13">
        <v>1814.5172059578767</v>
      </c>
      <c r="M2803" s="196" t="s">
        <v>424</v>
      </c>
    </row>
    <row r="2804" spans="1:13" ht="15" customHeight="1" outlineLevel="1" x14ac:dyDescent="0.25">
      <c r="A2804" s="148"/>
      <c r="B2804" s="148"/>
      <c r="C2804" s="148"/>
      <c r="D2804" s="138"/>
      <c r="E2804" s="138"/>
      <c r="F2804" s="50">
        <v>43647</v>
      </c>
      <c r="G2804" s="50">
        <v>43830</v>
      </c>
      <c r="H2804" s="150"/>
      <c r="I2804" s="15" t="s">
        <v>23</v>
      </c>
      <c r="J2804" s="15" t="s">
        <v>23</v>
      </c>
      <c r="K2804" s="13">
        <v>38.076599999999999</v>
      </c>
      <c r="L2804" s="13">
        <v>1850.8075500770344</v>
      </c>
      <c r="M2804" s="198"/>
    </row>
    <row r="2805" spans="1:13" ht="15" customHeight="1" outlineLevel="1" x14ac:dyDescent="0.25">
      <c r="A2805" s="148"/>
      <c r="B2805" s="148"/>
      <c r="C2805" s="148"/>
      <c r="D2805" s="138"/>
      <c r="E2805" s="138"/>
      <c r="F2805" s="50">
        <v>43466</v>
      </c>
      <c r="G2805" s="50">
        <v>43646</v>
      </c>
      <c r="H2805" s="150"/>
      <c r="I2805" s="15" t="s">
        <v>23</v>
      </c>
      <c r="J2805" s="15" t="s">
        <v>23</v>
      </c>
      <c r="K2805" s="13">
        <v>37.33</v>
      </c>
      <c r="L2805" s="13">
        <v>1963.2481244790145</v>
      </c>
      <c r="M2805" s="196" t="s">
        <v>425</v>
      </c>
    </row>
    <row r="2806" spans="1:13" ht="15" customHeight="1" outlineLevel="1" x14ac:dyDescent="0.25">
      <c r="A2806" s="148"/>
      <c r="B2806" s="148"/>
      <c r="C2806" s="148"/>
      <c r="D2806" s="138"/>
      <c r="E2806" s="138"/>
      <c r="F2806" s="50">
        <v>43647</v>
      </c>
      <c r="G2806" s="50">
        <v>43830</v>
      </c>
      <c r="H2806" s="150"/>
      <c r="I2806" s="15" t="s">
        <v>23</v>
      </c>
      <c r="J2806" s="15" t="s">
        <v>23</v>
      </c>
      <c r="K2806" s="13">
        <v>38.076599999999999</v>
      </c>
      <c r="L2806" s="13">
        <v>2002.5130869685947</v>
      </c>
      <c r="M2806" s="198"/>
    </row>
    <row r="2807" spans="1:13" ht="15" customHeight="1" outlineLevel="1" x14ac:dyDescent="0.25">
      <c r="A2807" s="148"/>
      <c r="B2807" s="148"/>
      <c r="C2807" s="148"/>
      <c r="D2807" s="138"/>
      <c r="E2807" s="138"/>
      <c r="F2807" s="50">
        <v>43466</v>
      </c>
      <c r="G2807" s="50">
        <v>43646</v>
      </c>
      <c r="H2807" s="150"/>
      <c r="I2807" s="15" t="s">
        <v>23</v>
      </c>
      <c r="J2807" s="15" t="s">
        <v>23</v>
      </c>
      <c r="K2807" s="13">
        <v>37.33</v>
      </c>
      <c r="L2807" s="13">
        <v>1663.3074387947206</v>
      </c>
      <c r="M2807" s="196" t="s">
        <v>426</v>
      </c>
    </row>
    <row r="2808" spans="1:13" ht="15" customHeight="1" outlineLevel="1" x14ac:dyDescent="0.25">
      <c r="A2808" s="148"/>
      <c r="B2808" s="148"/>
      <c r="C2808" s="148"/>
      <c r="D2808" s="138"/>
      <c r="E2808" s="138"/>
      <c r="F2808" s="50">
        <v>43647</v>
      </c>
      <c r="G2808" s="50">
        <v>43830</v>
      </c>
      <c r="H2808" s="150"/>
      <c r="I2808" s="15" t="s">
        <v>23</v>
      </c>
      <c r="J2808" s="15" t="s">
        <v>23</v>
      </c>
      <c r="K2808" s="13">
        <v>38.076599999999999</v>
      </c>
      <c r="L2808" s="13">
        <v>1696.573587570615</v>
      </c>
      <c r="M2808" s="198"/>
    </row>
    <row r="2809" spans="1:13" ht="15" customHeight="1" outlineLevel="1" x14ac:dyDescent="0.25">
      <c r="A2809" s="148"/>
      <c r="B2809" s="148"/>
      <c r="C2809" s="148"/>
      <c r="D2809" s="138"/>
      <c r="E2809" s="138"/>
      <c r="F2809" s="50">
        <v>43466</v>
      </c>
      <c r="G2809" s="50">
        <v>43646</v>
      </c>
      <c r="H2809" s="150"/>
      <c r="I2809" s="15" t="s">
        <v>23</v>
      </c>
      <c r="J2809" s="15" t="s">
        <v>23</v>
      </c>
      <c r="K2809" s="13">
        <v>37.33</v>
      </c>
      <c r="L2809" s="13">
        <v>1814.5172059578767</v>
      </c>
      <c r="M2809" s="196" t="s">
        <v>427</v>
      </c>
    </row>
    <row r="2810" spans="1:13" ht="15" customHeight="1" outlineLevel="1" x14ac:dyDescent="0.25">
      <c r="A2810" s="147"/>
      <c r="B2810" s="147"/>
      <c r="C2810" s="147"/>
      <c r="D2810" s="141"/>
      <c r="E2810" s="141"/>
      <c r="F2810" s="50">
        <v>43647</v>
      </c>
      <c r="G2810" s="50">
        <v>43830</v>
      </c>
      <c r="H2810" s="151"/>
      <c r="I2810" s="15" t="s">
        <v>23</v>
      </c>
      <c r="J2810" s="15" t="s">
        <v>23</v>
      </c>
      <c r="K2810" s="13">
        <v>38.076599999999999</v>
      </c>
      <c r="L2810" s="13">
        <v>1850.8075500770344</v>
      </c>
      <c r="M2810" s="198"/>
    </row>
    <row r="2811" spans="1:13" ht="15" customHeight="1" outlineLevel="1" x14ac:dyDescent="0.25">
      <c r="A2811" s="146" t="s">
        <v>39</v>
      </c>
      <c r="B2811" s="146" t="s">
        <v>144</v>
      </c>
      <c r="C2811" s="146" t="s">
        <v>562</v>
      </c>
      <c r="D2811" s="137">
        <v>43454</v>
      </c>
      <c r="E2811" s="137" t="s">
        <v>633</v>
      </c>
      <c r="F2811" s="51">
        <v>43466</v>
      </c>
      <c r="G2811" s="51">
        <v>43646</v>
      </c>
      <c r="H2811" s="168"/>
      <c r="I2811" s="66">
        <v>36.090000000000003</v>
      </c>
      <c r="J2811" s="13">
        <v>1197.04</v>
      </c>
      <c r="K2811" s="15" t="s">
        <v>23</v>
      </c>
      <c r="L2811" s="15" t="s">
        <v>23</v>
      </c>
      <c r="M2811" s="183"/>
    </row>
    <row r="2812" spans="1:13" ht="15" customHeight="1" outlineLevel="1" x14ac:dyDescent="0.25">
      <c r="A2812" s="147"/>
      <c r="B2812" s="147"/>
      <c r="C2812" s="147"/>
      <c r="D2812" s="141"/>
      <c r="E2812" s="141"/>
      <c r="F2812" s="51">
        <v>43647</v>
      </c>
      <c r="G2812" s="51">
        <v>43830</v>
      </c>
      <c r="H2812" s="168"/>
      <c r="I2812" s="66">
        <v>36.96</v>
      </c>
      <c r="J2812" s="13">
        <v>1243.5</v>
      </c>
      <c r="K2812" s="15" t="s">
        <v>23</v>
      </c>
      <c r="L2812" s="15" t="s">
        <v>23</v>
      </c>
      <c r="M2812" s="183"/>
    </row>
    <row r="2813" spans="1:13" ht="15" customHeight="1" outlineLevel="1" x14ac:dyDescent="0.25">
      <c r="A2813" s="59">
        <v>12</v>
      </c>
      <c r="B2813" s="7" t="s">
        <v>156</v>
      </c>
      <c r="C2813" s="60"/>
      <c r="D2813" s="61"/>
      <c r="E2813" s="61"/>
      <c r="F2813" s="61"/>
      <c r="G2813" s="61"/>
      <c r="H2813" s="61"/>
      <c r="I2813" s="61"/>
      <c r="J2813" s="61"/>
      <c r="K2813" s="62"/>
      <c r="L2813" s="62"/>
      <c r="M2813" s="63"/>
    </row>
    <row r="2814" spans="1:13" ht="15" customHeight="1" outlineLevel="1" x14ac:dyDescent="0.25">
      <c r="A2814" s="146" t="s">
        <v>46</v>
      </c>
      <c r="B2814" s="174" t="s">
        <v>71</v>
      </c>
      <c r="C2814" s="146" t="s">
        <v>448</v>
      </c>
      <c r="D2814" s="137">
        <v>43083</v>
      </c>
      <c r="E2814" s="137" t="s">
        <v>608</v>
      </c>
      <c r="F2814" s="12">
        <v>43466</v>
      </c>
      <c r="G2814" s="12">
        <v>43646</v>
      </c>
      <c r="H2814" s="149" t="s">
        <v>807</v>
      </c>
      <c r="I2814" s="66">
        <v>33.75</v>
      </c>
      <c r="J2814" s="13">
        <v>4353.8599999999997</v>
      </c>
      <c r="K2814" s="15" t="s">
        <v>23</v>
      </c>
      <c r="L2814" s="15" t="s">
        <v>23</v>
      </c>
      <c r="M2814" s="153"/>
    </row>
    <row r="2815" spans="1:13" ht="15" customHeight="1" outlineLevel="1" x14ac:dyDescent="0.25">
      <c r="A2815" s="148"/>
      <c r="B2815" s="221"/>
      <c r="C2815" s="148"/>
      <c r="D2815" s="141"/>
      <c r="E2815" s="141"/>
      <c r="F2815" s="12">
        <v>43647</v>
      </c>
      <c r="G2815" s="12">
        <v>43830</v>
      </c>
      <c r="H2815" s="151"/>
      <c r="I2815" s="66">
        <v>34.25</v>
      </c>
      <c r="J2815" s="13">
        <v>5260.26</v>
      </c>
      <c r="K2815" s="15" t="s">
        <v>23</v>
      </c>
      <c r="L2815" s="15" t="s">
        <v>23</v>
      </c>
      <c r="M2815" s="152"/>
    </row>
    <row r="2816" spans="1:13" ht="15" customHeight="1" outlineLevel="1" x14ac:dyDescent="0.25">
      <c r="A2816" s="148"/>
      <c r="B2816" s="221"/>
      <c r="C2816" s="148"/>
      <c r="D2816" s="137">
        <v>43454</v>
      </c>
      <c r="E2816" s="137" t="s">
        <v>808</v>
      </c>
      <c r="F2816" s="50">
        <v>43466</v>
      </c>
      <c r="G2816" s="50">
        <v>43646</v>
      </c>
      <c r="H2816" s="149"/>
      <c r="I2816" s="15" t="s">
        <v>23</v>
      </c>
      <c r="J2816" s="15" t="s">
        <v>23</v>
      </c>
      <c r="K2816" s="13">
        <v>16.78</v>
      </c>
      <c r="L2816" s="13">
        <v>1839.7887496929441</v>
      </c>
      <c r="M2816" s="196" t="s">
        <v>420</v>
      </c>
    </row>
    <row r="2817" spans="1:13" ht="15" customHeight="1" outlineLevel="1" x14ac:dyDescent="0.25">
      <c r="A2817" s="148"/>
      <c r="B2817" s="221"/>
      <c r="C2817" s="148"/>
      <c r="D2817" s="138"/>
      <c r="E2817" s="138"/>
      <c r="F2817" s="50">
        <v>43647</v>
      </c>
      <c r="G2817" s="50">
        <v>43830</v>
      </c>
      <c r="H2817" s="150"/>
      <c r="I2817" s="15" t="s">
        <v>23</v>
      </c>
      <c r="J2817" s="15" t="s">
        <v>23</v>
      </c>
      <c r="K2817" s="13">
        <v>17.115600000000001</v>
      </c>
      <c r="L2817" s="13">
        <v>1876.584524686803</v>
      </c>
      <c r="M2817" s="198"/>
    </row>
    <row r="2818" spans="1:13" ht="15" customHeight="1" outlineLevel="1" x14ac:dyDescent="0.25">
      <c r="A2818" s="148"/>
      <c r="B2818" s="221"/>
      <c r="C2818" s="148"/>
      <c r="D2818" s="138"/>
      <c r="E2818" s="138"/>
      <c r="F2818" s="50">
        <v>43466</v>
      </c>
      <c r="G2818" s="50">
        <v>43646</v>
      </c>
      <c r="H2818" s="150"/>
      <c r="I2818" s="15" t="s">
        <v>23</v>
      </c>
      <c r="J2818" s="15" t="s">
        <v>23</v>
      </c>
      <c r="K2818" s="13">
        <v>16.78</v>
      </c>
      <c r="L2818" s="13">
        <v>2015.0067258541769</v>
      </c>
      <c r="M2818" s="196" t="s">
        <v>421</v>
      </c>
    </row>
    <row r="2819" spans="1:13" ht="15" customHeight="1" outlineLevel="1" x14ac:dyDescent="0.25">
      <c r="A2819" s="148"/>
      <c r="B2819" s="221"/>
      <c r="C2819" s="148"/>
      <c r="D2819" s="138"/>
      <c r="E2819" s="138"/>
      <c r="F2819" s="50">
        <v>43647</v>
      </c>
      <c r="G2819" s="50">
        <v>43830</v>
      </c>
      <c r="H2819" s="150"/>
      <c r="I2819" s="15" t="s">
        <v>23</v>
      </c>
      <c r="J2819" s="15" t="s">
        <v>23</v>
      </c>
      <c r="K2819" s="13">
        <v>17.115600000000001</v>
      </c>
      <c r="L2819" s="13">
        <v>2055.3068603712604</v>
      </c>
      <c r="M2819" s="198"/>
    </row>
    <row r="2820" spans="1:13" ht="15" customHeight="1" outlineLevel="1" x14ac:dyDescent="0.25">
      <c r="A2820" s="148"/>
      <c r="B2820" s="221"/>
      <c r="C2820" s="148"/>
      <c r="D2820" s="138"/>
      <c r="E2820" s="138"/>
      <c r="F2820" s="50">
        <v>43466</v>
      </c>
      <c r="G2820" s="50">
        <v>43646</v>
      </c>
      <c r="H2820" s="150"/>
      <c r="I2820" s="15" t="s">
        <v>23</v>
      </c>
      <c r="J2820" s="15" t="s">
        <v>23</v>
      </c>
      <c r="K2820" s="13">
        <v>16.78</v>
      </c>
      <c r="L2820" s="13">
        <v>1715.4786990380157</v>
      </c>
      <c r="M2820" s="196" t="s">
        <v>422</v>
      </c>
    </row>
    <row r="2821" spans="1:13" ht="15" customHeight="1" outlineLevel="1" x14ac:dyDescent="0.25">
      <c r="A2821" s="148"/>
      <c r="B2821" s="221"/>
      <c r="C2821" s="148"/>
      <c r="D2821" s="138"/>
      <c r="E2821" s="138"/>
      <c r="F2821" s="50">
        <v>43647</v>
      </c>
      <c r="G2821" s="50">
        <v>43830</v>
      </c>
      <c r="H2821" s="150"/>
      <c r="I2821" s="15" t="s">
        <v>23</v>
      </c>
      <c r="J2821" s="15" t="s">
        <v>23</v>
      </c>
      <c r="K2821" s="13">
        <v>17.115600000000001</v>
      </c>
      <c r="L2821" s="13">
        <v>1749.788273018776</v>
      </c>
      <c r="M2821" s="198"/>
    </row>
    <row r="2822" spans="1:13" ht="15" customHeight="1" outlineLevel="1" x14ac:dyDescent="0.25">
      <c r="A2822" s="148"/>
      <c r="B2822" s="221"/>
      <c r="C2822" s="148"/>
      <c r="D2822" s="138"/>
      <c r="E2822" s="138"/>
      <c r="F2822" s="50">
        <v>43466</v>
      </c>
      <c r="G2822" s="50">
        <v>43646</v>
      </c>
      <c r="H2822" s="150"/>
      <c r="I2822" s="15" t="s">
        <v>23</v>
      </c>
      <c r="J2822" s="15" t="s">
        <v>23</v>
      </c>
      <c r="K2822" s="13">
        <v>16.78</v>
      </c>
      <c r="L2822" s="13">
        <v>1839.7887496929441</v>
      </c>
      <c r="M2822" s="196" t="s">
        <v>423</v>
      </c>
    </row>
    <row r="2823" spans="1:13" ht="15" customHeight="1" outlineLevel="1" x14ac:dyDescent="0.25">
      <c r="A2823" s="148"/>
      <c r="B2823" s="221"/>
      <c r="C2823" s="148"/>
      <c r="D2823" s="138"/>
      <c r="E2823" s="138"/>
      <c r="F2823" s="50">
        <v>43647</v>
      </c>
      <c r="G2823" s="50">
        <v>43830</v>
      </c>
      <c r="H2823" s="150"/>
      <c r="I2823" s="15" t="s">
        <v>23</v>
      </c>
      <c r="J2823" s="15" t="s">
        <v>23</v>
      </c>
      <c r="K2823" s="13">
        <v>17.115600000000001</v>
      </c>
      <c r="L2823" s="13">
        <v>1876.584524686803</v>
      </c>
      <c r="M2823" s="198"/>
    </row>
    <row r="2824" spans="1:13" ht="15" customHeight="1" outlineLevel="1" x14ac:dyDescent="0.25">
      <c r="A2824" s="148"/>
      <c r="B2824" s="221"/>
      <c r="C2824" s="148"/>
      <c r="D2824" s="138"/>
      <c r="E2824" s="138"/>
      <c r="F2824" s="50">
        <v>43466</v>
      </c>
      <c r="G2824" s="50">
        <v>43646</v>
      </c>
      <c r="H2824" s="150"/>
      <c r="I2824" s="15" t="s">
        <v>23</v>
      </c>
      <c r="J2824" s="15" t="s">
        <v>23</v>
      </c>
      <c r="K2824" s="13">
        <v>16.78</v>
      </c>
      <c r="L2824" s="13">
        <v>1923.4155110426234</v>
      </c>
      <c r="M2824" s="196" t="s">
        <v>424</v>
      </c>
    </row>
    <row r="2825" spans="1:13" ht="15" customHeight="1" outlineLevel="1" x14ac:dyDescent="0.25">
      <c r="A2825" s="148"/>
      <c r="B2825" s="221"/>
      <c r="C2825" s="148"/>
      <c r="D2825" s="138"/>
      <c r="E2825" s="138"/>
      <c r="F2825" s="50">
        <v>43647</v>
      </c>
      <c r="G2825" s="50">
        <v>43830</v>
      </c>
      <c r="H2825" s="150"/>
      <c r="I2825" s="15" t="s">
        <v>23</v>
      </c>
      <c r="J2825" s="15" t="s">
        <v>23</v>
      </c>
      <c r="K2825" s="13">
        <v>17.115600000000001</v>
      </c>
      <c r="L2825" s="13">
        <v>1961.883821263476</v>
      </c>
      <c r="M2825" s="198"/>
    </row>
    <row r="2826" spans="1:13" ht="15" customHeight="1" outlineLevel="1" x14ac:dyDescent="0.25">
      <c r="A2826" s="148"/>
      <c r="B2826" s="221"/>
      <c r="C2826" s="148"/>
      <c r="D2826" s="138"/>
      <c r="E2826" s="138"/>
      <c r="F2826" s="50">
        <v>43466</v>
      </c>
      <c r="G2826" s="50">
        <v>43646</v>
      </c>
      <c r="H2826" s="150"/>
      <c r="I2826" s="15" t="s">
        <v>23</v>
      </c>
      <c r="J2826" s="15" t="s">
        <v>23</v>
      </c>
      <c r="K2826" s="13">
        <v>16.78</v>
      </c>
      <c r="L2826" s="13">
        <v>2081.0725201444779</v>
      </c>
      <c r="M2826" s="196" t="s">
        <v>425</v>
      </c>
    </row>
    <row r="2827" spans="1:13" ht="15" customHeight="1" outlineLevel="1" x14ac:dyDescent="0.25">
      <c r="A2827" s="148"/>
      <c r="B2827" s="221"/>
      <c r="C2827" s="148"/>
      <c r="D2827" s="138"/>
      <c r="E2827" s="138"/>
      <c r="F2827" s="50">
        <v>43647</v>
      </c>
      <c r="G2827" s="50">
        <v>43830</v>
      </c>
      <c r="H2827" s="150"/>
      <c r="I2827" s="15" t="s">
        <v>23</v>
      </c>
      <c r="J2827" s="15" t="s">
        <v>23</v>
      </c>
      <c r="K2827" s="13">
        <v>17.115600000000001</v>
      </c>
      <c r="L2827" s="13">
        <v>2122.6939705473674</v>
      </c>
      <c r="M2827" s="198"/>
    </row>
    <row r="2828" spans="1:13" ht="15" customHeight="1" outlineLevel="1" x14ac:dyDescent="0.25">
      <c r="A2828" s="148"/>
      <c r="B2828" s="221"/>
      <c r="C2828" s="148"/>
      <c r="D2828" s="138"/>
      <c r="E2828" s="138"/>
      <c r="F2828" s="50">
        <v>43466</v>
      </c>
      <c r="G2828" s="50">
        <v>43646</v>
      </c>
      <c r="H2828" s="150"/>
      <c r="I2828" s="15" t="s">
        <v>23</v>
      </c>
      <c r="J2828" s="15" t="s">
        <v>23</v>
      </c>
      <c r="K2828" s="13">
        <v>16.78</v>
      </c>
      <c r="L2828" s="13">
        <v>1763.1308851224051</v>
      </c>
      <c r="M2828" s="196" t="s">
        <v>426</v>
      </c>
    </row>
    <row r="2829" spans="1:13" ht="15" customHeight="1" outlineLevel="1" x14ac:dyDescent="0.25">
      <c r="A2829" s="148"/>
      <c r="B2829" s="221"/>
      <c r="C2829" s="148"/>
      <c r="D2829" s="138"/>
      <c r="E2829" s="138"/>
      <c r="F2829" s="50">
        <v>43647</v>
      </c>
      <c r="G2829" s="50">
        <v>43830</v>
      </c>
      <c r="H2829" s="150"/>
      <c r="I2829" s="15" t="s">
        <v>23</v>
      </c>
      <c r="J2829" s="15" t="s">
        <v>23</v>
      </c>
      <c r="K2829" s="13">
        <v>17.115600000000001</v>
      </c>
      <c r="L2829" s="13">
        <v>1798.3935028248532</v>
      </c>
      <c r="M2829" s="198"/>
    </row>
    <row r="2830" spans="1:13" ht="15" customHeight="1" outlineLevel="1" x14ac:dyDescent="0.25">
      <c r="A2830" s="148"/>
      <c r="B2830" s="221"/>
      <c r="C2830" s="148"/>
      <c r="D2830" s="138"/>
      <c r="E2830" s="138"/>
      <c r="F2830" s="50">
        <v>43466</v>
      </c>
      <c r="G2830" s="50">
        <v>43646</v>
      </c>
      <c r="H2830" s="150"/>
      <c r="I2830" s="15" t="s">
        <v>23</v>
      </c>
      <c r="J2830" s="15" t="s">
        <v>23</v>
      </c>
      <c r="K2830" s="13">
        <v>16.78</v>
      </c>
      <c r="L2830" s="13">
        <v>1923.4155110426234</v>
      </c>
      <c r="M2830" s="196" t="s">
        <v>427</v>
      </c>
    </row>
    <row r="2831" spans="1:13" ht="15" customHeight="1" outlineLevel="1" x14ac:dyDescent="0.25">
      <c r="A2831" s="147"/>
      <c r="B2831" s="175"/>
      <c r="C2831" s="147"/>
      <c r="D2831" s="141"/>
      <c r="E2831" s="141"/>
      <c r="F2831" s="50">
        <v>43647</v>
      </c>
      <c r="G2831" s="50">
        <v>43830</v>
      </c>
      <c r="H2831" s="151"/>
      <c r="I2831" s="15" t="s">
        <v>23</v>
      </c>
      <c r="J2831" s="15" t="s">
        <v>23</v>
      </c>
      <c r="K2831" s="13">
        <v>17.115600000000001</v>
      </c>
      <c r="L2831" s="13">
        <v>1961.883821263476</v>
      </c>
      <c r="M2831" s="198"/>
    </row>
    <row r="2832" spans="1:13" ht="15" customHeight="1" outlineLevel="1" x14ac:dyDescent="0.25">
      <c r="A2832" s="146" t="s">
        <v>46</v>
      </c>
      <c r="B2832" s="146" t="s">
        <v>99</v>
      </c>
      <c r="C2832" s="146" t="s">
        <v>290</v>
      </c>
      <c r="D2832" s="137">
        <v>42723</v>
      </c>
      <c r="E2832" s="137" t="s">
        <v>695</v>
      </c>
      <c r="F2832" s="12">
        <v>43466</v>
      </c>
      <c r="G2832" s="12">
        <v>43646</v>
      </c>
      <c r="H2832" s="149" t="s">
        <v>797</v>
      </c>
      <c r="I2832" s="66">
        <v>40.51</v>
      </c>
      <c r="J2832" s="13">
        <v>2019.3</v>
      </c>
      <c r="K2832" s="15" t="s">
        <v>23</v>
      </c>
      <c r="L2832" s="15" t="s">
        <v>23</v>
      </c>
      <c r="M2832" s="153"/>
    </row>
    <row r="2833" spans="1:13" ht="15" customHeight="1" outlineLevel="1" x14ac:dyDescent="0.25">
      <c r="A2833" s="148"/>
      <c r="B2833" s="148"/>
      <c r="C2833" s="148"/>
      <c r="D2833" s="141"/>
      <c r="E2833" s="141"/>
      <c r="F2833" s="12">
        <v>43647</v>
      </c>
      <c r="G2833" s="12">
        <v>43830</v>
      </c>
      <c r="H2833" s="151"/>
      <c r="I2833" s="66">
        <v>41.7</v>
      </c>
      <c r="J2833" s="13">
        <v>2069.86</v>
      </c>
      <c r="K2833" s="15" t="s">
        <v>23</v>
      </c>
      <c r="L2833" s="15" t="s">
        <v>23</v>
      </c>
      <c r="M2833" s="152"/>
    </row>
    <row r="2834" spans="1:13" ht="15" customHeight="1" outlineLevel="1" x14ac:dyDescent="0.25">
      <c r="A2834" s="148"/>
      <c r="B2834" s="148"/>
      <c r="C2834" s="148"/>
      <c r="D2834" s="137">
        <v>43454</v>
      </c>
      <c r="E2834" s="137" t="s">
        <v>796</v>
      </c>
      <c r="F2834" s="50">
        <v>43466</v>
      </c>
      <c r="G2834" s="50">
        <v>43646</v>
      </c>
      <c r="H2834" s="149"/>
      <c r="I2834" s="15" t="s">
        <v>23</v>
      </c>
      <c r="J2834" s="15" t="s">
        <v>23</v>
      </c>
      <c r="K2834" s="13">
        <v>24.386440677966032</v>
      </c>
      <c r="L2834" s="13">
        <v>992.33603537214151</v>
      </c>
      <c r="M2834" s="196" t="s">
        <v>420</v>
      </c>
    </row>
    <row r="2835" spans="1:13" ht="15" customHeight="1" outlineLevel="1" x14ac:dyDescent="0.25">
      <c r="A2835" s="148"/>
      <c r="B2835" s="148"/>
      <c r="C2835" s="148"/>
      <c r="D2835" s="138"/>
      <c r="E2835" s="138"/>
      <c r="F2835" s="50">
        <v>43647</v>
      </c>
      <c r="G2835" s="50">
        <v>43830</v>
      </c>
      <c r="H2835" s="150"/>
      <c r="I2835" s="15" t="s">
        <v>23</v>
      </c>
      <c r="J2835" s="15" t="s">
        <v>23</v>
      </c>
      <c r="K2835" s="13">
        <v>24.874169491525354</v>
      </c>
      <c r="L2835" s="13">
        <v>1012.1827560795844</v>
      </c>
      <c r="M2835" s="198"/>
    </row>
    <row r="2836" spans="1:13" ht="15" customHeight="1" outlineLevel="1" x14ac:dyDescent="0.25">
      <c r="A2836" s="148"/>
      <c r="B2836" s="148"/>
      <c r="C2836" s="148"/>
      <c r="D2836" s="138"/>
      <c r="E2836" s="138"/>
      <c r="F2836" s="50">
        <v>43466</v>
      </c>
      <c r="G2836" s="50">
        <v>43646</v>
      </c>
      <c r="H2836" s="150"/>
      <c r="I2836" s="15" t="s">
        <v>23</v>
      </c>
      <c r="J2836" s="15" t="s">
        <v>23</v>
      </c>
      <c r="K2836" s="13">
        <v>24.386440677966032</v>
      </c>
      <c r="L2836" s="13">
        <v>1086.8442292171073</v>
      </c>
      <c r="M2836" s="196" t="s">
        <v>421</v>
      </c>
    </row>
    <row r="2837" spans="1:13" ht="15" customHeight="1" outlineLevel="1" x14ac:dyDescent="0.25">
      <c r="A2837" s="148"/>
      <c r="B2837" s="148"/>
      <c r="C2837" s="148"/>
      <c r="D2837" s="138"/>
      <c r="E2837" s="138"/>
      <c r="F2837" s="50">
        <v>43647</v>
      </c>
      <c r="G2837" s="50">
        <v>43830</v>
      </c>
      <c r="H2837" s="150"/>
      <c r="I2837" s="15" t="s">
        <v>23</v>
      </c>
      <c r="J2837" s="15" t="s">
        <v>23</v>
      </c>
      <c r="K2837" s="13">
        <v>24.874169491525354</v>
      </c>
      <c r="L2837" s="13">
        <v>1108.5811138014496</v>
      </c>
      <c r="M2837" s="198"/>
    </row>
    <row r="2838" spans="1:13" ht="15" customHeight="1" outlineLevel="1" x14ac:dyDescent="0.25">
      <c r="A2838" s="148"/>
      <c r="B2838" s="148"/>
      <c r="C2838" s="148"/>
      <c r="D2838" s="138"/>
      <c r="E2838" s="138"/>
      <c r="F2838" s="50">
        <v>43466</v>
      </c>
      <c r="G2838" s="50">
        <v>43646</v>
      </c>
      <c r="H2838" s="150"/>
      <c r="I2838" s="15" t="s">
        <v>23</v>
      </c>
      <c r="J2838" s="15" t="s">
        <v>23</v>
      </c>
      <c r="K2838" s="13">
        <v>24.386440677966032</v>
      </c>
      <c r="L2838" s="13">
        <v>925.28630325240238</v>
      </c>
      <c r="M2838" s="196" t="s">
        <v>422</v>
      </c>
    </row>
    <row r="2839" spans="1:13" ht="15" customHeight="1" outlineLevel="1" x14ac:dyDescent="0.25">
      <c r="A2839" s="148"/>
      <c r="B2839" s="148"/>
      <c r="C2839" s="148"/>
      <c r="D2839" s="138"/>
      <c r="E2839" s="138"/>
      <c r="F2839" s="50">
        <v>43647</v>
      </c>
      <c r="G2839" s="50">
        <v>43830</v>
      </c>
      <c r="H2839" s="150"/>
      <c r="I2839" s="15" t="s">
        <v>23</v>
      </c>
      <c r="J2839" s="15" t="s">
        <v>23</v>
      </c>
      <c r="K2839" s="13">
        <v>24.874169491525354</v>
      </c>
      <c r="L2839" s="13">
        <v>943.79202931745044</v>
      </c>
      <c r="M2839" s="198"/>
    </row>
    <row r="2840" spans="1:13" ht="15" customHeight="1" outlineLevel="1" x14ac:dyDescent="0.25">
      <c r="A2840" s="148"/>
      <c r="B2840" s="148"/>
      <c r="C2840" s="148"/>
      <c r="D2840" s="138"/>
      <c r="E2840" s="138"/>
      <c r="F2840" s="50">
        <v>43466</v>
      </c>
      <c r="G2840" s="50">
        <v>43646</v>
      </c>
      <c r="H2840" s="150"/>
      <c r="I2840" s="15" t="s">
        <v>23</v>
      </c>
      <c r="J2840" s="15" t="s">
        <v>23</v>
      </c>
      <c r="K2840" s="13">
        <v>24.386440677966032</v>
      </c>
      <c r="L2840" s="13">
        <v>992.33603537214151</v>
      </c>
      <c r="M2840" s="196" t="s">
        <v>423</v>
      </c>
    </row>
    <row r="2841" spans="1:13" ht="15" customHeight="1" outlineLevel="1" x14ac:dyDescent="0.25">
      <c r="A2841" s="148"/>
      <c r="B2841" s="148"/>
      <c r="C2841" s="148"/>
      <c r="D2841" s="138"/>
      <c r="E2841" s="138"/>
      <c r="F2841" s="50">
        <v>43647</v>
      </c>
      <c r="G2841" s="50">
        <v>43830</v>
      </c>
      <c r="H2841" s="150"/>
      <c r="I2841" s="15" t="s">
        <v>23</v>
      </c>
      <c r="J2841" s="15" t="s">
        <v>23</v>
      </c>
      <c r="K2841" s="13">
        <v>24.874169491525354</v>
      </c>
      <c r="L2841" s="13">
        <v>1012.1827560795844</v>
      </c>
      <c r="M2841" s="198"/>
    </row>
    <row r="2842" spans="1:13" ht="15" customHeight="1" outlineLevel="1" x14ac:dyDescent="0.25">
      <c r="A2842" s="148"/>
      <c r="B2842" s="148"/>
      <c r="C2842" s="148"/>
      <c r="D2842" s="138"/>
      <c r="E2842" s="138"/>
      <c r="F2842" s="50">
        <v>43466</v>
      </c>
      <c r="G2842" s="50">
        <v>43646</v>
      </c>
      <c r="H2842" s="150"/>
      <c r="I2842" s="15" t="s">
        <v>23</v>
      </c>
      <c r="J2842" s="15" t="s">
        <v>23</v>
      </c>
      <c r="K2842" s="13">
        <v>24.386440677966032</v>
      </c>
      <c r="L2842" s="13">
        <v>1037.4422187981479</v>
      </c>
      <c r="M2842" s="196" t="s">
        <v>424</v>
      </c>
    </row>
    <row r="2843" spans="1:13" ht="15" customHeight="1" outlineLevel="1" x14ac:dyDescent="0.25">
      <c r="A2843" s="148"/>
      <c r="B2843" s="148"/>
      <c r="C2843" s="148"/>
      <c r="D2843" s="138"/>
      <c r="E2843" s="138"/>
      <c r="F2843" s="50">
        <v>43647</v>
      </c>
      <c r="G2843" s="50">
        <v>43830</v>
      </c>
      <c r="H2843" s="150"/>
      <c r="I2843" s="15" t="s">
        <v>23</v>
      </c>
      <c r="J2843" s="15" t="s">
        <v>23</v>
      </c>
      <c r="K2843" s="13">
        <v>24.874169491525354</v>
      </c>
      <c r="L2843" s="13">
        <v>1058.1910631741109</v>
      </c>
      <c r="M2843" s="198"/>
    </row>
    <row r="2844" spans="1:13" ht="15" customHeight="1" outlineLevel="1" x14ac:dyDescent="0.25">
      <c r="A2844" s="148"/>
      <c r="B2844" s="148"/>
      <c r="C2844" s="148"/>
      <c r="D2844" s="138"/>
      <c r="E2844" s="138"/>
      <c r="F2844" s="50">
        <v>43466</v>
      </c>
      <c r="G2844" s="50">
        <v>43646</v>
      </c>
      <c r="H2844" s="150"/>
      <c r="I2844" s="15" t="s">
        <v>23</v>
      </c>
      <c r="J2844" s="15" t="s">
        <v>23</v>
      </c>
      <c r="K2844" s="13">
        <v>24.386440677966032</v>
      </c>
      <c r="L2844" s="13">
        <v>1122.4784662406191</v>
      </c>
      <c r="M2844" s="196" t="s">
        <v>425</v>
      </c>
    </row>
    <row r="2845" spans="1:13" ht="15" customHeight="1" outlineLevel="1" x14ac:dyDescent="0.25">
      <c r="A2845" s="148"/>
      <c r="B2845" s="148"/>
      <c r="C2845" s="148"/>
      <c r="D2845" s="138"/>
      <c r="E2845" s="138"/>
      <c r="F2845" s="50">
        <v>43647</v>
      </c>
      <c r="G2845" s="50">
        <v>43830</v>
      </c>
      <c r="H2845" s="150"/>
      <c r="I2845" s="15" t="s">
        <v>23</v>
      </c>
      <c r="J2845" s="15" t="s">
        <v>23</v>
      </c>
      <c r="K2845" s="13">
        <v>24.874169491525354</v>
      </c>
      <c r="L2845" s="13">
        <v>1144.9280355654316</v>
      </c>
      <c r="M2845" s="198"/>
    </row>
    <row r="2846" spans="1:13" ht="15" customHeight="1" outlineLevel="1" x14ac:dyDescent="0.25">
      <c r="A2846" s="148"/>
      <c r="B2846" s="148"/>
      <c r="C2846" s="148"/>
      <c r="D2846" s="138"/>
      <c r="E2846" s="138"/>
      <c r="F2846" s="50">
        <v>43466</v>
      </c>
      <c r="G2846" s="50">
        <v>43646</v>
      </c>
      <c r="H2846" s="150"/>
      <c r="I2846" s="15" t="s">
        <v>23</v>
      </c>
      <c r="J2846" s="15" t="s">
        <v>23</v>
      </c>
      <c r="K2846" s="13">
        <v>24.386440677966032</v>
      </c>
      <c r="L2846" s="13">
        <v>950.98870056496912</v>
      </c>
      <c r="M2846" s="196" t="s">
        <v>426</v>
      </c>
    </row>
    <row r="2847" spans="1:13" ht="15" customHeight="1" outlineLevel="1" x14ac:dyDescent="0.25">
      <c r="A2847" s="148"/>
      <c r="B2847" s="148"/>
      <c r="C2847" s="148"/>
      <c r="D2847" s="138"/>
      <c r="E2847" s="138"/>
      <c r="F2847" s="50">
        <v>43647</v>
      </c>
      <c r="G2847" s="50">
        <v>43830</v>
      </c>
      <c r="H2847" s="150"/>
      <c r="I2847" s="15" t="s">
        <v>23</v>
      </c>
      <c r="J2847" s="15" t="s">
        <v>23</v>
      </c>
      <c r="K2847" s="13">
        <v>24.874169491525354</v>
      </c>
      <c r="L2847" s="13">
        <v>970.00847457626855</v>
      </c>
      <c r="M2847" s="198"/>
    </row>
    <row r="2848" spans="1:13" ht="15" customHeight="1" outlineLevel="1" x14ac:dyDescent="0.25">
      <c r="A2848" s="148"/>
      <c r="B2848" s="148"/>
      <c r="C2848" s="148"/>
      <c r="D2848" s="138"/>
      <c r="E2848" s="138"/>
      <c r="F2848" s="50">
        <v>43466</v>
      </c>
      <c r="G2848" s="50">
        <v>43646</v>
      </c>
      <c r="H2848" s="150"/>
      <c r="I2848" s="15" t="s">
        <v>23</v>
      </c>
      <c r="J2848" s="15" t="s">
        <v>23</v>
      </c>
      <c r="K2848" s="13">
        <v>24.386440677966032</v>
      </c>
      <c r="L2848" s="13">
        <v>1037.4422187981479</v>
      </c>
      <c r="M2848" s="196" t="s">
        <v>427</v>
      </c>
    </row>
    <row r="2849" spans="1:13" ht="15" customHeight="1" outlineLevel="1" x14ac:dyDescent="0.25">
      <c r="A2849" s="147"/>
      <c r="B2849" s="147"/>
      <c r="C2849" s="148"/>
      <c r="D2849" s="141"/>
      <c r="E2849" s="141"/>
      <c r="F2849" s="50">
        <v>43647</v>
      </c>
      <c r="G2849" s="50">
        <v>43830</v>
      </c>
      <c r="H2849" s="151"/>
      <c r="I2849" s="15" t="s">
        <v>23</v>
      </c>
      <c r="J2849" s="15" t="s">
        <v>23</v>
      </c>
      <c r="K2849" s="13">
        <v>24.874169491525354</v>
      </c>
      <c r="L2849" s="13">
        <v>1058.1910631741109</v>
      </c>
      <c r="M2849" s="198"/>
    </row>
    <row r="2850" spans="1:13" ht="15" customHeight="1" outlineLevel="1" x14ac:dyDescent="0.25">
      <c r="A2850" s="146" t="s">
        <v>46</v>
      </c>
      <c r="B2850" s="146" t="s">
        <v>47</v>
      </c>
      <c r="C2850" s="148"/>
      <c r="D2850" s="137">
        <v>42723</v>
      </c>
      <c r="E2850" s="137" t="s">
        <v>695</v>
      </c>
      <c r="F2850" s="12">
        <v>43466</v>
      </c>
      <c r="G2850" s="12">
        <v>43646</v>
      </c>
      <c r="H2850" s="149" t="s">
        <v>797</v>
      </c>
      <c r="I2850" s="66">
        <v>40.51</v>
      </c>
      <c r="J2850" s="13">
        <v>2019.3</v>
      </c>
      <c r="K2850" s="15" t="s">
        <v>23</v>
      </c>
      <c r="L2850" s="15" t="s">
        <v>23</v>
      </c>
      <c r="M2850" s="153"/>
    </row>
    <row r="2851" spans="1:13" ht="15" customHeight="1" outlineLevel="1" x14ac:dyDescent="0.25">
      <c r="A2851" s="148"/>
      <c r="B2851" s="148"/>
      <c r="C2851" s="148"/>
      <c r="D2851" s="141"/>
      <c r="E2851" s="141"/>
      <c r="F2851" s="12">
        <v>43647</v>
      </c>
      <c r="G2851" s="12">
        <v>43830</v>
      </c>
      <c r="H2851" s="151"/>
      <c r="I2851" s="66">
        <v>41.7</v>
      </c>
      <c r="J2851" s="13">
        <v>2069.86</v>
      </c>
      <c r="K2851" s="15" t="s">
        <v>23</v>
      </c>
      <c r="L2851" s="15" t="s">
        <v>23</v>
      </c>
      <c r="M2851" s="152"/>
    </row>
    <row r="2852" spans="1:13" ht="15" customHeight="1" outlineLevel="1" x14ac:dyDescent="0.25">
      <c r="A2852" s="148"/>
      <c r="B2852" s="148"/>
      <c r="C2852" s="148"/>
      <c r="D2852" s="137">
        <v>43454</v>
      </c>
      <c r="E2852" s="137" t="s">
        <v>796</v>
      </c>
      <c r="F2852" s="50">
        <v>43466</v>
      </c>
      <c r="G2852" s="50">
        <v>43646</v>
      </c>
      <c r="H2852" s="149"/>
      <c r="I2852" s="15" t="s">
        <v>23</v>
      </c>
      <c r="J2852" s="15" t="s">
        <v>23</v>
      </c>
      <c r="K2852" s="13">
        <v>36.752542372881251</v>
      </c>
      <c r="L2852" s="13">
        <v>1495.2100221075857</v>
      </c>
      <c r="M2852" s="196" t="s">
        <v>420</v>
      </c>
    </row>
    <row r="2853" spans="1:13" ht="15" customHeight="1" outlineLevel="1" x14ac:dyDescent="0.25">
      <c r="A2853" s="148"/>
      <c r="B2853" s="148"/>
      <c r="C2853" s="148"/>
      <c r="D2853" s="138"/>
      <c r="E2853" s="138"/>
      <c r="F2853" s="50">
        <v>43647</v>
      </c>
      <c r="G2853" s="50">
        <v>43830</v>
      </c>
      <c r="H2853" s="150"/>
      <c r="I2853" s="15" t="s">
        <v>23</v>
      </c>
      <c r="J2853" s="15" t="s">
        <v>23</v>
      </c>
      <c r="K2853" s="13">
        <v>37.48759322033888</v>
      </c>
      <c r="L2853" s="13">
        <v>1525.1142225497372</v>
      </c>
      <c r="M2853" s="198"/>
    </row>
    <row r="2854" spans="1:13" ht="15" customHeight="1" outlineLevel="1" x14ac:dyDescent="0.25">
      <c r="A2854" s="148"/>
      <c r="B2854" s="148"/>
      <c r="C2854" s="148"/>
      <c r="D2854" s="138"/>
      <c r="E2854" s="138"/>
      <c r="F2854" s="50">
        <v>43466</v>
      </c>
      <c r="G2854" s="50">
        <v>43646</v>
      </c>
      <c r="H2854" s="150"/>
      <c r="I2854" s="15" t="s">
        <v>23</v>
      </c>
      <c r="J2854" s="15" t="s">
        <v>23</v>
      </c>
      <c r="K2854" s="13">
        <v>36.752542372881251</v>
      </c>
      <c r="L2854" s="13">
        <v>1637.6109765940225</v>
      </c>
      <c r="M2854" s="196" t="s">
        <v>421</v>
      </c>
    </row>
    <row r="2855" spans="1:13" ht="15" customHeight="1" outlineLevel="1" x14ac:dyDescent="0.25">
      <c r="A2855" s="148"/>
      <c r="B2855" s="148"/>
      <c r="C2855" s="148"/>
      <c r="D2855" s="138"/>
      <c r="E2855" s="138"/>
      <c r="F2855" s="50">
        <v>43647</v>
      </c>
      <c r="G2855" s="50">
        <v>43830</v>
      </c>
      <c r="H2855" s="150"/>
      <c r="I2855" s="15" t="s">
        <v>23</v>
      </c>
      <c r="J2855" s="15" t="s">
        <v>23</v>
      </c>
      <c r="K2855" s="13">
        <v>37.48759322033888</v>
      </c>
      <c r="L2855" s="13">
        <v>1670.363196125903</v>
      </c>
      <c r="M2855" s="198"/>
    </row>
    <row r="2856" spans="1:13" ht="15" customHeight="1" outlineLevel="1" x14ac:dyDescent="0.25">
      <c r="A2856" s="148"/>
      <c r="B2856" s="148"/>
      <c r="C2856" s="148"/>
      <c r="D2856" s="138"/>
      <c r="E2856" s="138"/>
      <c r="F2856" s="50">
        <v>43466</v>
      </c>
      <c r="G2856" s="50">
        <v>43646</v>
      </c>
      <c r="H2856" s="150"/>
      <c r="I2856" s="15" t="s">
        <v>23</v>
      </c>
      <c r="J2856" s="15" t="s">
        <v>23</v>
      </c>
      <c r="K2856" s="13">
        <v>36.752542372881251</v>
      </c>
      <c r="L2856" s="13">
        <v>1394.1823179111275</v>
      </c>
      <c r="M2856" s="196" t="s">
        <v>422</v>
      </c>
    </row>
    <row r="2857" spans="1:13" ht="15" customHeight="1" outlineLevel="1" x14ac:dyDescent="0.25">
      <c r="A2857" s="148"/>
      <c r="B2857" s="148"/>
      <c r="C2857" s="148"/>
      <c r="D2857" s="138"/>
      <c r="E2857" s="138"/>
      <c r="F2857" s="50">
        <v>43647</v>
      </c>
      <c r="G2857" s="50">
        <v>43830</v>
      </c>
      <c r="H2857" s="150"/>
      <c r="I2857" s="15" t="s">
        <v>23</v>
      </c>
      <c r="J2857" s="15" t="s">
        <v>23</v>
      </c>
      <c r="K2857" s="13">
        <v>37.48759322033888</v>
      </c>
      <c r="L2857" s="13">
        <v>1422.0659642693497</v>
      </c>
      <c r="M2857" s="198"/>
    </row>
    <row r="2858" spans="1:13" ht="15" customHeight="1" outlineLevel="1" x14ac:dyDescent="0.25">
      <c r="A2858" s="148"/>
      <c r="B2858" s="148"/>
      <c r="C2858" s="148"/>
      <c r="D2858" s="138"/>
      <c r="E2858" s="138"/>
      <c r="F2858" s="50">
        <v>43466</v>
      </c>
      <c r="G2858" s="50">
        <v>43646</v>
      </c>
      <c r="H2858" s="150"/>
      <c r="I2858" s="15" t="s">
        <v>23</v>
      </c>
      <c r="J2858" s="15" t="s">
        <v>23</v>
      </c>
      <c r="K2858" s="13">
        <v>36.752542372881251</v>
      </c>
      <c r="L2858" s="13">
        <v>1495.2100221075857</v>
      </c>
      <c r="M2858" s="196" t="s">
        <v>423</v>
      </c>
    </row>
    <row r="2859" spans="1:13" ht="15" customHeight="1" outlineLevel="1" x14ac:dyDescent="0.25">
      <c r="A2859" s="148"/>
      <c r="B2859" s="148"/>
      <c r="C2859" s="148"/>
      <c r="D2859" s="138"/>
      <c r="E2859" s="138"/>
      <c r="F2859" s="50">
        <v>43647</v>
      </c>
      <c r="G2859" s="50">
        <v>43830</v>
      </c>
      <c r="H2859" s="150"/>
      <c r="I2859" s="15" t="s">
        <v>23</v>
      </c>
      <c r="J2859" s="15" t="s">
        <v>23</v>
      </c>
      <c r="K2859" s="13">
        <v>37.48759322033888</v>
      </c>
      <c r="L2859" s="13">
        <v>1525.1142225497372</v>
      </c>
      <c r="M2859" s="198"/>
    </row>
    <row r="2860" spans="1:13" ht="15" customHeight="1" outlineLevel="1" x14ac:dyDescent="0.25">
      <c r="A2860" s="148"/>
      <c r="B2860" s="148"/>
      <c r="C2860" s="148"/>
      <c r="D2860" s="138"/>
      <c r="E2860" s="138"/>
      <c r="F2860" s="50">
        <v>43466</v>
      </c>
      <c r="G2860" s="50">
        <v>43646</v>
      </c>
      <c r="H2860" s="150"/>
      <c r="I2860" s="15" t="s">
        <v>23</v>
      </c>
      <c r="J2860" s="15" t="s">
        <v>23</v>
      </c>
      <c r="K2860" s="13">
        <v>36.752542372881251</v>
      </c>
      <c r="L2860" s="13">
        <v>1563.174114021567</v>
      </c>
      <c r="M2860" s="196" t="s">
        <v>424</v>
      </c>
    </row>
    <row r="2861" spans="1:13" ht="15" customHeight="1" outlineLevel="1" x14ac:dyDescent="0.25">
      <c r="A2861" s="148"/>
      <c r="B2861" s="148"/>
      <c r="C2861" s="148"/>
      <c r="D2861" s="138"/>
      <c r="E2861" s="138"/>
      <c r="F2861" s="50">
        <v>43647</v>
      </c>
      <c r="G2861" s="50">
        <v>43830</v>
      </c>
      <c r="H2861" s="150"/>
      <c r="I2861" s="15" t="s">
        <v>23</v>
      </c>
      <c r="J2861" s="15" t="s">
        <v>23</v>
      </c>
      <c r="K2861" s="13">
        <v>37.48759322033888</v>
      </c>
      <c r="L2861" s="13">
        <v>1594.4375963019982</v>
      </c>
      <c r="M2861" s="198"/>
    </row>
    <row r="2862" spans="1:13" ht="15" customHeight="1" outlineLevel="1" x14ac:dyDescent="0.25">
      <c r="A2862" s="148"/>
      <c r="B2862" s="148"/>
      <c r="C2862" s="148"/>
      <c r="D2862" s="138"/>
      <c r="E2862" s="138"/>
      <c r="F2862" s="50">
        <v>43466</v>
      </c>
      <c r="G2862" s="50">
        <v>43646</v>
      </c>
      <c r="H2862" s="150"/>
      <c r="I2862" s="15" t="s">
        <v>23</v>
      </c>
      <c r="J2862" s="15" t="s">
        <v>23</v>
      </c>
      <c r="K2862" s="13">
        <v>36.752542372881251</v>
      </c>
      <c r="L2862" s="13">
        <v>1691.3031397610398</v>
      </c>
      <c r="M2862" s="196" t="s">
        <v>425</v>
      </c>
    </row>
    <row r="2863" spans="1:13" ht="15" customHeight="1" outlineLevel="1" x14ac:dyDescent="0.25">
      <c r="A2863" s="148"/>
      <c r="B2863" s="148"/>
      <c r="C2863" s="148"/>
      <c r="D2863" s="138"/>
      <c r="E2863" s="138"/>
      <c r="F2863" s="50">
        <v>43647</v>
      </c>
      <c r="G2863" s="50">
        <v>43830</v>
      </c>
      <c r="H2863" s="150"/>
      <c r="I2863" s="15" t="s">
        <v>23</v>
      </c>
      <c r="J2863" s="15" t="s">
        <v>23</v>
      </c>
      <c r="K2863" s="13">
        <v>37.48759322033888</v>
      </c>
      <c r="L2863" s="13">
        <v>1725.1292025562605</v>
      </c>
      <c r="M2863" s="198"/>
    </row>
    <row r="2864" spans="1:13" ht="15" customHeight="1" outlineLevel="1" x14ac:dyDescent="0.25">
      <c r="A2864" s="148"/>
      <c r="B2864" s="148"/>
      <c r="C2864" s="148"/>
      <c r="D2864" s="138"/>
      <c r="E2864" s="138"/>
      <c r="F2864" s="50">
        <v>43466</v>
      </c>
      <c r="G2864" s="50">
        <v>43646</v>
      </c>
      <c r="H2864" s="150"/>
      <c r="I2864" s="15" t="s">
        <v>23</v>
      </c>
      <c r="J2864" s="15" t="s">
        <v>23</v>
      </c>
      <c r="K2864" s="13">
        <v>36.752542372881251</v>
      </c>
      <c r="L2864" s="13">
        <v>1432.9096045197698</v>
      </c>
      <c r="M2864" s="196" t="s">
        <v>426</v>
      </c>
    </row>
    <row r="2865" spans="1:13" ht="15" customHeight="1" outlineLevel="1" x14ac:dyDescent="0.25">
      <c r="A2865" s="148"/>
      <c r="B2865" s="148"/>
      <c r="C2865" s="148"/>
      <c r="D2865" s="138"/>
      <c r="E2865" s="138"/>
      <c r="F2865" s="50">
        <v>43647</v>
      </c>
      <c r="G2865" s="50">
        <v>43830</v>
      </c>
      <c r="H2865" s="150"/>
      <c r="I2865" s="15" t="s">
        <v>23</v>
      </c>
      <c r="J2865" s="15" t="s">
        <v>23</v>
      </c>
      <c r="K2865" s="13">
        <v>37.48759322033888</v>
      </c>
      <c r="L2865" s="13">
        <v>1461.567796610165</v>
      </c>
      <c r="M2865" s="198"/>
    </row>
    <row r="2866" spans="1:13" ht="15" customHeight="1" outlineLevel="1" x14ac:dyDescent="0.25">
      <c r="A2866" s="148"/>
      <c r="B2866" s="148"/>
      <c r="C2866" s="148"/>
      <c r="D2866" s="138"/>
      <c r="E2866" s="138"/>
      <c r="F2866" s="50">
        <v>43466</v>
      </c>
      <c r="G2866" s="50">
        <v>43646</v>
      </c>
      <c r="H2866" s="150"/>
      <c r="I2866" s="15" t="s">
        <v>23</v>
      </c>
      <c r="J2866" s="15" t="s">
        <v>23</v>
      </c>
      <c r="K2866" s="13">
        <v>36.752542372881251</v>
      </c>
      <c r="L2866" s="13">
        <v>1563.174114021567</v>
      </c>
      <c r="M2866" s="196" t="s">
        <v>427</v>
      </c>
    </row>
    <row r="2867" spans="1:13" ht="15" customHeight="1" outlineLevel="1" x14ac:dyDescent="0.25">
      <c r="A2867" s="147"/>
      <c r="B2867" s="147"/>
      <c r="C2867" s="148"/>
      <c r="D2867" s="141"/>
      <c r="E2867" s="141"/>
      <c r="F2867" s="50">
        <v>43647</v>
      </c>
      <c r="G2867" s="50">
        <v>43830</v>
      </c>
      <c r="H2867" s="151"/>
      <c r="I2867" s="15" t="s">
        <v>23</v>
      </c>
      <c r="J2867" s="15" t="s">
        <v>23</v>
      </c>
      <c r="K2867" s="13">
        <v>37.48759322033888</v>
      </c>
      <c r="L2867" s="13">
        <v>1594.4375963019982</v>
      </c>
      <c r="M2867" s="198"/>
    </row>
    <row r="2868" spans="1:13" ht="15" customHeight="1" outlineLevel="1" x14ac:dyDescent="0.25">
      <c r="A2868" s="146" t="s">
        <v>46</v>
      </c>
      <c r="B2868" s="146" t="s">
        <v>47</v>
      </c>
      <c r="C2868" s="146" t="s">
        <v>140</v>
      </c>
      <c r="D2868" s="137">
        <v>43453</v>
      </c>
      <c r="E2868" s="137" t="s">
        <v>643</v>
      </c>
      <c r="F2868" s="12">
        <v>43466</v>
      </c>
      <c r="G2868" s="12">
        <v>43646</v>
      </c>
      <c r="H2868" s="149"/>
      <c r="I2868" s="66">
        <v>25.49</v>
      </c>
      <c r="J2868" s="13">
        <v>1835.85</v>
      </c>
      <c r="K2868" s="119" t="s">
        <v>23</v>
      </c>
      <c r="L2868" s="119" t="s">
        <v>23</v>
      </c>
      <c r="M2868" s="153"/>
    </row>
    <row r="2869" spans="1:13" ht="15" customHeight="1" outlineLevel="1" x14ac:dyDescent="0.25">
      <c r="A2869" s="148"/>
      <c r="B2869" s="148"/>
      <c r="C2869" s="148"/>
      <c r="D2869" s="141"/>
      <c r="E2869" s="141"/>
      <c r="F2869" s="12">
        <v>43647</v>
      </c>
      <c r="G2869" s="12">
        <v>43830</v>
      </c>
      <c r="H2869" s="151"/>
      <c r="I2869" s="66">
        <v>26.66</v>
      </c>
      <c r="J2869" s="13">
        <v>2033.91</v>
      </c>
      <c r="K2869" s="119" t="s">
        <v>23</v>
      </c>
      <c r="L2869" s="119" t="s">
        <v>23</v>
      </c>
      <c r="M2869" s="152"/>
    </row>
    <row r="2870" spans="1:13" ht="15" customHeight="1" outlineLevel="1" x14ac:dyDescent="0.25">
      <c r="A2870" s="148"/>
      <c r="B2870" s="148"/>
      <c r="C2870" s="148"/>
      <c r="D2870" s="137">
        <v>43461</v>
      </c>
      <c r="E2870" s="137" t="s">
        <v>723</v>
      </c>
      <c r="F2870" s="50">
        <v>43466</v>
      </c>
      <c r="G2870" s="50">
        <v>43646</v>
      </c>
      <c r="H2870" s="149"/>
      <c r="I2870" s="119" t="s">
        <v>23</v>
      </c>
      <c r="J2870" s="119" t="s">
        <v>23</v>
      </c>
      <c r="K2870" s="13">
        <v>25.66</v>
      </c>
      <c r="L2870" s="13">
        <v>1637.58</v>
      </c>
      <c r="M2870" s="196" t="s">
        <v>420</v>
      </c>
    </row>
    <row r="2871" spans="1:13" ht="15" customHeight="1" outlineLevel="1" x14ac:dyDescent="0.25">
      <c r="A2871" s="148"/>
      <c r="B2871" s="148"/>
      <c r="C2871" s="148"/>
      <c r="D2871" s="138"/>
      <c r="E2871" s="138"/>
      <c r="F2871" s="50">
        <v>43647</v>
      </c>
      <c r="G2871" s="50">
        <v>43830</v>
      </c>
      <c r="H2871" s="150"/>
      <c r="I2871" s="119" t="s">
        <v>23</v>
      </c>
      <c r="J2871" s="119" t="s">
        <v>23</v>
      </c>
      <c r="K2871" s="13">
        <v>26.17</v>
      </c>
      <c r="L2871" s="13">
        <v>1670.29</v>
      </c>
      <c r="M2871" s="198"/>
    </row>
    <row r="2872" spans="1:13" ht="15" customHeight="1" outlineLevel="1" x14ac:dyDescent="0.25">
      <c r="A2872" s="148"/>
      <c r="B2872" s="148"/>
      <c r="C2872" s="148"/>
      <c r="D2872" s="138"/>
      <c r="E2872" s="138"/>
      <c r="F2872" s="50">
        <v>43466</v>
      </c>
      <c r="G2872" s="50">
        <v>43646</v>
      </c>
      <c r="H2872" s="150"/>
      <c r="I2872" s="119" t="s">
        <v>23</v>
      </c>
      <c r="J2872" s="119" t="s">
        <v>23</v>
      </c>
      <c r="K2872" s="13">
        <v>25.66</v>
      </c>
      <c r="L2872" s="13">
        <v>1793.54</v>
      </c>
      <c r="M2872" s="196" t="s">
        <v>421</v>
      </c>
    </row>
    <row r="2873" spans="1:13" ht="15" customHeight="1" outlineLevel="1" x14ac:dyDescent="0.25">
      <c r="A2873" s="148"/>
      <c r="B2873" s="148"/>
      <c r="C2873" s="148"/>
      <c r="D2873" s="138"/>
      <c r="E2873" s="138"/>
      <c r="F2873" s="50">
        <v>43647</v>
      </c>
      <c r="G2873" s="50">
        <v>43830</v>
      </c>
      <c r="H2873" s="150"/>
      <c r="I2873" s="119" t="s">
        <v>23</v>
      </c>
      <c r="J2873" s="119" t="s">
        <v>23</v>
      </c>
      <c r="K2873" s="13">
        <v>26.17</v>
      </c>
      <c r="L2873" s="13">
        <v>1829.37</v>
      </c>
      <c r="M2873" s="198"/>
    </row>
    <row r="2874" spans="1:13" ht="15" customHeight="1" outlineLevel="1" x14ac:dyDescent="0.25">
      <c r="A2874" s="148"/>
      <c r="B2874" s="148"/>
      <c r="C2874" s="148"/>
      <c r="D2874" s="138"/>
      <c r="E2874" s="138"/>
      <c r="F2874" s="50">
        <v>43466</v>
      </c>
      <c r="G2874" s="50">
        <v>43646</v>
      </c>
      <c r="H2874" s="150"/>
      <c r="I2874" s="119" t="s">
        <v>23</v>
      </c>
      <c r="J2874" s="119" t="s">
        <v>23</v>
      </c>
      <c r="K2874" s="13">
        <v>25.66</v>
      </c>
      <c r="L2874" s="13">
        <v>1526.94</v>
      </c>
      <c r="M2874" s="196" t="s">
        <v>422</v>
      </c>
    </row>
    <row r="2875" spans="1:13" ht="15" customHeight="1" outlineLevel="1" x14ac:dyDescent="0.25">
      <c r="A2875" s="148"/>
      <c r="B2875" s="148"/>
      <c r="C2875" s="148"/>
      <c r="D2875" s="138"/>
      <c r="E2875" s="138"/>
      <c r="F2875" s="50">
        <v>43647</v>
      </c>
      <c r="G2875" s="50">
        <v>43830</v>
      </c>
      <c r="H2875" s="150"/>
      <c r="I2875" s="119" t="s">
        <v>23</v>
      </c>
      <c r="J2875" s="119" t="s">
        <v>23</v>
      </c>
      <c r="K2875" s="13">
        <v>26.17</v>
      </c>
      <c r="L2875" s="13">
        <v>1557.43</v>
      </c>
      <c r="M2875" s="198"/>
    </row>
    <row r="2876" spans="1:13" ht="15" customHeight="1" outlineLevel="1" x14ac:dyDescent="0.25">
      <c r="A2876" s="148"/>
      <c r="B2876" s="148"/>
      <c r="C2876" s="148"/>
      <c r="D2876" s="138"/>
      <c r="E2876" s="138"/>
      <c r="F2876" s="50">
        <v>43466</v>
      </c>
      <c r="G2876" s="50">
        <v>43646</v>
      </c>
      <c r="H2876" s="150"/>
      <c r="I2876" s="119" t="s">
        <v>23</v>
      </c>
      <c r="J2876" s="119" t="s">
        <v>23</v>
      </c>
      <c r="K2876" s="13">
        <v>25.66</v>
      </c>
      <c r="L2876" s="13">
        <v>1637.58</v>
      </c>
      <c r="M2876" s="196" t="s">
        <v>423</v>
      </c>
    </row>
    <row r="2877" spans="1:13" ht="15" customHeight="1" outlineLevel="1" x14ac:dyDescent="0.25">
      <c r="A2877" s="148"/>
      <c r="B2877" s="148"/>
      <c r="C2877" s="148"/>
      <c r="D2877" s="138"/>
      <c r="E2877" s="138"/>
      <c r="F2877" s="50">
        <v>43647</v>
      </c>
      <c r="G2877" s="50">
        <v>43830</v>
      </c>
      <c r="H2877" s="150"/>
      <c r="I2877" s="119" t="s">
        <v>23</v>
      </c>
      <c r="J2877" s="119" t="s">
        <v>23</v>
      </c>
      <c r="K2877" s="13">
        <v>26.17</v>
      </c>
      <c r="L2877" s="13">
        <v>1670.29</v>
      </c>
      <c r="M2877" s="198"/>
    </row>
    <row r="2878" spans="1:13" ht="15" customHeight="1" outlineLevel="1" x14ac:dyDescent="0.25">
      <c r="A2878" s="148"/>
      <c r="B2878" s="148"/>
      <c r="C2878" s="148"/>
      <c r="D2878" s="138"/>
      <c r="E2878" s="138"/>
      <c r="F2878" s="50">
        <v>43466</v>
      </c>
      <c r="G2878" s="50">
        <v>43646</v>
      </c>
      <c r="H2878" s="150"/>
      <c r="I2878" s="119" t="s">
        <v>23</v>
      </c>
      <c r="J2878" s="119" t="s">
        <v>23</v>
      </c>
      <c r="K2878" s="13">
        <v>25.66</v>
      </c>
      <c r="L2878" s="13">
        <v>1712.01</v>
      </c>
      <c r="M2878" s="196" t="s">
        <v>424</v>
      </c>
    </row>
    <row r="2879" spans="1:13" ht="15" customHeight="1" outlineLevel="1" x14ac:dyDescent="0.25">
      <c r="A2879" s="148"/>
      <c r="B2879" s="148"/>
      <c r="C2879" s="148"/>
      <c r="D2879" s="138"/>
      <c r="E2879" s="138"/>
      <c r="F2879" s="50">
        <v>43647</v>
      </c>
      <c r="G2879" s="50">
        <v>43830</v>
      </c>
      <c r="H2879" s="150"/>
      <c r="I2879" s="119" t="s">
        <v>23</v>
      </c>
      <c r="J2879" s="119" t="s">
        <v>23</v>
      </c>
      <c r="K2879" s="13">
        <v>26.17</v>
      </c>
      <c r="L2879" s="13">
        <v>1746.21</v>
      </c>
      <c r="M2879" s="198"/>
    </row>
    <row r="2880" spans="1:13" ht="15" customHeight="1" outlineLevel="1" x14ac:dyDescent="0.25">
      <c r="A2880" s="148"/>
      <c r="B2880" s="148"/>
      <c r="C2880" s="148"/>
      <c r="D2880" s="138"/>
      <c r="E2880" s="138"/>
      <c r="F2880" s="50">
        <v>43466</v>
      </c>
      <c r="G2880" s="50">
        <v>43646</v>
      </c>
      <c r="H2880" s="150"/>
      <c r="I2880" s="119" t="s">
        <v>23</v>
      </c>
      <c r="J2880" s="119" t="s">
        <v>23</v>
      </c>
      <c r="K2880" s="13">
        <v>25.66</v>
      </c>
      <c r="L2880" s="13">
        <v>1852.35</v>
      </c>
      <c r="M2880" s="196" t="s">
        <v>425</v>
      </c>
    </row>
    <row r="2881" spans="1:13" ht="15" customHeight="1" outlineLevel="1" x14ac:dyDescent="0.25">
      <c r="A2881" s="148"/>
      <c r="B2881" s="148"/>
      <c r="C2881" s="148"/>
      <c r="D2881" s="138"/>
      <c r="E2881" s="138"/>
      <c r="F2881" s="50">
        <v>43647</v>
      </c>
      <c r="G2881" s="50">
        <v>43830</v>
      </c>
      <c r="H2881" s="150"/>
      <c r="I2881" s="119" t="s">
        <v>23</v>
      </c>
      <c r="J2881" s="119" t="s">
        <v>23</v>
      </c>
      <c r="K2881" s="13">
        <v>26.17</v>
      </c>
      <c r="L2881" s="13">
        <v>1889.34</v>
      </c>
      <c r="M2881" s="198"/>
    </row>
    <row r="2882" spans="1:13" ht="15" customHeight="1" outlineLevel="1" x14ac:dyDescent="0.25">
      <c r="A2882" s="148"/>
      <c r="B2882" s="148"/>
      <c r="C2882" s="148"/>
      <c r="D2882" s="138"/>
      <c r="E2882" s="138"/>
      <c r="F2882" s="50">
        <v>43466</v>
      </c>
      <c r="G2882" s="50">
        <v>43646</v>
      </c>
      <c r="H2882" s="150"/>
      <c r="I2882" s="119" t="s">
        <v>23</v>
      </c>
      <c r="J2882" s="119" t="s">
        <v>23</v>
      </c>
      <c r="K2882" s="13">
        <v>25.66</v>
      </c>
      <c r="L2882" s="13">
        <v>1569.35</v>
      </c>
      <c r="M2882" s="196" t="s">
        <v>426</v>
      </c>
    </row>
    <row r="2883" spans="1:13" ht="15" customHeight="1" outlineLevel="1" x14ac:dyDescent="0.25">
      <c r="A2883" s="148"/>
      <c r="B2883" s="148"/>
      <c r="C2883" s="148"/>
      <c r="D2883" s="138"/>
      <c r="E2883" s="138"/>
      <c r="F2883" s="50">
        <v>43647</v>
      </c>
      <c r="G2883" s="50">
        <v>43830</v>
      </c>
      <c r="H2883" s="150"/>
      <c r="I2883" s="119" t="s">
        <v>23</v>
      </c>
      <c r="J2883" s="119" t="s">
        <v>23</v>
      </c>
      <c r="K2883" s="13">
        <v>26.17</v>
      </c>
      <c r="L2883" s="13">
        <v>1600.69</v>
      </c>
      <c r="M2883" s="198"/>
    </row>
    <row r="2884" spans="1:13" ht="15" customHeight="1" outlineLevel="1" x14ac:dyDescent="0.25">
      <c r="A2884" s="148"/>
      <c r="B2884" s="148"/>
      <c r="C2884" s="148"/>
      <c r="D2884" s="138"/>
      <c r="E2884" s="138"/>
      <c r="F2884" s="50">
        <v>43466</v>
      </c>
      <c r="G2884" s="50">
        <v>43646</v>
      </c>
      <c r="H2884" s="150"/>
      <c r="I2884" s="119" t="s">
        <v>23</v>
      </c>
      <c r="J2884" s="119" t="s">
        <v>23</v>
      </c>
      <c r="K2884" s="13">
        <v>25.66</v>
      </c>
      <c r="L2884" s="13">
        <v>1712.01</v>
      </c>
      <c r="M2884" s="196" t="s">
        <v>427</v>
      </c>
    </row>
    <row r="2885" spans="1:13" ht="15" customHeight="1" outlineLevel="1" x14ac:dyDescent="0.25">
      <c r="A2885" s="147"/>
      <c r="B2885" s="147"/>
      <c r="C2885" s="148"/>
      <c r="D2885" s="141"/>
      <c r="E2885" s="141"/>
      <c r="F2885" s="50">
        <v>43647</v>
      </c>
      <c r="G2885" s="50">
        <v>43830</v>
      </c>
      <c r="H2885" s="151"/>
      <c r="I2885" s="119" t="s">
        <v>23</v>
      </c>
      <c r="J2885" s="119" t="s">
        <v>23</v>
      </c>
      <c r="K2885" s="13">
        <v>26.17</v>
      </c>
      <c r="L2885" s="13">
        <v>1746.21</v>
      </c>
      <c r="M2885" s="198"/>
    </row>
    <row r="2886" spans="1:13" ht="15" customHeight="1" outlineLevel="1" x14ac:dyDescent="0.25">
      <c r="A2886" s="146" t="s">
        <v>46</v>
      </c>
      <c r="B2886" s="146" t="s">
        <v>96</v>
      </c>
      <c r="C2886" s="148"/>
      <c r="D2886" s="137">
        <v>43453</v>
      </c>
      <c r="E2886" s="137" t="s">
        <v>685</v>
      </c>
      <c r="F2886" s="12">
        <v>43466</v>
      </c>
      <c r="G2886" s="12">
        <v>43646</v>
      </c>
      <c r="H2886" s="149"/>
      <c r="I2886" s="66">
        <v>25.49</v>
      </c>
      <c r="J2886" s="13">
        <v>4623.8599999999997</v>
      </c>
      <c r="K2886" s="119" t="s">
        <v>23</v>
      </c>
      <c r="L2886" s="119" t="s">
        <v>23</v>
      </c>
      <c r="M2886" s="153"/>
    </row>
    <row r="2887" spans="1:13" ht="15" customHeight="1" outlineLevel="1" x14ac:dyDescent="0.25">
      <c r="A2887" s="148"/>
      <c r="B2887" s="148"/>
      <c r="C2887" s="148"/>
      <c r="D2887" s="141"/>
      <c r="E2887" s="141"/>
      <c r="F2887" s="12">
        <v>43647</v>
      </c>
      <c r="G2887" s="12">
        <v>43830</v>
      </c>
      <c r="H2887" s="151"/>
      <c r="I2887" s="66">
        <v>26.66</v>
      </c>
      <c r="J2887" s="13">
        <v>4738.1899999999996</v>
      </c>
      <c r="K2887" s="119" t="s">
        <v>23</v>
      </c>
      <c r="L2887" s="119" t="s">
        <v>23</v>
      </c>
      <c r="M2887" s="152"/>
    </row>
    <row r="2888" spans="1:13" ht="15" customHeight="1" outlineLevel="1" x14ac:dyDescent="0.25">
      <c r="A2888" s="148"/>
      <c r="B2888" s="148"/>
      <c r="C2888" s="148"/>
      <c r="D2888" s="137">
        <f>D2870</f>
        <v>43461</v>
      </c>
      <c r="E2888" s="137" t="str">
        <f>E2870</f>
        <v>674-п</v>
      </c>
      <c r="F2888" s="50">
        <v>43466</v>
      </c>
      <c r="G2888" s="50">
        <v>43646</v>
      </c>
      <c r="H2888" s="149"/>
      <c r="I2888" s="119" t="s">
        <v>23</v>
      </c>
      <c r="J2888" s="119" t="s">
        <v>23</v>
      </c>
      <c r="K2888" s="13">
        <v>12.31</v>
      </c>
      <c r="L2888" s="13">
        <v>2001.33</v>
      </c>
      <c r="M2888" s="196" t="s">
        <v>420</v>
      </c>
    </row>
    <row r="2889" spans="1:13" ht="15" customHeight="1" outlineLevel="1" x14ac:dyDescent="0.25">
      <c r="A2889" s="148"/>
      <c r="B2889" s="148"/>
      <c r="C2889" s="148"/>
      <c r="D2889" s="138"/>
      <c r="E2889" s="138"/>
      <c r="F2889" s="50">
        <v>43647</v>
      </c>
      <c r="G2889" s="50">
        <v>43830</v>
      </c>
      <c r="H2889" s="150"/>
      <c r="I2889" s="119" t="s">
        <v>23</v>
      </c>
      <c r="J2889" s="119" t="s">
        <v>23</v>
      </c>
      <c r="K2889" s="13">
        <v>12.56</v>
      </c>
      <c r="L2889" s="13">
        <v>2041.16</v>
      </c>
      <c r="M2889" s="198"/>
    </row>
    <row r="2890" spans="1:13" ht="15" customHeight="1" outlineLevel="1" x14ac:dyDescent="0.25">
      <c r="A2890" s="148"/>
      <c r="B2890" s="148"/>
      <c r="C2890" s="148"/>
      <c r="D2890" s="138"/>
      <c r="E2890" s="138"/>
      <c r="F2890" s="50">
        <v>43466</v>
      </c>
      <c r="G2890" s="50">
        <v>43646</v>
      </c>
      <c r="H2890" s="150"/>
      <c r="I2890" s="119" t="s">
        <v>23</v>
      </c>
      <c r="J2890" s="119" t="s">
        <v>23</v>
      </c>
      <c r="K2890" s="13">
        <v>12.31</v>
      </c>
      <c r="L2890" s="13">
        <v>2191.9299999999998</v>
      </c>
      <c r="M2890" s="196" t="s">
        <v>421</v>
      </c>
    </row>
    <row r="2891" spans="1:13" ht="15" customHeight="1" outlineLevel="1" x14ac:dyDescent="0.25">
      <c r="A2891" s="148"/>
      <c r="B2891" s="148"/>
      <c r="C2891" s="148"/>
      <c r="D2891" s="138"/>
      <c r="E2891" s="138"/>
      <c r="F2891" s="50">
        <v>43647</v>
      </c>
      <c r="G2891" s="50">
        <v>43830</v>
      </c>
      <c r="H2891" s="150"/>
      <c r="I2891" s="119" t="s">
        <v>23</v>
      </c>
      <c r="J2891" s="119" t="s">
        <v>23</v>
      </c>
      <c r="K2891" s="13">
        <v>12.56</v>
      </c>
      <c r="L2891" s="13">
        <v>2235.56</v>
      </c>
      <c r="M2891" s="198"/>
    </row>
    <row r="2892" spans="1:13" ht="15" customHeight="1" outlineLevel="1" x14ac:dyDescent="0.25">
      <c r="A2892" s="148"/>
      <c r="B2892" s="148"/>
      <c r="C2892" s="148"/>
      <c r="D2892" s="138"/>
      <c r="E2892" s="138"/>
      <c r="F2892" s="50">
        <v>43466</v>
      </c>
      <c r="G2892" s="50">
        <v>43646</v>
      </c>
      <c r="H2892" s="150"/>
      <c r="I2892" s="119" t="s">
        <v>23</v>
      </c>
      <c r="J2892" s="119" t="s">
        <v>23</v>
      </c>
      <c r="K2892" s="13">
        <v>12.31</v>
      </c>
      <c r="L2892" s="13">
        <v>1866.1</v>
      </c>
      <c r="M2892" s="196" t="s">
        <v>422</v>
      </c>
    </row>
    <row r="2893" spans="1:13" ht="15" customHeight="1" outlineLevel="1" x14ac:dyDescent="0.25">
      <c r="A2893" s="148"/>
      <c r="B2893" s="148"/>
      <c r="C2893" s="148"/>
      <c r="D2893" s="138"/>
      <c r="E2893" s="138"/>
      <c r="F2893" s="50">
        <v>43647</v>
      </c>
      <c r="G2893" s="50">
        <v>43830</v>
      </c>
      <c r="H2893" s="150"/>
      <c r="I2893" s="119" t="s">
        <v>23</v>
      </c>
      <c r="J2893" s="119" t="s">
        <v>23</v>
      </c>
      <c r="K2893" s="13">
        <v>12.56</v>
      </c>
      <c r="L2893" s="13">
        <v>1903.24</v>
      </c>
      <c r="M2893" s="198"/>
    </row>
    <row r="2894" spans="1:13" ht="15" customHeight="1" outlineLevel="1" x14ac:dyDescent="0.25">
      <c r="A2894" s="148"/>
      <c r="B2894" s="148"/>
      <c r="C2894" s="148"/>
      <c r="D2894" s="138"/>
      <c r="E2894" s="138"/>
      <c r="F2894" s="50">
        <v>43466</v>
      </c>
      <c r="G2894" s="50">
        <v>43646</v>
      </c>
      <c r="H2894" s="150"/>
      <c r="I2894" s="119" t="s">
        <v>23</v>
      </c>
      <c r="J2894" s="119" t="s">
        <v>23</v>
      </c>
      <c r="K2894" s="13">
        <v>12.31</v>
      </c>
      <c r="L2894" s="13">
        <v>2001.33</v>
      </c>
      <c r="M2894" s="196" t="s">
        <v>423</v>
      </c>
    </row>
    <row r="2895" spans="1:13" ht="15" customHeight="1" outlineLevel="1" x14ac:dyDescent="0.25">
      <c r="A2895" s="148"/>
      <c r="B2895" s="148"/>
      <c r="C2895" s="148"/>
      <c r="D2895" s="138"/>
      <c r="E2895" s="138"/>
      <c r="F2895" s="50">
        <v>43647</v>
      </c>
      <c r="G2895" s="50">
        <v>43830</v>
      </c>
      <c r="H2895" s="150"/>
      <c r="I2895" s="119" t="s">
        <v>23</v>
      </c>
      <c r="J2895" s="119" t="s">
        <v>23</v>
      </c>
      <c r="K2895" s="13">
        <v>12.56</v>
      </c>
      <c r="L2895" s="13">
        <v>2041.16</v>
      </c>
      <c r="M2895" s="198"/>
    </row>
    <row r="2896" spans="1:13" ht="15" customHeight="1" outlineLevel="1" x14ac:dyDescent="0.25">
      <c r="A2896" s="148"/>
      <c r="B2896" s="148"/>
      <c r="C2896" s="148"/>
      <c r="D2896" s="138"/>
      <c r="E2896" s="138"/>
      <c r="F2896" s="50">
        <v>43466</v>
      </c>
      <c r="G2896" s="50">
        <v>43646</v>
      </c>
      <c r="H2896" s="150"/>
      <c r="I2896" s="119" t="s">
        <v>23</v>
      </c>
      <c r="J2896" s="119" t="s">
        <v>23</v>
      </c>
      <c r="K2896" s="13">
        <v>12.31</v>
      </c>
      <c r="L2896" s="13">
        <v>2092.29</v>
      </c>
      <c r="M2896" s="196" t="s">
        <v>424</v>
      </c>
    </row>
    <row r="2897" spans="1:13" ht="15" customHeight="1" outlineLevel="1" x14ac:dyDescent="0.25">
      <c r="A2897" s="148"/>
      <c r="B2897" s="148"/>
      <c r="C2897" s="148"/>
      <c r="D2897" s="138"/>
      <c r="E2897" s="138"/>
      <c r="F2897" s="50">
        <v>43647</v>
      </c>
      <c r="G2897" s="50">
        <v>43830</v>
      </c>
      <c r="H2897" s="150"/>
      <c r="I2897" s="119" t="s">
        <v>23</v>
      </c>
      <c r="J2897" s="119" t="s">
        <v>23</v>
      </c>
      <c r="K2897" s="13">
        <v>12.56</v>
      </c>
      <c r="L2897" s="13">
        <v>2133.94</v>
      </c>
      <c r="M2897" s="198"/>
    </row>
    <row r="2898" spans="1:13" ht="15" customHeight="1" outlineLevel="1" x14ac:dyDescent="0.25">
      <c r="A2898" s="148"/>
      <c r="B2898" s="148"/>
      <c r="C2898" s="148"/>
      <c r="D2898" s="138"/>
      <c r="E2898" s="138"/>
      <c r="F2898" s="50">
        <v>43466</v>
      </c>
      <c r="G2898" s="50">
        <v>43646</v>
      </c>
      <c r="H2898" s="150"/>
      <c r="I2898" s="119" t="s">
        <v>23</v>
      </c>
      <c r="J2898" s="119" t="s">
        <v>23</v>
      </c>
      <c r="K2898" s="13">
        <v>12.31</v>
      </c>
      <c r="L2898" s="13">
        <v>2263.8000000000002</v>
      </c>
      <c r="M2898" s="196" t="s">
        <v>425</v>
      </c>
    </row>
    <row r="2899" spans="1:13" ht="15" customHeight="1" outlineLevel="1" x14ac:dyDescent="0.25">
      <c r="A2899" s="148"/>
      <c r="B2899" s="148"/>
      <c r="C2899" s="148"/>
      <c r="D2899" s="138"/>
      <c r="E2899" s="138"/>
      <c r="F2899" s="50">
        <v>43647</v>
      </c>
      <c r="G2899" s="50">
        <v>43830</v>
      </c>
      <c r="H2899" s="150"/>
      <c r="I2899" s="119" t="s">
        <v>23</v>
      </c>
      <c r="J2899" s="119" t="s">
        <v>23</v>
      </c>
      <c r="K2899" s="13">
        <v>12.56</v>
      </c>
      <c r="L2899" s="13">
        <v>2308.85</v>
      </c>
      <c r="M2899" s="198"/>
    </row>
    <row r="2900" spans="1:13" ht="15" customHeight="1" outlineLevel="1" x14ac:dyDescent="0.25">
      <c r="A2900" s="148"/>
      <c r="B2900" s="148"/>
      <c r="C2900" s="148"/>
      <c r="D2900" s="138"/>
      <c r="E2900" s="138"/>
      <c r="F2900" s="50">
        <v>43466</v>
      </c>
      <c r="G2900" s="50">
        <v>43646</v>
      </c>
      <c r="H2900" s="150"/>
      <c r="I2900" s="119" t="s">
        <v>23</v>
      </c>
      <c r="J2900" s="119" t="s">
        <v>23</v>
      </c>
      <c r="K2900" s="13">
        <v>12.31</v>
      </c>
      <c r="L2900" s="13">
        <v>1917.94</v>
      </c>
      <c r="M2900" s="196" t="s">
        <v>426</v>
      </c>
    </row>
    <row r="2901" spans="1:13" ht="15" customHeight="1" outlineLevel="1" x14ac:dyDescent="0.25">
      <c r="A2901" s="148"/>
      <c r="B2901" s="148"/>
      <c r="C2901" s="148"/>
      <c r="D2901" s="138"/>
      <c r="E2901" s="138"/>
      <c r="F2901" s="50">
        <v>43647</v>
      </c>
      <c r="G2901" s="50">
        <v>43830</v>
      </c>
      <c r="H2901" s="150"/>
      <c r="I2901" s="119" t="s">
        <v>23</v>
      </c>
      <c r="J2901" s="119" t="s">
        <v>23</v>
      </c>
      <c r="K2901" s="13">
        <v>12.56</v>
      </c>
      <c r="L2901" s="13">
        <v>1956.11</v>
      </c>
      <c r="M2901" s="198"/>
    </row>
    <row r="2902" spans="1:13" ht="15" customHeight="1" outlineLevel="1" x14ac:dyDescent="0.25">
      <c r="A2902" s="148"/>
      <c r="B2902" s="148"/>
      <c r="C2902" s="148"/>
      <c r="D2902" s="138"/>
      <c r="E2902" s="138"/>
      <c r="F2902" s="50">
        <v>43466</v>
      </c>
      <c r="G2902" s="50">
        <v>43646</v>
      </c>
      <c r="H2902" s="150"/>
      <c r="I2902" s="119" t="s">
        <v>23</v>
      </c>
      <c r="J2902" s="119" t="s">
        <v>23</v>
      </c>
      <c r="K2902" s="13">
        <v>12.31</v>
      </c>
      <c r="L2902" s="13">
        <v>2092.29</v>
      </c>
      <c r="M2902" s="196" t="s">
        <v>427</v>
      </c>
    </row>
    <row r="2903" spans="1:13" ht="15" customHeight="1" outlineLevel="1" x14ac:dyDescent="0.25">
      <c r="A2903" s="147"/>
      <c r="B2903" s="147"/>
      <c r="C2903" s="147"/>
      <c r="D2903" s="141"/>
      <c r="E2903" s="141"/>
      <c r="F2903" s="50">
        <v>43647</v>
      </c>
      <c r="G2903" s="50">
        <v>43830</v>
      </c>
      <c r="H2903" s="151"/>
      <c r="I2903" s="119" t="s">
        <v>23</v>
      </c>
      <c r="J2903" s="119" t="s">
        <v>23</v>
      </c>
      <c r="K2903" s="13">
        <v>12.56</v>
      </c>
      <c r="L2903" s="13">
        <v>2133.94</v>
      </c>
      <c r="M2903" s="198"/>
    </row>
    <row r="2904" spans="1:13" ht="15" customHeight="1" outlineLevel="1" x14ac:dyDescent="0.25">
      <c r="A2904" s="146" t="s">
        <v>46</v>
      </c>
      <c r="B2904" s="146" t="s">
        <v>47</v>
      </c>
      <c r="C2904" s="146" t="s">
        <v>102</v>
      </c>
      <c r="D2904" s="137">
        <v>43427</v>
      </c>
      <c r="E2904" s="137" t="s">
        <v>725</v>
      </c>
      <c r="F2904" s="12">
        <v>43466</v>
      </c>
      <c r="G2904" s="12">
        <v>43646</v>
      </c>
      <c r="H2904" s="149"/>
      <c r="I2904" s="66">
        <v>25.49</v>
      </c>
      <c r="J2904" s="13">
        <v>5140</v>
      </c>
      <c r="K2904" s="119" t="s">
        <v>23</v>
      </c>
      <c r="L2904" s="119" t="s">
        <v>23</v>
      </c>
      <c r="M2904" s="153"/>
    </row>
    <row r="2905" spans="1:13" ht="15" customHeight="1" outlineLevel="1" x14ac:dyDescent="0.25">
      <c r="A2905" s="148"/>
      <c r="B2905" s="148"/>
      <c r="C2905" s="148"/>
      <c r="D2905" s="141"/>
      <c r="E2905" s="141"/>
      <c r="F2905" s="12">
        <v>43647</v>
      </c>
      <c r="G2905" s="12">
        <v>43830</v>
      </c>
      <c r="H2905" s="151"/>
      <c r="I2905" s="66">
        <v>26.66</v>
      </c>
      <c r="J2905" s="13">
        <v>5285.69</v>
      </c>
      <c r="K2905" s="119" t="s">
        <v>23</v>
      </c>
      <c r="L2905" s="119" t="s">
        <v>23</v>
      </c>
      <c r="M2905" s="152"/>
    </row>
    <row r="2906" spans="1:13" ht="15" customHeight="1" outlineLevel="1" x14ac:dyDescent="0.25">
      <c r="A2906" s="148"/>
      <c r="B2906" s="148"/>
      <c r="C2906" s="148"/>
      <c r="D2906" s="137">
        <f>D2888</f>
        <v>43461</v>
      </c>
      <c r="E2906" s="137" t="str">
        <f>E2888</f>
        <v>674-п</v>
      </c>
      <c r="F2906" s="50">
        <v>43466</v>
      </c>
      <c r="G2906" s="50">
        <v>43646</v>
      </c>
      <c r="H2906" s="149"/>
      <c r="I2906" s="119" t="s">
        <v>23</v>
      </c>
      <c r="J2906" s="119" t="s">
        <v>23</v>
      </c>
      <c r="K2906" s="13">
        <v>9.9966101694915253</v>
      </c>
      <c r="L2906" s="13">
        <v>1883.13</v>
      </c>
      <c r="M2906" s="196" t="s">
        <v>420</v>
      </c>
    </row>
    <row r="2907" spans="1:13" ht="15" customHeight="1" outlineLevel="1" x14ac:dyDescent="0.25">
      <c r="A2907" s="148"/>
      <c r="B2907" s="148"/>
      <c r="C2907" s="148"/>
      <c r="D2907" s="138"/>
      <c r="E2907" s="138"/>
      <c r="F2907" s="50">
        <v>43647</v>
      </c>
      <c r="G2907" s="50">
        <v>43830</v>
      </c>
      <c r="H2907" s="150"/>
      <c r="I2907" s="119" t="s">
        <v>23</v>
      </c>
      <c r="J2907" s="119" t="s">
        <v>23</v>
      </c>
      <c r="K2907" s="13">
        <v>10.199999999999999</v>
      </c>
      <c r="L2907" s="13">
        <v>1920.72</v>
      </c>
      <c r="M2907" s="198"/>
    </row>
    <row r="2908" spans="1:13" ht="15" customHeight="1" outlineLevel="1" x14ac:dyDescent="0.25">
      <c r="A2908" s="148"/>
      <c r="B2908" s="148"/>
      <c r="C2908" s="148"/>
      <c r="D2908" s="138"/>
      <c r="E2908" s="138"/>
      <c r="F2908" s="50">
        <v>43466</v>
      </c>
      <c r="G2908" s="50">
        <v>43646</v>
      </c>
      <c r="H2908" s="150"/>
      <c r="I2908" s="119" t="s">
        <v>23</v>
      </c>
      <c r="J2908" s="119" t="s">
        <v>23</v>
      </c>
      <c r="K2908" s="13">
        <v>9.9966101694915253</v>
      </c>
      <c r="L2908" s="13">
        <v>2062.4699999999998</v>
      </c>
      <c r="M2908" s="196" t="s">
        <v>421</v>
      </c>
    </row>
    <row r="2909" spans="1:13" ht="15" customHeight="1" outlineLevel="1" x14ac:dyDescent="0.25">
      <c r="A2909" s="148"/>
      <c r="B2909" s="148"/>
      <c r="C2909" s="148"/>
      <c r="D2909" s="138"/>
      <c r="E2909" s="138"/>
      <c r="F2909" s="50">
        <v>43647</v>
      </c>
      <c r="G2909" s="50">
        <v>43830</v>
      </c>
      <c r="H2909" s="150"/>
      <c r="I2909" s="119" t="s">
        <v>23</v>
      </c>
      <c r="J2909" s="119" t="s">
        <v>23</v>
      </c>
      <c r="K2909" s="13">
        <v>10.199999999999999</v>
      </c>
      <c r="L2909" s="13">
        <v>2103.65</v>
      </c>
      <c r="M2909" s="198"/>
    </row>
    <row r="2910" spans="1:13" ht="15" customHeight="1" outlineLevel="1" x14ac:dyDescent="0.25">
      <c r="A2910" s="148"/>
      <c r="B2910" s="148"/>
      <c r="C2910" s="148"/>
      <c r="D2910" s="138"/>
      <c r="E2910" s="138"/>
      <c r="F2910" s="50">
        <v>43466</v>
      </c>
      <c r="G2910" s="50">
        <v>43646</v>
      </c>
      <c r="H2910" s="150"/>
      <c r="I2910" s="119" t="s">
        <v>23</v>
      </c>
      <c r="J2910" s="119" t="s">
        <v>23</v>
      </c>
      <c r="K2910" s="13">
        <v>9.9966101694915253</v>
      </c>
      <c r="L2910" s="13">
        <v>1755.88</v>
      </c>
      <c r="M2910" s="196" t="s">
        <v>422</v>
      </c>
    </row>
    <row r="2911" spans="1:13" ht="15" customHeight="1" outlineLevel="1" x14ac:dyDescent="0.25">
      <c r="A2911" s="148"/>
      <c r="B2911" s="148"/>
      <c r="C2911" s="148"/>
      <c r="D2911" s="138"/>
      <c r="E2911" s="138"/>
      <c r="F2911" s="50">
        <v>43647</v>
      </c>
      <c r="G2911" s="50">
        <v>43830</v>
      </c>
      <c r="H2911" s="150"/>
      <c r="I2911" s="119" t="s">
        <v>23</v>
      </c>
      <c r="J2911" s="119" t="s">
        <v>23</v>
      </c>
      <c r="K2911" s="13">
        <v>10.199999999999999</v>
      </c>
      <c r="L2911" s="13">
        <v>1790.95</v>
      </c>
      <c r="M2911" s="198"/>
    </row>
    <row r="2912" spans="1:13" ht="15" customHeight="1" outlineLevel="1" x14ac:dyDescent="0.25">
      <c r="A2912" s="148"/>
      <c r="B2912" s="148"/>
      <c r="C2912" s="148"/>
      <c r="D2912" s="138"/>
      <c r="E2912" s="138"/>
      <c r="F2912" s="50">
        <v>43466</v>
      </c>
      <c r="G2912" s="50">
        <v>43646</v>
      </c>
      <c r="H2912" s="150"/>
      <c r="I2912" s="119" t="s">
        <v>23</v>
      </c>
      <c r="J2912" s="119" t="s">
        <v>23</v>
      </c>
      <c r="K2912" s="13">
        <v>9.9966101694915253</v>
      </c>
      <c r="L2912" s="13">
        <v>1883.13</v>
      </c>
      <c r="M2912" s="196" t="s">
        <v>423</v>
      </c>
    </row>
    <row r="2913" spans="1:13" ht="15" customHeight="1" outlineLevel="1" x14ac:dyDescent="0.25">
      <c r="A2913" s="148"/>
      <c r="B2913" s="148"/>
      <c r="C2913" s="148"/>
      <c r="D2913" s="138"/>
      <c r="E2913" s="138"/>
      <c r="F2913" s="50">
        <v>43647</v>
      </c>
      <c r="G2913" s="50">
        <v>43830</v>
      </c>
      <c r="H2913" s="150"/>
      <c r="I2913" s="119" t="s">
        <v>23</v>
      </c>
      <c r="J2913" s="119" t="s">
        <v>23</v>
      </c>
      <c r="K2913" s="13">
        <v>10.199999999999999</v>
      </c>
      <c r="L2913" s="13">
        <v>1920.72</v>
      </c>
      <c r="M2913" s="198"/>
    </row>
    <row r="2914" spans="1:13" ht="15" customHeight="1" outlineLevel="1" x14ac:dyDescent="0.25">
      <c r="A2914" s="148"/>
      <c r="B2914" s="148"/>
      <c r="C2914" s="148"/>
      <c r="D2914" s="138"/>
      <c r="E2914" s="138"/>
      <c r="F2914" s="50">
        <v>43466</v>
      </c>
      <c r="G2914" s="50">
        <v>43646</v>
      </c>
      <c r="H2914" s="150"/>
      <c r="I2914" s="119" t="s">
        <v>23</v>
      </c>
      <c r="J2914" s="119" t="s">
        <v>23</v>
      </c>
      <c r="K2914" s="13">
        <v>9.9966101694915253</v>
      </c>
      <c r="L2914" s="13">
        <v>1968.72</v>
      </c>
      <c r="M2914" s="196" t="s">
        <v>424</v>
      </c>
    </row>
    <row r="2915" spans="1:13" ht="15" customHeight="1" outlineLevel="1" x14ac:dyDescent="0.25">
      <c r="A2915" s="148"/>
      <c r="B2915" s="148"/>
      <c r="C2915" s="148"/>
      <c r="D2915" s="138"/>
      <c r="E2915" s="138"/>
      <c r="F2915" s="50">
        <v>43647</v>
      </c>
      <c r="G2915" s="50">
        <v>43830</v>
      </c>
      <c r="H2915" s="150"/>
      <c r="I2915" s="119" t="s">
        <v>23</v>
      </c>
      <c r="J2915" s="119" t="s">
        <v>23</v>
      </c>
      <c r="K2915" s="13">
        <v>10.199999999999999</v>
      </c>
      <c r="L2915" s="13">
        <v>2008.03</v>
      </c>
      <c r="M2915" s="198"/>
    </row>
    <row r="2916" spans="1:13" ht="15" customHeight="1" outlineLevel="1" x14ac:dyDescent="0.25">
      <c r="A2916" s="148"/>
      <c r="B2916" s="148"/>
      <c r="C2916" s="148"/>
      <c r="D2916" s="138"/>
      <c r="E2916" s="138"/>
      <c r="F2916" s="50">
        <v>43466</v>
      </c>
      <c r="G2916" s="50">
        <v>43646</v>
      </c>
      <c r="H2916" s="150"/>
      <c r="I2916" s="119" t="s">
        <v>23</v>
      </c>
      <c r="J2916" s="119" t="s">
        <v>23</v>
      </c>
      <c r="K2916" s="13">
        <v>9.9966101694915253</v>
      </c>
      <c r="L2916" s="13">
        <v>2130.09</v>
      </c>
      <c r="M2916" s="196" t="s">
        <v>425</v>
      </c>
    </row>
    <row r="2917" spans="1:13" ht="15" customHeight="1" outlineLevel="1" x14ac:dyDescent="0.25">
      <c r="A2917" s="148"/>
      <c r="B2917" s="148"/>
      <c r="C2917" s="148"/>
      <c r="D2917" s="138"/>
      <c r="E2917" s="138"/>
      <c r="F2917" s="50">
        <v>43647</v>
      </c>
      <c r="G2917" s="50">
        <v>43830</v>
      </c>
      <c r="H2917" s="150"/>
      <c r="I2917" s="119" t="s">
        <v>23</v>
      </c>
      <c r="J2917" s="119" t="s">
        <v>23</v>
      </c>
      <c r="K2917" s="13">
        <v>10.199999999999999</v>
      </c>
      <c r="L2917" s="13">
        <v>2172.62</v>
      </c>
      <c r="M2917" s="198"/>
    </row>
    <row r="2918" spans="1:13" ht="15" customHeight="1" outlineLevel="1" x14ac:dyDescent="0.25">
      <c r="A2918" s="148"/>
      <c r="B2918" s="148"/>
      <c r="C2918" s="148"/>
      <c r="D2918" s="138"/>
      <c r="E2918" s="138"/>
      <c r="F2918" s="50">
        <v>43466</v>
      </c>
      <c r="G2918" s="50">
        <v>43646</v>
      </c>
      <c r="H2918" s="150"/>
      <c r="I2918" s="119" t="s">
        <v>23</v>
      </c>
      <c r="J2918" s="119" t="s">
        <v>23</v>
      </c>
      <c r="K2918" s="13">
        <v>9.9966101694915253</v>
      </c>
      <c r="L2918" s="13">
        <v>1804.66</v>
      </c>
      <c r="M2918" s="196" t="s">
        <v>426</v>
      </c>
    </row>
    <row r="2919" spans="1:13" ht="15" customHeight="1" outlineLevel="1" x14ac:dyDescent="0.25">
      <c r="A2919" s="148"/>
      <c r="B2919" s="148"/>
      <c r="C2919" s="148"/>
      <c r="D2919" s="138"/>
      <c r="E2919" s="138"/>
      <c r="F2919" s="50">
        <v>43647</v>
      </c>
      <c r="G2919" s="50">
        <v>43830</v>
      </c>
      <c r="H2919" s="150"/>
      <c r="I2919" s="119" t="s">
        <v>23</v>
      </c>
      <c r="J2919" s="119" t="s">
        <v>23</v>
      </c>
      <c r="K2919" s="13">
        <v>10.199999999999999</v>
      </c>
      <c r="L2919" s="13">
        <v>1840.69</v>
      </c>
      <c r="M2919" s="198"/>
    </row>
    <row r="2920" spans="1:13" ht="15" customHeight="1" outlineLevel="1" x14ac:dyDescent="0.25">
      <c r="A2920" s="148"/>
      <c r="B2920" s="148"/>
      <c r="C2920" s="148"/>
      <c r="D2920" s="138"/>
      <c r="E2920" s="138"/>
      <c r="F2920" s="50">
        <v>43466</v>
      </c>
      <c r="G2920" s="50">
        <v>43646</v>
      </c>
      <c r="H2920" s="150"/>
      <c r="I2920" s="119" t="s">
        <v>23</v>
      </c>
      <c r="J2920" s="119" t="s">
        <v>23</v>
      </c>
      <c r="K2920" s="13">
        <v>9.9966101694915253</v>
      </c>
      <c r="L2920" s="13">
        <v>1968.72</v>
      </c>
      <c r="M2920" s="196" t="s">
        <v>427</v>
      </c>
    </row>
    <row r="2921" spans="1:13" ht="15" customHeight="1" outlineLevel="1" x14ac:dyDescent="0.25">
      <c r="A2921" s="147"/>
      <c r="B2921" s="147"/>
      <c r="C2921" s="147"/>
      <c r="D2921" s="141"/>
      <c r="E2921" s="141"/>
      <c r="F2921" s="50">
        <v>43647</v>
      </c>
      <c r="G2921" s="50">
        <v>43830</v>
      </c>
      <c r="H2921" s="151"/>
      <c r="I2921" s="119" t="s">
        <v>23</v>
      </c>
      <c r="J2921" s="119" t="s">
        <v>23</v>
      </c>
      <c r="K2921" s="13">
        <v>10.199999999999999</v>
      </c>
      <c r="L2921" s="13">
        <v>2008.03</v>
      </c>
      <c r="M2921" s="198"/>
    </row>
    <row r="2922" spans="1:13" ht="15" customHeight="1" outlineLevel="1" x14ac:dyDescent="0.25">
      <c r="A2922" s="146" t="s">
        <v>46</v>
      </c>
      <c r="B2922" s="146" t="s">
        <v>47</v>
      </c>
      <c r="C2922" s="146" t="s">
        <v>138</v>
      </c>
      <c r="D2922" s="137">
        <v>43453</v>
      </c>
      <c r="E2922" s="137" t="s">
        <v>724</v>
      </c>
      <c r="F2922" s="12">
        <v>43466</v>
      </c>
      <c r="G2922" s="12">
        <v>43646</v>
      </c>
      <c r="H2922" s="149"/>
      <c r="I2922" s="66">
        <v>21.45</v>
      </c>
      <c r="J2922" s="13">
        <v>4718.26</v>
      </c>
      <c r="K2922" s="119" t="s">
        <v>23</v>
      </c>
      <c r="L2922" s="119" t="s">
        <v>23</v>
      </c>
      <c r="M2922" s="153"/>
    </row>
    <row r="2923" spans="1:13" ht="15" customHeight="1" outlineLevel="1" x14ac:dyDescent="0.25">
      <c r="A2923" s="148"/>
      <c r="B2923" s="148"/>
      <c r="C2923" s="148"/>
      <c r="D2923" s="141"/>
      <c r="E2923" s="141"/>
      <c r="F2923" s="12">
        <v>43647</v>
      </c>
      <c r="G2923" s="12">
        <v>43830</v>
      </c>
      <c r="H2923" s="151"/>
      <c r="I2923" s="66">
        <v>22.629999999999995</v>
      </c>
      <c r="J2923" s="13">
        <v>4816.3599999999997</v>
      </c>
      <c r="K2923" s="119" t="s">
        <v>23</v>
      </c>
      <c r="L2923" s="119" t="s">
        <v>23</v>
      </c>
      <c r="M2923" s="152"/>
    </row>
    <row r="2924" spans="1:13" ht="15" customHeight="1" outlineLevel="1" x14ac:dyDescent="0.25">
      <c r="A2924" s="148"/>
      <c r="B2924" s="148"/>
      <c r="C2924" s="148"/>
      <c r="D2924" s="137">
        <f>D2906</f>
        <v>43461</v>
      </c>
      <c r="E2924" s="137" t="str">
        <f>E2906</f>
        <v>674-п</v>
      </c>
      <c r="F2924" s="50">
        <v>43466</v>
      </c>
      <c r="G2924" s="50">
        <v>43646</v>
      </c>
      <c r="H2924" s="149"/>
      <c r="I2924" s="119" t="s">
        <v>23</v>
      </c>
      <c r="J2924" s="119" t="s">
        <v>23</v>
      </c>
      <c r="K2924" s="13">
        <v>10.606779661016949</v>
      </c>
      <c r="L2924" s="13">
        <v>1874.28</v>
      </c>
      <c r="M2924" s="196" t="s">
        <v>420</v>
      </c>
    </row>
    <row r="2925" spans="1:13" ht="15" customHeight="1" outlineLevel="1" x14ac:dyDescent="0.25">
      <c r="A2925" s="148"/>
      <c r="B2925" s="148"/>
      <c r="C2925" s="148"/>
      <c r="D2925" s="138"/>
      <c r="E2925" s="138"/>
      <c r="F2925" s="50">
        <v>43647</v>
      </c>
      <c r="G2925" s="50">
        <v>43830</v>
      </c>
      <c r="H2925" s="150"/>
      <c r="I2925" s="119" t="s">
        <v>23</v>
      </c>
      <c r="J2925" s="119" t="s">
        <v>23</v>
      </c>
      <c r="K2925" s="13">
        <v>10.82</v>
      </c>
      <c r="L2925" s="13">
        <v>1911.74</v>
      </c>
      <c r="M2925" s="198"/>
    </row>
    <row r="2926" spans="1:13" ht="15" customHeight="1" outlineLevel="1" x14ac:dyDescent="0.25">
      <c r="A2926" s="148"/>
      <c r="B2926" s="148"/>
      <c r="C2926" s="148"/>
      <c r="D2926" s="138"/>
      <c r="E2926" s="138"/>
      <c r="F2926" s="50">
        <v>43466</v>
      </c>
      <c r="G2926" s="50">
        <v>43646</v>
      </c>
      <c r="H2926" s="150"/>
      <c r="I2926" s="119" t="s">
        <v>23</v>
      </c>
      <c r="J2926" s="119" t="s">
        <v>23</v>
      </c>
      <c r="K2926" s="13">
        <v>10.606779661016949</v>
      </c>
      <c r="L2926" s="13">
        <v>2052.7800000000002</v>
      </c>
      <c r="M2926" s="196" t="s">
        <v>421</v>
      </c>
    </row>
    <row r="2927" spans="1:13" ht="15" customHeight="1" outlineLevel="1" x14ac:dyDescent="0.25">
      <c r="A2927" s="148"/>
      <c r="B2927" s="148"/>
      <c r="C2927" s="148"/>
      <c r="D2927" s="138"/>
      <c r="E2927" s="138"/>
      <c r="F2927" s="50">
        <v>43647</v>
      </c>
      <c r="G2927" s="50">
        <v>43830</v>
      </c>
      <c r="H2927" s="150"/>
      <c r="I2927" s="119" t="s">
        <v>23</v>
      </c>
      <c r="J2927" s="119" t="s">
        <v>23</v>
      </c>
      <c r="K2927" s="13">
        <v>10.82</v>
      </c>
      <c r="L2927" s="13">
        <v>2093.81</v>
      </c>
      <c r="M2927" s="198"/>
    </row>
    <row r="2928" spans="1:13" ht="15" customHeight="1" outlineLevel="1" x14ac:dyDescent="0.25">
      <c r="A2928" s="148"/>
      <c r="B2928" s="148"/>
      <c r="C2928" s="148"/>
      <c r="D2928" s="138"/>
      <c r="E2928" s="138"/>
      <c r="F2928" s="50">
        <v>43466</v>
      </c>
      <c r="G2928" s="50">
        <v>43646</v>
      </c>
      <c r="H2928" s="150"/>
      <c r="I2928" s="119" t="s">
        <v>23</v>
      </c>
      <c r="J2928" s="119" t="s">
        <v>23</v>
      </c>
      <c r="K2928" s="13">
        <v>10.606779661016949</v>
      </c>
      <c r="L2928" s="13">
        <v>1747.64</v>
      </c>
      <c r="M2928" s="196" t="s">
        <v>422</v>
      </c>
    </row>
    <row r="2929" spans="1:13" ht="15" customHeight="1" outlineLevel="1" x14ac:dyDescent="0.25">
      <c r="A2929" s="148"/>
      <c r="B2929" s="148"/>
      <c r="C2929" s="148"/>
      <c r="D2929" s="138"/>
      <c r="E2929" s="138"/>
      <c r="F2929" s="50">
        <v>43647</v>
      </c>
      <c r="G2929" s="50">
        <v>43830</v>
      </c>
      <c r="H2929" s="150"/>
      <c r="I2929" s="119" t="s">
        <v>23</v>
      </c>
      <c r="J2929" s="119" t="s">
        <v>23</v>
      </c>
      <c r="K2929" s="13">
        <v>10.82</v>
      </c>
      <c r="L2929" s="13">
        <v>1782.57</v>
      </c>
      <c r="M2929" s="198"/>
    </row>
    <row r="2930" spans="1:13" ht="15" customHeight="1" outlineLevel="1" x14ac:dyDescent="0.25">
      <c r="A2930" s="148"/>
      <c r="B2930" s="148"/>
      <c r="C2930" s="148"/>
      <c r="D2930" s="138"/>
      <c r="E2930" s="138"/>
      <c r="F2930" s="50">
        <v>43466</v>
      </c>
      <c r="G2930" s="50">
        <v>43646</v>
      </c>
      <c r="H2930" s="150"/>
      <c r="I2930" s="119" t="s">
        <v>23</v>
      </c>
      <c r="J2930" s="119" t="s">
        <v>23</v>
      </c>
      <c r="K2930" s="13">
        <v>10.606779661016949</v>
      </c>
      <c r="L2930" s="13">
        <v>1874.28</v>
      </c>
      <c r="M2930" s="196" t="s">
        <v>423</v>
      </c>
    </row>
    <row r="2931" spans="1:13" ht="15" customHeight="1" outlineLevel="1" x14ac:dyDescent="0.25">
      <c r="A2931" s="148"/>
      <c r="B2931" s="148"/>
      <c r="C2931" s="148"/>
      <c r="D2931" s="138"/>
      <c r="E2931" s="138"/>
      <c r="F2931" s="50">
        <v>43647</v>
      </c>
      <c r="G2931" s="50">
        <v>43830</v>
      </c>
      <c r="H2931" s="150"/>
      <c r="I2931" s="119" t="s">
        <v>23</v>
      </c>
      <c r="J2931" s="119" t="s">
        <v>23</v>
      </c>
      <c r="K2931" s="13">
        <v>10.82</v>
      </c>
      <c r="L2931" s="13">
        <v>1911.74</v>
      </c>
      <c r="M2931" s="198"/>
    </row>
    <row r="2932" spans="1:13" ht="15" customHeight="1" outlineLevel="1" x14ac:dyDescent="0.25">
      <c r="A2932" s="148"/>
      <c r="B2932" s="148"/>
      <c r="C2932" s="148"/>
      <c r="D2932" s="138"/>
      <c r="E2932" s="138"/>
      <c r="F2932" s="50">
        <v>43466</v>
      </c>
      <c r="G2932" s="50">
        <v>43646</v>
      </c>
      <c r="H2932" s="150"/>
      <c r="I2932" s="119" t="s">
        <v>23</v>
      </c>
      <c r="J2932" s="119" t="s">
        <v>23</v>
      </c>
      <c r="K2932" s="13">
        <v>10.606779661016949</v>
      </c>
      <c r="L2932" s="13">
        <v>1959.48</v>
      </c>
      <c r="M2932" s="196" t="s">
        <v>424</v>
      </c>
    </row>
    <row r="2933" spans="1:13" ht="15" customHeight="1" outlineLevel="1" x14ac:dyDescent="0.25">
      <c r="A2933" s="148"/>
      <c r="B2933" s="148"/>
      <c r="C2933" s="148"/>
      <c r="D2933" s="138"/>
      <c r="E2933" s="138"/>
      <c r="F2933" s="50">
        <v>43647</v>
      </c>
      <c r="G2933" s="50">
        <v>43830</v>
      </c>
      <c r="H2933" s="150"/>
      <c r="I2933" s="119" t="s">
        <v>23</v>
      </c>
      <c r="J2933" s="119" t="s">
        <v>23</v>
      </c>
      <c r="K2933" s="13">
        <v>10.82</v>
      </c>
      <c r="L2933" s="13">
        <v>1998.64</v>
      </c>
      <c r="M2933" s="198"/>
    </row>
    <row r="2934" spans="1:13" ht="15" customHeight="1" outlineLevel="1" x14ac:dyDescent="0.25">
      <c r="A2934" s="148"/>
      <c r="B2934" s="148"/>
      <c r="C2934" s="148"/>
      <c r="D2934" s="138"/>
      <c r="E2934" s="138"/>
      <c r="F2934" s="50">
        <v>43466</v>
      </c>
      <c r="G2934" s="50">
        <v>43646</v>
      </c>
      <c r="H2934" s="150"/>
      <c r="I2934" s="119" t="s">
        <v>23</v>
      </c>
      <c r="J2934" s="119" t="s">
        <v>23</v>
      </c>
      <c r="K2934" s="13">
        <v>10.606779661016949</v>
      </c>
      <c r="L2934" s="13">
        <v>2120.08</v>
      </c>
      <c r="M2934" s="196" t="s">
        <v>425</v>
      </c>
    </row>
    <row r="2935" spans="1:13" ht="15" customHeight="1" outlineLevel="1" x14ac:dyDescent="0.25">
      <c r="A2935" s="148"/>
      <c r="B2935" s="148"/>
      <c r="C2935" s="148"/>
      <c r="D2935" s="138"/>
      <c r="E2935" s="138"/>
      <c r="F2935" s="50">
        <v>43647</v>
      </c>
      <c r="G2935" s="50">
        <v>43830</v>
      </c>
      <c r="H2935" s="150"/>
      <c r="I2935" s="119" t="s">
        <v>23</v>
      </c>
      <c r="J2935" s="119" t="s">
        <v>23</v>
      </c>
      <c r="K2935" s="13">
        <v>10.82</v>
      </c>
      <c r="L2935" s="13">
        <v>2162.46</v>
      </c>
      <c r="M2935" s="198"/>
    </row>
    <row r="2936" spans="1:13" ht="15" customHeight="1" outlineLevel="1" x14ac:dyDescent="0.25">
      <c r="A2936" s="148"/>
      <c r="B2936" s="148"/>
      <c r="C2936" s="148"/>
      <c r="D2936" s="138"/>
      <c r="E2936" s="138"/>
      <c r="F2936" s="50">
        <v>43466</v>
      </c>
      <c r="G2936" s="50">
        <v>43646</v>
      </c>
      <c r="H2936" s="150"/>
      <c r="I2936" s="119" t="s">
        <v>23</v>
      </c>
      <c r="J2936" s="119" t="s">
        <v>23</v>
      </c>
      <c r="K2936" s="13">
        <v>10.606779661016949</v>
      </c>
      <c r="L2936" s="13">
        <v>1796.19</v>
      </c>
      <c r="M2936" s="196" t="s">
        <v>426</v>
      </c>
    </row>
    <row r="2937" spans="1:13" ht="15" customHeight="1" outlineLevel="1" x14ac:dyDescent="0.25">
      <c r="A2937" s="148"/>
      <c r="B2937" s="148"/>
      <c r="C2937" s="148"/>
      <c r="D2937" s="138"/>
      <c r="E2937" s="138"/>
      <c r="F2937" s="50">
        <v>43647</v>
      </c>
      <c r="G2937" s="50">
        <v>43830</v>
      </c>
      <c r="H2937" s="150"/>
      <c r="I2937" s="119" t="s">
        <v>23</v>
      </c>
      <c r="J2937" s="119" t="s">
        <v>23</v>
      </c>
      <c r="K2937" s="13">
        <v>10.82</v>
      </c>
      <c r="L2937" s="13">
        <v>1832.08</v>
      </c>
      <c r="M2937" s="198"/>
    </row>
    <row r="2938" spans="1:13" ht="15" customHeight="1" outlineLevel="1" x14ac:dyDescent="0.25">
      <c r="A2938" s="148"/>
      <c r="B2938" s="148"/>
      <c r="C2938" s="148"/>
      <c r="D2938" s="138"/>
      <c r="E2938" s="138"/>
      <c r="F2938" s="50">
        <v>43466</v>
      </c>
      <c r="G2938" s="50">
        <v>43646</v>
      </c>
      <c r="H2938" s="150"/>
      <c r="I2938" s="119" t="s">
        <v>23</v>
      </c>
      <c r="J2938" s="119" t="s">
        <v>23</v>
      </c>
      <c r="K2938" s="13">
        <v>10.606779661016949</v>
      </c>
      <c r="L2938" s="13">
        <v>1959.48</v>
      </c>
      <c r="M2938" s="196" t="s">
        <v>427</v>
      </c>
    </row>
    <row r="2939" spans="1:13" ht="15" customHeight="1" outlineLevel="1" x14ac:dyDescent="0.25">
      <c r="A2939" s="147"/>
      <c r="B2939" s="147"/>
      <c r="C2939" s="147"/>
      <c r="D2939" s="141"/>
      <c r="E2939" s="141"/>
      <c r="F2939" s="50">
        <v>43647</v>
      </c>
      <c r="G2939" s="50">
        <v>43830</v>
      </c>
      <c r="H2939" s="151"/>
      <c r="I2939" s="119" t="s">
        <v>23</v>
      </c>
      <c r="J2939" s="119" t="s">
        <v>23</v>
      </c>
      <c r="K2939" s="13">
        <v>10.82</v>
      </c>
      <c r="L2939" s="13">
        <v>1998.64</v>
      </c>
      <c r="M2939" s="198"/>
    </row>
    <row r="2940" spans="1:13" ht="15" customHeight="1" outlineLevel="1" x14ac:dyDescent="0.25">
      <c r="A2940" s="146" t="s">
        <v>46</v>
      </c>
      <c r="B2940" s="146" t="s">
        <v>47</v>
      </c>
      <c r="C2940" s="146" t="s">
        <v>139</v>
      </c>
      <c r="D2940" s="137">
        <v>43448</v>
      </c>
      <c r="E2940" s="137" t="s">
        <v>730</v>
      </c>
      <c r="F2940" s="12">
        <v>43466</v>
      </c>
      <c r="G2940" s="12">
        <v>43646</v>
      </c>
      <c r="H2940" s="149"/>
      <c r="I2940" s="66">
        <v>25.49</v>
      </c>
      <c r="J2940" s="13">
        <v>3204.02</v>
      </c>
      <c r="K2940" s="119" t="s">
        <v>23</v>
      </c>
      <c r="L2940" s="119" t="s">
        <v>23</v>
      </c>
      <c r="M2940" s="153"/>
    </row>
    <row r="2941" spans="1:13" ht="15" customHeight="1" outlineLevel="1" x14ac:dyDescent="0.25">
      <c r="A2941" s="148"/>
      <c r="B2941" s="148"/>
      <c r="C2941" s="148"/>
      <c r="D2941" s="141"/>
      <c r="E2941" s="141"/>
      <c r="F2941" s="12">
        <v>43647</v>
      </c>
      <c r="G2941" s="12">
        <v>43830</v>
      </c>
      <c r="H2941" s="151"/>
      <c r="I2941" s="66">
        <v>26.66</v>
      </c>
      <c r="J2941" s="13">
        <v>3204.1</v>
      </c>
      <c r="K2941" s="119" t="s">
        <v>23</v>
      </c>
      <c r="L2941" s="119" t="s">
        <v>23</v>
      </c>
      <c r="M2941" s="152"/>
    </row>
    <row r="2942" spans="1:13" ht="15" customHeight="1" outlineLevel="1" x14ac:dyDescent="0.25">
      <c r="A2942" s="148"/>
      <c r="B2942" s="148"/>
      <c r="C2942" s="148"/>
      <c r="D2942" s="137">
        <f>D2924</f>
        <v>43461</v>
      </c>
      <c r="E2942" s="137" t="str">
        <f>E2924</f>
        <v>674-п</v>
      </c>
      <c r="F2942" s="50">
        <v>43466</v>
      </c>
      <c r="G2942" s="50">
        <v>43646</v>
      </c>
      <c r="H2942" s="149"/>
      <c r="I2942" s="119" t="s">
        <v>23</v>
      </c>
      <c r="J2942" s="119" t="s">
        <v>23</v>
      </c>
      <c r="K2942" s="13">
        <v>15.2</v>
      </c>
      <c r="L2942" s="13">
        <v>1808.55</v>
      </c>
      <c r="M2942" s="196" t="s">
        <v>420</v>
      </c>
    </row>
    <row r="2943" spans="1:13" ht="15" customHeight="1" outlineLevel="1" x14ac:dyDescent="0.25">
      <c r="A2943" s="148"/>
      <c r="B2943" s="148"/>
      <c r="C2943" s="148"/>
      <c r="D2943" s="138"/>
      <c r="E2943" s="138"/>
      <c r="F2943" s="50">
        <v>43647</v>
      </c>
      <c r="G2943" s="50">
        <v>43830</v>
      </c>
      <c r="H2943" s="150"/>
      <c r="I2943" s="119" t="s">
        <v>23</v>
      </c>
      <c r="J2943" s="119" t="s">
        <v>23</v>
      </c>
      <c r="K2943" s="13">
        <v>15.5</v>
      </c>
      <c r="L2943" s="13">
        <v>1844.78</v>
      </c>
      <c r="M2943" s="198"/>
    </row>
    <row r="2944" spans="1:13" ht="15" customHeight="1" outlineLevel="1" x14ac:dyDescent="0.25">
      <c r="A2944" s="148"/>
      <c r="B2944" s="148"/>
      <c r="C2944" s="148"/>
      <c r="D2944" s="138"/>
      <c r="E2944" s="138"/>
      <c r="F2944" s="50">
        <v>43466</v>
      </c>
      <c r="G2944" s="50">
        <v>43646</v>
      </c>
      <c r="H2944" s="150"/>
      <c r="I2944" s="119" t="s">
        <v>23</v>
      </c>
      <c r="J2944" s="119" t="s">
        <v>23</v>
      </c>
      <c r="K2944" s="13">
        <v>15.2</v>
      </c>
      <c r="L2944" s="13">
        <v>1980.79</v>
      </c>
      <c r="M2944" s="196" t="s">
        <v>421</v>
      </c>
    </row>
    <row r="2945" spans="1:13" ht="15" customHeight="1" outlineLevel="1" x14ac:dyDescent="0.25">
      <c r="A2945" s="148"/>
      <c r="B2945" s="148"/>
      <c r="C2945" s="148"/>
      <c r="D2945" s="138"/>
      <c r="E2945" s="138"/>
      <c r="F2945" s="50">
        <v>43647</v>
      </c>
      <c r="G2945" s="50">
        <v>43830</v>
      </c>
      <c r="H2945" s="150"/>
      <c r="I2945" s="119" t="s">
        <v>23</v>
      </c>
      <c r="J2945" s="119" t="s">
        <v>23</v>
      </c>
      <c r="K2945" s="13">
        <v>15.5</v>
      </c>
      <c r="L2945" s="13">
        <v>2020.48</v>
      </c>
      <c r="M2945" s="198"/>
    </row>
    <row r="2946" spans="1:13" ht="15" customHeight="1" outlineLevel="1" x14ac:dyDescent="0.25">
      <c r="A2946" s="148"/>
      <c r="B2946" s="148"/>
      <c r="C2946" s="148"/>
      <c r="D2946" s="138"/>
      <c r="E2946" s="138"/>
      <c r="F2946" s="50">
        <v>43466</v>
      </c>
      <c r="G2946" s="50">
        <v>43646</v>
      </c>
      <c r="H2946" s="150"/>
      <c r="I2946" s="119" t="s">
        <v>23</v>
      </c>
      <c r="J2946" s="119" t="s">
        <v>23</v>
      </c>
      <c r="K2946" s="13">
        <v>15.2</v>
      </c>
      <c r="L2946" s="13">
        <v>1686.35</v>
      </c>
      <c r="M2946" s="196" t="s">
        <v>422</v>
      </c>
    </row>
    <row r="2947" spans="1:13" ht="15" customHeight="1" outlineLevel="1" x14ac:dyDescent="0.25">
      <c r="A2947" s="148"/>
      <c r="B2947" s="148"/>
      <c r="C2947" s="148"/>
      <c r="D2947" s="138"/>
      <c r="E2947" s="138"/>
      <c r="F2947" s="50">
        <v>43647</v>
      </c>
      <c r="G2947" s="50">
        <v>43830</v>
      </c>
      <c r="H2947" s="150"/>
      <c r="I2947" s="119" t="s">
        <v>23</v>
      </c>
      <c r="J2947" s="119" t="s">
        <v>23</v>
      </c>
      <c r="K2947" s="13">
        <v>15.5</v>
      </c>
      <c r="L2947" s="13">
        <v>1720.14</v>
      </c>
      <c r="M2947" s="198"/>
    </row>
    <row r="2948" spans="1:13" ht="15" customHeight="1" outlineLevel="1" x14ac:dyDescent="0.25">
      <c r="A2948" s="148"/>
      <c r="B2948" s="148"/>
      <c r="C2948" s="148"/>
      <c r="D2948" s="138"/>
      <c r="E2948" s="138"/>
      <c r="F2948" s="50">
        <v>43466</v>
      </c>
      <c r="G2948" s="50">
        <v>43646</v>
      </c>
      <c r="H2948" s="150"/>
      <c r="I2948" s="119" t="s">
        <v>23</v>
      </c>
      <c r="J2948" s="119" t="s">
        <v>23</v>
      </c>
      <c r="K2948" s="13">
        <v>15.2</v>
      </c>
      <c r="L2948" s="13">
        <v>1808.55</v>
      </c>
      <c r="M2948" s="196" t="s">
        <v>423</v>
      </c>
    </row>
    <row r="2949" spans="1:13" ht="15" customHeight="1" outlineLevel="1" x14ac:dyDescent="0.25">
      <c r="A2949" s="148"/>
      <c r="B2949" s="148"/>
      <c r="C2949" s="148"/>
      <c r="D2949" s="138"/>
      <c r="E2949" s="138"/>
      <c r="F2949" s="50">
        <v>43647</v>
      </c>
      <c r="G2949" s="50">
        <v>43830</v>
      </c>
      <c r="H2949" s="150"/>
      <c r="I2949" s="119" t="s">
        <v>23</v>
      </c>
      <c r="J2949" s="119" t="s">
        <v>23</v>
      </c>
      <c r="K2949" s="13">
        <v>15.5</v>
      </c>
      <c r="L2949" s="13">
        <v>1844.78</v>
      </c>
      <c r="M2949" s="198"/>
    </row>
    <row r="2950" spans="1:13" ht="15" customHeight="1" outlineLevel="1" x14ac:dyDescent="0.25">
      <c r="A2950" s="148"/>
      <c r="B2950" s="148"/>
      <c r="C2950" s="148"/>
      <c r="D2950" s="138"/>
      <c r="E2950" s="138"/>
      <c r="F2950" s="50">
        <v>43466</v>
      </c>
      <c r="G2950" s="50">
        <v>43646</v>
      </c>
      <c r="H2950" s="150"/>
      <c r="I2950" s="119" t="s">
        <v>23</v>
      </c>
      <c r="J2950" s="119" t="s">
        <v>23</v>
      </c>
      <c r="K2950" s="13">
        <v>15.2</v>
      </c>
      <c r="L2950" s="13">
        <v>1890.75</v>
      </c>
      <c r="M2950" s="196" t="s">
        <v>424</v>
      </c>
    </row>
    <row r="2951" spans="1:13" ht="15" customHeight="1" outlineLevel="1" x14ac:dyDescent="0.25">
      <c r="A2951" s="148"/>
      <c r="B2951" s="148"/>
      <c r="C2951" s="148"/>
      <c r="D2951" s="138"/>
      <c r="E2951" s="138"/>
      <c r="F2951" s="50">
        <v>43647</v>
      </c>
      <c r="G2951" s="50">
        <v>43830</v>
      </c>
      <c r="H2951" s="150"/>
      <c r="I2951" s="119" t="s">
        <v>23</v>
      </c>
      <c r="J2951" s="119" t="s">
        <v>23</v>
      </c>
      <c r="K2951" s="13">
        <v>15.5</v>
      </c>
      <c r="L2951" s="13">
        <v>1928.64</v>
      </c>
      <c r="M2951" s="198"/>
    </row>
    <row r="2952" spans="1:13" ht="15" customHeight="1" outlineLevel="1" x14ac:dyDescent="0.25">
      <c r="A2952" s="148"/>
      <c r="B2952" s="148"/>
      <c r="C2952" s="148"/>
      <c r="D2952" s="138"/>
      <c r="E2952" s="138"/>
      <c r="F2952" s="50">
        <v>43466</v>
      </c>
      <c r="G2952" s="50">
        <v>43646</v>
      </c>
      <c r="H2952" s="150"/>
      <c r="I2952" s="119" t="s">
        <v>23</v>
      </c>
      <c r="J2952" s="119" t="s">
        <v>23</v>
      </c>
      <c r="K2952" s="13">
        <v>15.2</v>
      </c>
      <c r="L2952" s="13">
        <v>2045.74</v>
      </c>
      <c r="M2952" s="196" t="s">
        <v>425</v>
      </c>
    </row>
    <row r="2953" spans="1:13" ht="15" customHeight="1" outlineLevel="1" x14ac:dyDescent="0.25">
      <c r="A2953" s="148"/>
      <c r="B2953" s="148"/>
      <c r="C2953" s="148"/>
      <c r="D2953" s="138"/>
      <c r="E2953" s="138"/>
      <c r="F2953" s="50">
        <v>43647</v>
      </c>
      <c r="G2953" s="50">
        <v>43830</v>
      </c>
      <c r="H2953" s="150"/>
      <c r="I2953" s="119" t="s">
        <v>23</v>
      </c>
      <c r="J2953" s="119" t="s">
        <v>23</v>
      </c>
      <c r="K2953" s="13">
        <v>15.5</v>
      </c>
      <c r="L2953" s="13">
        <v>2086.7199999999998</v>
      </c>
      <c r="M2953" s="198"/>
    </row>
    <row r="2954" spans="1:13" ht="15" customHeight="1" outlineLevel="1" x14ac:dyDescent="0.25">
      <c r="A2954" s="148"/>
      <c r="B2954" s="148"/>
      <c r="C2954" s="148"/>
      <c r="D2954" s="138"/>
      <c r="E2954" s="138"/>
      <c r="F2954" s="50">
        <v>43466</v>
      </c>
      <c r="G2954" s="50">
        <v>43646</v>
      </c>
      <c r="H2954" s="150"/>
      <c r="I2954" s="119" t="s">
        <v>23</v>
      </c>
      <c r="J2954" s="119" t="s">
        <v>23</v>
      </c>
      <c r="K2954" s="13">
        <v>15.2</v>
      </c>
      <c r="L2954" s="13">
        <v>1733.2</v>
      </c>
      <c r="M2954" s="196" t="s">
        <v>426</v>
      </c>
    </row>
    <row r="2955" spans="1:13" ht="15" customHeight="1" outlineLevel="1" x14ac:dyDescent="0.25">
      <c r="A2955" s="148"/>
      <c r="B2955" s="148"/>
      <c r="C2955" s="148"/>
      <c r="D2955" s="138"/>
      <c r="E2955" s="138"/>
      <c r="F2955" s="50">
        <v>43647</v>
      </c>
      <c r="G2955" s="50">
        <v>43830</v>
      </c>
      <c r="H2955" s="150"/>
      <c r="I2955" s="119" t="s">
        <v>23</v>
      </c>
      <c r="J2955" s="119" t="s">
        <v>23</v>
      </c>
      <c r="K2955" s="13">
        <v>15.5</v>
      </c>
      <c r="L2955" s="13">
        <v>1767.92</v>
      </c>
      <c r="M2955" s="198"/>
    </row>
    <row r="2956" spans="1:13" ht="15" customHeight="1" outlineLevel="1" x14ac:dyDescent="0.25">
      <c r="A2956" s="148"/>
      <c r="B2956" s="148"/>
      <c r="C2956" s="148"/>
      <c r="D2956" s="138"/>
      <c r="E2956" s="138"/>
      <c r="F2956" s="50">
        <v>43466</v>
      </c>
      <c r="G2956" s="50">
        <v>43646</v>
      </c>
      <c r="H2956" s="150"/>
      <c r="I2956" s="119" t="s">
        <v>23</v>
      </c>
      <c r="J2956" s="119" t="s">
        <v>23</v>
      </c>
      <c r="K2956" s="13">
        <v>15.2</v>
      </c>
      <c r="L2956" s="13">
        <v>1890.75</v>
      </c>
      <c r="M2956" s="196" t="s">
        <v>427</v>
      </c>
    </row>
    <row r="2957" spans="1:13" ht="15" customHeight="1" outlineLevel="1" x14ac:dyDescent="0.25">
      <c r="A2957" s="147"/>
      <c r="B2957" s="147"/>
      <c r="C2957" s="147"/>
      <c r="D2957" s="141"/>
      <c r="E2957" s="141"/>
      <c r="F2957" s="50">
        <v>43647</v>
      </c>
      <c r="G2957" s="50">
        <v>43830</v>
      </c>
      <c r="H2957" s="151"/>
      <c r="I2957" s="119" t="s">
        <v>23</v>
      </c>
      <c r="J2957" s="119" t="s">
        <v>23</v>
      </c>
      <c r="K2957" s="13">
        <v>15.5</v>
      </c>
      <c r="L2957" s="13">
        <v>1928.64</v>
      </c>
      <c r="M2957" s="198"/>
    </row>
    <row r="2958" spans="1:13" ht="15" customHeight="1" outlineLevel="1" x14ac:dyDescent="0.25">
      <c r="A2958" s="146" t="s">
        <v>46</v>
      </c>
      <c r="B2958" s="146" t="s">
        <v>47</v>
      </c>
      <c r="C2958" s="146" t="s">
        <v>33</v>
      </c>
      <c r="D2958" s="156">
        <v>43448</v>
      </c>
      <c r="E2958" s="156" t="s">
        <v>729</v>
      </c>
      <c r="F2958" s="12">
        <v>43466</v>
      </c>
      <c r="G2958" s="12">
        <v>43646</v>
      </c>
      <c r="H2958" s="149"/>
      <c r="I2958" s="66">
        <v>25.49</v>
      </c>
      <c r="J2958" s="13">
        <v>2746.64</v>
      </c>
      <c r="K2958" s="119" t="s">
        <v>23</v>
      </c>
      <c r="L2958" s="119" t="s">
        <v>23</v>
      </c>
      <c r="M2958" s="153"/>
    </row>
    <row r="2959" spans="1:13" ht="15" customHeight="1" outlineLevel="1" x14ac:dyDescent="0.25">
      <c r="A2959" s="148"/>
      <c r="B2959" s="148"/>
      <c r="C2959" s="148"/>
      <c r="D2959" s="156"/>
      <c r="E2959" s="156"/>
      <c r="F2959" s="12">
        <v>43647</v>
      </c>
      <c r="G2959" s="12">
        <v>43830</v>
      </c>
      <c r="H2959" s="151"/>
      <c r="I2959" s="66">
        <v>26.66</v>
      </c>
      <c r="J2959" s="13">
        <v>3041.62</v>
      </c>
      <c r="K2959" s="119" t="s">
        <v>23</v>
      </c>
      <c r="L2959" s="119" t="s">
        <v>23</v>
      </c>
      <c r="M2959" s="152"/>
    </row>
    <row r="2960" spans="1:13" ht="15" customHeight="1" outlineLevel="1" x14ac:dyDescent="0.25">
      <c r="A2960" s="148"/>
      <c r="B2960" s="148"/>
      <c r="C2960" s="148"/>
      <c r="D2960" s="137">
        <f>D2942</f>
        <v>43461</v>
      </c>
      <c r="E2960" s="137" t="str">
        <f>E2942</f>
        <v>674-п</v>
      </c>
      <c r="F2960" s="50">
        <v>43466</v>
      </c>
      <c r="G2960" s="50">
        <v>43646</v>
      </c>
      <c r="H2960" s="149"/>
      <c r="I2960" s="119" t="s">
        <v>23</v>
      </c>
      <c r="J2960" s="119" t="s">
        <v>23</v>
      </c>
      <c r="K2960" s="13">
        <v>17.43</v>
      </c>
      <c r="L2960" s="13">
        <v>1775.39</v>
      </c>
      <c r="M2960" s="196" t="s">
        <v>420</v>
      </c>
    </row>
    <row r="2961" spans="1:13" ht="15" customHeight="1" outlineLevel="1" x14ac:dyDescent="0.25">
      <c r="A2961" s="148"/>
      <c r="B2961" s="148"/>
      <c r="C2961" s="148"/>
      <c r="D2961" s="138"/>
      <c r="E2961" s="138"/>
      <c r="F2961" s="50">
        <v>43647</v>
      </c>
      <c r="G2961" s="50">
        <v>43830</v>
      </c>
      <c r="H2961" s="150"/>
      <c r="I2961" s="119" t="s">
        <v>23</v>
      </c>
      <c r="J2961" s="119" t="s">
        <v>23</v>
      </c>
      <c r="K2961" s="13">
        <v>17.78</v>
      </c>
      <c r="L2961" s="13">
        <v>1810.87</v>
      </c>
      <c r="M2961" s="198"/>
    </row>
    <row r="2962" spans="1:13" ht="15" customHeight="1" outlineLevel="1" x14ac:dyDescent="0.25">
      <c r="A2962" s="148"/>
      <c r="B2962" s="148"/>
      <c r="C2962" s="148"/>
      <c r="D2962" s="138"/>
      <c r="E2962" s="138"/>
      <c r="F2962" s="50">
        <v>43466</v>
      </c>
      <c r="G2962" s="50">
        <v>43646</v>
      </c>
      <c r="H2962" s="150"/>
      <c r="I2962" s="119" t="s">
        <v>23</v>
      </c>
      <c r="J2962" s="119" t="s">
        <v>23</v>
      </c>
      <c r="K2962" s="13">
        <v>17.43</v>
      </c>
      <c r="L2962" s="13">
        <v>1944.47</v>
      </c>
      <c r="M2962" s="196" t="s">
        <v>421</v>
      </c>
    </row>
    <row r="2963" spans="1:13" ht="15" customHeight="1" outlineLevel="1" x14ac:dyDescent="0.25">
      <c r="A2963" s="148"/>
      <c r="B2963" s="148"/>
      <c r="C2963" s="148"/>
      <c r="D2963" s="138"/>
      <c r="E2963" s="138"/>
      <c r="F2963" s="50">
        <v>43647</v>
      </c>
      <c r="G2963" s="50">
        <v>43830</v>
      </c>
      <c r="H2963" s="150"/>
      <c r="I2963" s="119" t="s">
        <v>23</v>
      </c>
      <c r="J2963" s="119" t="s">
        <v>23</v>
      </c>
      <c r="K2963" s="13">
        <v>17.78</v>
      </c>
      <c r="L2963" s="13">
        <v>1983.33</v>
      </c>
      <c r="M2963" s="198"/>
    </row>
    <row r="2964" spans="1:13" ht="15" customHeight="1" outlineLevel="1" x14ac:dyDescent="0.25">
      <c r="A2964" s="148"/>
      <c r="B2964" s="148"/>
      <c r="C2964" s="148"/>
      <c r="D2964" s="138"/>
      <c r="E2964" s="138"/>
      <c r="F2964" s="50">
        <v>43466</v>
      </c>
      <c r="G2964" s="50">
        <v>43646</v>
      </c>
      <c r="H2964" s="150"/>
      <c r="I2964" s="119" t="s">
        <v>23</v>
      </c>
      <c r="J2964" s="119" t="s">
        <v>23</v>
      </c>
      <c r="K2964" s="13">
        <v>17.43</v>
      </c>
      <c r="L2964" s="13">
        <v>1655.43</v>
      </c>
      <c r="M2964" s="196" t="s">
        <v>422</v>
      </c>
    </row>
    <row r="2965" spans="1:13" ht="15" customHeight="1" outlineLevel="1" x14ac:dyDescent="0.25">
      <c r="A2965" s="148"/>
      <c r="B2965" s="148"/>
      <c r="C2965" s="148"/>
      <c r="D2965" s="138"/>
      <c r="E2965" s="138"/>
      <c r="F2965" s="50">
        <v>43647</v>
      </c>
      <c r="G2965" s="50">
        <v>43830</v>
      </c>
      <c r="H2965" s="150"/>
      <c r="I2965" s="119" t="s">
        <v>23</v>
      </c>
      <c r="J2965" s="119" t="s">
        <v>23</v>
      </c>
      <c r="K2965" s="13">
        <v>17.78</v>
      </c>
      <c r="L2965" s="13">
        <v>1688.51</v>
      </c>
      <c r="M2965" s="198"/>
    </row>
    <row r="2966" spans="1:13" ht="15" customHeight="1" outlineLevel="1" x14ac:dyDescent="0.25">
      <c r="A2966" s="148"/>
      <c r="B2966" s="148"/>
      <c r="C2966" s="148"/>
      <c r="D2966" s="138"/>
      <c r="E2966" s="138"/>
      <c r="F2966" s="50">
        <v>43466</v>
      </c>
      <c r="G2966" s="50">
        <v>43646</v>
      </c>
      <c r="H2966" s="150"/>
      <c r="I2966" s="119" t="s">
        <v>23</v>
      </c>
      <c r="J2966" s="119" t="s">
        <v>23</v>
      </c>
      <c r="K2966" s="13">
        <v>17.43</v>
      </c>
      <c r="L2966" s="13">
        <v>1775.39</v>
      </c>
      <c r="M2966" s="196" t="s">
        <v>423</v>
      </c>
    </row>
    <row r="2967" spans="1:13" ht="15" customHeight="1" outlineLevel="1" x14ac:dyDescent="0.25">
      <c r="A2967" s="148"/>
      <c r="B2967" s="148"/>
      <c r="C2967" s="148"/>
      <c r="D2967" s="138"/>
      <c r="E2967" s="138"/>
      <c r="F2967" s="50">
        <v>43647</v>
      </c>
      <c r="G2967" s="50">
        <v>43830</v>
      </c>
      <c r="H2967" s="150"/>
      <c r="I2967" s="119" t="s">
        <v>23</v>
      </c>
      <c r="J2967" s="119" t="s">
        <v>23</v>
      </c>
      <c r="K2967" s="13">
        <v>17.78</v>
      </c>
      <c r="L2967" s="13">
        <v>1810.87</v>
      </c>
      <c r="M2967" s="198"/>
    </row>
    <row r="2968" spans="1:13" ht="15" customHeight="1" outlineLevel="1" x14ac:dyDescent="0.25">
      <c r="A2968" s="148"/>
      <c r="B2968" s="148"/>
      <c r="C2968" s="148"/>
      <c r="D2968" s="138"/>
      <c r="E2968" s="138"/>
      <c r="F2968" s="50">
        <v>43466</v>
      </c>
      <c r="G2968" s="50">
        <v>43646</v>
      </c>
      <c r="H2968" s="150"/>
      <c r="I2968" s="119" t="s">
        <v>23</v>
      </c>
      <c r="J2968" s="119" t="s">
        <v>23</v>
      </c>
      <c r="K2968" s="13">
        <v>17.43</v>
      </c>
      <c r="L2968" s="13">
        <v>1856.08</v>
      </c>
      <c r="M2968" s="196" t="s">
        <v>424</v>
      </c>
    </row>
    <row r="2969" spans="1:13" ht="15" customHeight="1" outlineLevel="1" x14ac:dyDescent="0.25">
      <c r="A2969" s="148"/>
      <c r="B2969" s="148"/>
      <c r="C2969" s="148"/>
      <c r="D2969" s="138"/>
      <c r="E2969" s="138"/>
      <c r="F2969" s="50">
        <v>43647</v>
      </c>
      <c r="G2969" s="50">
        <v>43830</v>
      </c>
      <c r="H2969" s="150"/>
      <c r="I2969" s="119" t="s">
        <v>23</v>
      </c>
      <c r="J2969" s="119" t="s">
        <v>23</v>
      </c>
      <c r="K2969" s="13">
        <v>17.78</v>
      </c>
      <c r="L2969" s="13">
        <v>1893.18</v>
      </c>
      <c r="M2969" s="198"/>
    </row>
    <row r="2970" spans="1:13" ht="15" customHeight="1" outlineLevel="1" x14ac:dyDescent="0.25">
      <c r="A2970" s="148"/>
      <c r="B2970" s="148"/>
      <c r="C2970" s="148"/>
      <c r="D2970" s="138"/>
      <c r="E2970" s="138"/>
      <c r="F2970" s="50">
        <v>43466</v>
      </c>
      <c r="G2970" s="50">
        <v>43646</v>
      </c>
      <c r="H2970" s="150"/>
      <c r="I2970" s="119" t="s">
        <v>23</v>
      </c>
      <c r="J2970" s="119" t="s">
        <v>23</v>
      </c>
      <c r="K2970" s="13">
        <v>17.43</v>
      </c>
      <c r="L2970" s="13">
        <v>2008.22</v>
      </c>
      <c r="M2970" s="196" t="s">
        <v>425</v>
      </c>
    </row>
    <row r="2971" spans="1:13" ht="15" customHeight="1" outlineLevel="1" x14ac:dyDescent="0.25">
      <c r="A2971" s="148"/>
      <c r="B2971" s="148"/>
      <c r="C2971" s="148"/>
      <c r="D2971" s="138"/>
      <c r="E2971" s="138"/>
      <c r="F2971" s="50">
        <v>43647</v>
      </c>
      <c r="G2971" s="50">
        <v>43830</v>
      </c>
      <c r="H2971" s="150"/>
      <c r="I2971" s="119" t="s">
        <v>23</v>
      </c>
      <c r="J2971" s="119" t="s">
        <v>23</v>
      </c>
      <c r="K2971" s="13">
        <v>17.78</v>
      </c>
      <c r="L2971" s="13">
        <v>2048.36</v>
      </c>
      <c r="M2971" s="198"/>
    </row>
    <row r="2972" spans="1:13" ht="15" customHeight="1" outlineLevel="1" x14ac:dyDescent="0.25">
      <c r="A2972" s="148"/>
      <c r="B2972" s="148"/>
      <c r="C2972" s="148"/>
      <c r="D2972" s="138"/>
      <c r="E2972" s="138"/>
      <c r="F2972" s="50">
        <v>43466</v>
      </c>
      <c r="G2972" s="50">
        <v>43646</v>
      </c>
      <c r="H2972" s="150"/>
      <c r="I2972" s="119" t="s">
        <v>23</v>
      </c>
      <c r="J2972" s="119" t="s">
        <v>23</v>
      </c>
      <c r="K2972" s="13">
        <v>17.43</v>
      </c>
      <c r="L2972" s="13">
        <v>1701.42</v>
      </c>
      <c r="M2972" s="196" t="s">
        <v>426</v>
      </c>
    </row>
    <row r="2973" spans="1:13" ht="15" customHeight="1" outlineLevel="1" x14ac:dyDescent="0.25">
      <c r="A2973" s="148"/>
      <c r="B2973" s="148"/>
      <c r="C2973" s="148"/>
      <c r="D2973" s="138"/>
      <c r="E2973" s="138"/>
      <c r="F2973" s="50">
        <v>43647</v>
      </c>
      <c r="G2973" s="50">
        <v>43830</v>
      </c>
      <c r="H2973" s="150"/>
      <c r="I2973" s="119" t="s">
        <v>23</v>
      </c>
      <c r="J2973" s="119" t="s">
        <v>23</v>
      </c>
      <c r="K2973" s="13">
        <v>17.78</v>
      </c>
      <c r="L2973" s="13">
        <v>1735.42</v>
      </c>
      <c r="M2973" s="198"/>
    </row>
    <row r="2974" spans="1:13" ht="15" customHeight="1" outlineLevel="1" x14ac:dyDescent="0.25">
      <c r="A2974" s="148"/>
      <c r="B2974" s="148"/>
      <c r="C2974" s="148"/>
      <c r="D2974" s="138"/>
      <c r="E2974" s="138"/>
      <c r="F2974" s="50">
        <v>43466</v>
      </c>
      <c r="G2974" s="50">
        <v>43646</v>
      </c>
      <c r="H2974" s="150"/>
      <c r="I2974" s="119" t="s">
        <v>23</v>
      </c>
      <c r="J2974" s="119" t="s">
        <v>23</v>
      </c>
      <c r="K2974" s="13">
        <v>17.43</v>
      </c>
      <c r="L2974" s="13">
        <v>1856.08</v>
      </c>
      <c r="M2974" s="196" t="s">
        <v>427</v>
      </c>
    </row>
    <row r="2975" spans="1:13" ht="15" customHeight="1" outlineLevel="1" x14ac:dyDescent="0.25">
      <c r="A2975" s="147"/>
      <c r="B2975" s="147"/>
      <c r="C2975" s="147"/>
      <c r="D2975" s="141"/>
      <c r="E2975" s="141"/>
      <c r="F2975" s="50">
        <v>43647</v>
      </c>
      <c r="G2975" s="50">
        <v>43830</v>
      </c>
      <c r="H2975" s="151"/>
      <c r="I2975" s="119" t="s">
        <v>23</v>
      </c>
      <c r="J2975" s="119" t="s">
        <v>23</v>
      </c>
      <c r="K2975" s="13">
        <v>17.78</v>
      </c>
      <c r="L2975" s="13">
        <v>1893.18</v>
      </c>
      <c r="M2975" s="198"/>
    </row>
    <row r="2976" spans="1:13" ht="15" customHeight="1" outlineLevel="1" x14ac:dyDescent="0.25">
      <c r="A2976" s="146" t="s">
        <v>46</v>
      </c>
      <c r="B2976" s="146" t="s">
        <v>107</v>
      </c>
      <c r="C2976" s="157" t="s">
        <v>111</v>
      </c>
      <c r="D2976" s="137">
        <v>42723</v>
      </c>
      <c r="E2976" s="137" t="s">
        <v>637</v>
      </c>
      <c r="F2976" s="51">
        <v>43466</v>
      </c>
      <c r="G2976" s="51">
        <v>43646</v>
      </c>
      <c r="H2976" s="142" t="s">
        <v>636</v>
      </c>
      <c r="I2976" s="66">
        <v>13.63</v>
      </c>
      <c r="J2976" s="13">
        <v>1871.72</v>
      </c>
      <c r="K2976" s="15" t="s">
        <v>23</v>
      </c>
      <c r="L2976" s="15" t="s">
        <v>23</v>
      </c>
      <c r="M2976" s="183"/>
    </row>
    <row r="2977" spans="1:13" ht="15" customHeight="1" outlineLevel="1" x14ac:dyDescent="0.25">
      <c r="A2977" s="147"/>
      <c r="B2977" s="147"/>
      <c r="C2977" s="157"/>
      <c r="D2977" s="141"/>
      <c r="E2977" s="141"/>
      <c r="F2977" s="51">
        <v>43647</v>
      </c>
      <c r="G2977" s="51">
        <v>43830</v>
      </c>
      <c r="H2977" s="143"/>
      <c r="I2977" s="66">
        <v>134.99</v>
      </c>
      <c r="J2977" s="13">
        <v>1933.59</v>
      </c>
      <c r="K2977" s="15" t="s">
        <v>23</v>
      </c>
      <c r="L2977" s="15" t="s">
        <v>23</v>
      </c>
      <c r="M2977" s="183"/>
    </row>
    <row r="2978" spans="1:13" ht="15" customHeight="1" outlineLevel="1" x14ac:dyDescent="0.25">
      <c r="A2978" s="146" t="s">
        <v>46</v>
      </c>
      <c r="B2978" s="146" t="s">
        <v>112</v>
      </c>
      <c r="C2978" s="146" t="s">
        <v>111</v>
      </c>
      <c r="D2978" s="137">
        <v>42723</v>
      </c>
      <c r="E2978" s="137" t="s">
        <v>637</v>
      </c>
      <c r="F2978" s="12">
        <v>43466</v>
      </c>
      <c r="G2978" s="12">
        <v>43646</v>
      </c>
      <c r="H2978" s="142" t="s">
        <v>636</v>
      </c>
      <c r="I2978" s="66">
        <v>13.63</v>
      </c>
      <c r="J2978" s="13">
        <v>1871.72</v>
      </c>
      <c r="K2978" s="15" t="s">
        <v>23</v>
      </c>
      <c r="L2978" s="15" t="s">
        <v>23</v>
      </c>
      <c r="M2978" s="153"/>
    </row>
    <row r="2979" spans="1:13" ht="15" customHeight="1" outlineLevel="1" x14ac:dyDescent="0.25">
      <c r="A2979" s="148"/>
      <c r="B2979" s="148"/>
      <c r="C2979" s="148"/>
      <c r="D2979" s="141"/>
      <c r="E2979" s="141"/>
      <c r="F2979" s="12">
        <v>43647</v>
      </c>
      <c r="G2979" s="12">
        <v>43830</v>
      </c>
      <c r="H2979" s="143"/>
      <c r="I2979" s="66">
        <v>134.99</v>
      </c>
      <c r="J2979" s="13">
        <v>1933.59</v>
      </c>
      <c r="K2979" s="15" t="s">
        <v>23</v>
      </c>
      <c r="L2979" s="15" t="s">
        <v>23</v>
      </c>
      <c r="M2979" s="152"/>
    </row>
    <row r="2980" spans="1:13" ht="15" customHeight="1" outlineLevel="1" x14ac:dyDescent="0.25">
      <c r="A2980" s="148"/>
      <c r="B2980" s="148"/>
      <c r="C2980" s="148"/>
      <c r="D2980" s="137">
        <v>43454</v>
      </c>
      <c r="E2980" s="137" t="s">
        <v>638</v>
      </c>
      <c r="F2980" s="50">
        <v>43466</v>
      </c>
      <c r="G2980" s="50">
        <v>43646</v>
      </c>
      <c r="H2980" s="149"/>
      <c r="I2980" s="15" t="s">
        <v>23</v>
      </c>
      <c r="J2980" s="15" t="s">
        <v>23</v>
      </c>
      <c r="K2980" s="13">
        <v>16.350000000000001</v>
      </c>
      <c r="L2980" s="13">
        <v>1846.96</v>
      </c>
      <c r="M2980" s="196" t="s">
        <v>420</v>
      </c>
    </row>
    <row r="2981" spans="1:13" ht="15" customHeight="1" outlineLevel="1" x14ac:dyDescent="0.25">
      <c r="A2981" s="148"/>
      <c r="B2981" s="148"/>
      <c r="C2981" s="148"/>
      <c r="D2981" s="138"/>
      <c r="E2981" s="138"/>
      <c r="F2981" s="50">
        <v>43647</v>
      </c>
      <c r="G2981" s="50">
        <v>43830</v>
      </c>
      <c r="H2981" s="150"/>
      <c r="I2981" s="15" t="s">
        <v>23</v>
      </c>
      <c r="J2981" s="15" t="s">
        <v>23</v>
      </c>
      <c r="K2981" s="13">
        <v>16.68</v>
      </c>
      <c r="L2981" s="13">
        <v>1883.9</v>
      </c>
      <c r="M2981" s="198"/>
    </row>
    <row r="2982" spans="1:13" ht="15" customHeight="1" outlineLevel="1" x14ac:dyDescent="0.25">
      <c r="A2982" s="148"/>
      <c r="B2982" s="148"/>
      <c r="C2982" s="148"/>
      <c r="D2982" s="138"/>
      <c r="E2982" s="138"/>
      <c r="F2982" s="50">
        <v>43466</v>
      </c>
      <c r="G2982" s="50">
        <v>43646</v>
      </c>
      <c r="H2982" s="150"/>
      <c r="I2982" s="15" t="s">
        <v>23</v>
      </c>
      <c r="J2982" s="15" t="s">
        <v>23</v>
      </c>
      <c r="K2982" s="13">
        <v>16.350000000000001</v>
      </c>
      <c r="L2982" s="13">
        <v>2022.86</v>
      </c>
      <c r="M2982" s="196" t="s">
        <v>421</v>
      </c>
    </row>
    <row r="2983" spans="1:13" ht="15" customHeight="1" outlineLevel="1" x14ac:dyDescent="0.25">
      <c r="A2983" s="148"/>
      <c r="B2983" s="148"/>
      <c r="C2983" s="148"/>
      <c r="D2983" s="138"/>
      <c r="E2983" s="138"/>
      <c r="F2983" s="50">
        <v>43647</v>
      </c>
      <c r="G2983" s="50">
        <v>43830</v>
      </c>
      <c r="H2983" s="150"/>
      <c r="I2983" s="15" t="s">
        <v>23</v>
      </c>
      <c r="J2983" s="15" t="s">
        <v>23</v>
      </c>
      <c r="K2983" s="13">
        <v>16.68</v>
      </c>
      <c r="L2983" s="13">
        <v>2063.3200000000002</v>
      </c>
      <c r="M2983" s="198"/>
    </row>
    <row r="2984" spans="1:13" ht="15" customHeight="1" outlineLevel="1" x14ac:dyDescent="0.25">
      <c r="A2984" s="148"/>
      <c r="B2984" s="148"/>
      <c r="C2984" s="148"/>
      <c r="D2984" s="138"/>
      <c r="E2984" s="138"/>
      <c r="F2984" s="50">
        <v>43466</v>
      </c>
      <c r="G2984" s="50">
        <v>43646</v>
      </c>
      <c r="H2984" s="150"/>
      <c r="I2984" s="15" t="s">
        <v>23</v>
      </c>
      <c r="J2984" s="15" t="s">
        <v>23</v>
      </c>
      <c r="K2984" s="13">
        <v>16.350000000000001</v>
      </c>
      <c r="L2984" s="13">
        <v>1722.17</v>
      </c>
      <c r="M2984" s="196" t="s">
        <v>422</v>
      </c>
    </row>
    <row r="2985" spans="1:13" ht="15" customHeight="1" outlineLevel="1" x14ac:dyDescent="0.25">
      <c r="A2985" s="148"/>
      <c r="B2985" s="148"/>
      <c r="C2985" s="148"/>
      <c r="D2985" s="138"/>
      <c r="E2985" s="138"/>
      <c r="F2985" s="50">
        <v>43647</v>
      </c>
      <c r="G2985" s="50">
        <v>43830</v>
      </c>
      <c r="H2985" s="150"/>
      <c r="I2985" s="15" t="s">
        <v>23</v>
      </c>
      <c r="J2985" s="15" t="s">
        <v>23</v>
      </c>
      <c r="K2985" s="13">
        <v>16.68</v>
      </c>
      <c r="L2985" s="13">
        <v>1756.62</v>
      </c>
      <c r="M2985" s="198"/>
    </row>
    <row r="2986" spans="1:13" ht="15" customHeight="1" outlineLevel="1" x14ac:dyDescent="0.25">
      <c r="A2986" s="148"/>
      <c r="B2986" s="148"/>
      <c r="C2986" s="148"/>
      <c r="D2986" s="138"/>
      <c r="E2986" s="138"/>
      <c r="F2986" s="50">
        <v>43466</v>
      </c>
      <c r="G2986" s="50">
        <v>43646</v>
      </c>
      <c r="H2986" s="150"/>
      <c r="I2986" s="15" t="s">
        <v>23</v>
      </c>
      <c r="J2986" s="15" t="s">
        <v>23</v>
      </c>
      <c r="K2986" s="13">
        <v>16.350000000000001</v>
      </c>
      <c r="L2986" s="13">
        <v>1846.96</v>
      </c>
      <c r="M2986" s="196" t="s">
        <v>423</v>
      </c>
    </row>
    <row r="2987" spans="1:13" ht="15" customHeight="1" outlineLevel="1" x14ac:dyDescent="0.25">
      <c r="A2987" s="148"/>
      <c r="B2987" s="148"/>
      <c r="C2987" s="148"/>
      <c r="D2987" s="138"/>
      <c r="E2987" s="138"/>
      <c r="F2987" s="50">
        <v>43647</v>
      </c>
      <c r="G2987" s="50">
        <v>43830</v>
      </c>
      <c r="H2987" s="150"/>
      <c r="I2987" s="15" t="s">
        <v>23</v>
      </c>
      <c r="J2987" s="15" t="s">
        <v>23</v>
      </c>
      <c r="K2987" s="13">
        <v>16.68</v>
      </c>
      <c r="L2987" s="13">
        <v>1883.9</v>
      </c>
      <c r="M2987" s="198"/>
    </row>
    <row r="2988" spans="1:13" ht="15" customHeight="1" outlineLevel="1" x14ac:dyDescent="0.25">
      <c r="A2988" s="148"/>
      <c r="B2988" s="148"/>
      <c r="C2988" s="148"/>
      <c r="D2988" s="138"/>
      <c r="E2988" s="138"/>
      <c r="F2988" s="50">
        <v>43466</v>
      </c>
      <c r="G2988" s="50">
        <v>43646</v>
      </c>
      <c r="H2988" s="150"/>
      <c r="I2988" s="15" t="s">
        <v>23</v>
      </c>
      <c r="J2988" s="15" t="s">
        <v>23</v>
      </c>
      <c r="K2988" s="13">
        <v>16.350000000000001</v>
      </c>
      <c r="L2988" s="13">
        <v>1930.92</v>
      </c>
      <c r="M2988" s="196" t="s">
        <v>424</v>
      </c>
    </row>
    <row r="2989" spans="1:13" ht="15" customHeight="1" outlineLevel="1" x14ac:dyDescent="0.25">
      <c r="A2989" s="148"/>
      <c r="B2989" s="148"/>
      <c r="C2989" s="148"/>
      <c r="D2989" s="138"/>
      <c r="E2989" s="138"/>
      <c r="F2989" s="50">
        <v>43647</v>
      </c>
      <c r="G2989" s="50">
        <v>43830</v>
      </c>
      <c r="H2989" s="150"/>
      <c r="I2989" s="15" t="s">
        <v>23</v>
      </c>
      <c r="J2989" s="15" t="s">
        <v>23</v>
      </c>
      <c r="K2989" s="13">
        <v>16.68</v>
      </c>
      <c r="L2989" s="13">
        <v>1969.54</v>
      </c>
      <c r="M2989" s="198"/>
    </row>
    <row r="2990" spans="1:13" ht="15" customHeight="1" outlineLevel="1" x14ac:dyDescent="0.25">
      <c r="A2990" s="148"/>
      <c r="B2990" s="148"/>
      <c r="C2990" s="148"/>
      <c r="D2990" s="138"/>
      <c r="E2990" s="138"/>
      <c r="F2990" s="50">
        <v>43466</v>
      </c>
      <c r="G2990" s="50">
        <v>43646</v>
      </c>
      <c r="H2990" s="150"/>
      <c r="I2990" s="15" t="s">
        <v>23</v>
      </c>
      <c r="J2990" s="15" t="s">
        <v>23</v>
      </c>
      <c r="K2990" s="13">
        <v>16.350000000000001</v>
      </c>
      <c r="L2990" s="13">
        <v>2089.19</v>
      </c>
      <c r="M2990" s="196" t="s">
        <v>425</v>
      </c>
    </row>
    <row r="2991" spans="1:13" ht="15" customHeight="1" outlineLevel="1" x14ac:dyDescent="0.25">
      <c r="A2991" s="148"/>
      <c r="B2991" s="148"/>
      <c r="C2991" s="148"/>
      <c r="D2991" s="138"/>
      <c r="E2991" s="138"/>
      <c r="F2991" s="50">
        <v>43647</v>
      </c>
      <c r="G2991" s="50">
        <v>43830</v>
      </c>
      <c r="H2991" s="150"/>
      <c r="I2991" s="15" t="s">
        <v>23</v>
      </c>
      <c r="J2991" s="15" t="s">
        <v>23</v>
      </c>
      <c r="K2991" s="13">
        <v>16.68</v>
      </c>
      <c r="L2991" s="13">
        <v>2130.9699999999998</v>
      </c>
      <c r="M2991" s="198"/>
    </row>
    <row r="2992" spans="1:13" ht="15" customHeight="1" outlineLevel="1" x14ac:dyDescent="0.25">
      <c r="A2992" s="148"/>
      <c r="B2992" s="148"/>
      <c r="C2992" s="148"/>
      <c r="D2992" s="138"/>
      <c r="E2992" s="138"/>
      <c r="F2992" s="50">
        <v>43466</v>
      </c>
      <c r="G2992" s="50">
        <v>43646</v>
      </c>
      <c r="H2992" s="150"/>
      <c r="I2992" s="15" t="s">
        <v>23</v>
      </c>
      <c r="J2992" s="15" t="s">
        <v>23</v>
      </c>
      <c r="K2992" s="13">
        <v>16.350000000000001</v>
      </c>
      <c r="L2992" s="13">
        <v>1770.01</v>
      </c>
      <c r="M2992" s="196" t="s">
        <v>426</v>
      </c>
    </row>
    <row r="2993" spans="1:13" ht="15" customHeight="1" outlineLevel="1" x14ac:dyDescent="0.25">
      <c r="A2993" s="148"/>
      <c r="B2993" s="148"/>
      <c r="C2993" s="148"/>
      <c r="D2993" s="138"/>
      <c r="E2993" s="138"/>
      <c r="F2993" s="50">
        <v>43647</v>
      </c>
      <c r="G2993" s="50">
        <v>43830</v>
      </c>
      <c r="H2993" s="150"/>
      <c r="I2993" s="15" t="s">
        <v>23</v>
      </c>
      <c r="J2993" s="15" t="s">
        <v>23</v>
      </c>
      <c r="K2993" s="13">
        <v>16.68</v>
      </c>
      <c r="L2993" s="13">
        <v>1805.41</v>
      </c>
      <c r="M2993" s="198"/>
    </row>
    <row r="2994" spans="1:13" ht="15" customHeight="1" outlineLevel="1" x14ac:dyDescent="0.25">
      <c r="A2994" s="148"/>
      <c r="B2994" s="148"/>
      <c r="C2994" s="148"/>
      <c r="D2994" s="138"/>
      <c r="E2994" s="138"/>
      <c r="F2994" s="50">
        <v>43466</v>
      </c>
      <c r="G2994" s="50">
        <v>43646</v>
      </c>
      <c r="H2994" s="150"/>
      <c r="I2994" s="15" t="s">
        <v>23</v>
      </c>
      <c r="J2994" s="15" t="s">
        <v>23</v>
      </c>
      <c r="K2994" s="13">
        <v>16.350000000000001</v>
      </c>
      <c r="L2994" s="13">
        <v>1930.92</v>
      </c>
      <c r="M2994" s="196" t="s">
        <v>427</v>
      </c>
    </row>
    <row r="2995" spans="1:13" ht="15" customHeight="1" outlineLevel="1" x14ac:dyDescent="0.25">
      <c r="A2995" s="147"/>
      <c r="B2995" s="147"/>
      <c r="C2995" s="147"/>
      <c r="D2995" s="141"/>
      <c r="E2995" s="141"/>
      <c r="F2995" s="50">
        <v>43647</v>
      </c>
      <c r="G2995" s="50">
        <v>43830</v>
      </c>
      <c r="H2995" s="151"/>
      <c r="I2995" s="15" t="s">
        <v>23</v>
      </c>
      <c r="J2995" s="15" t="s">
        <v>23</v>
      </c>
      <c r="K2995" s="13">
        <v>16.68</v>
      </c>
      <c r="L2995" s="13">
        <v>1969.54</v>
      </c>
      <c r="M2995" s="198"/>
    </row>
    <row r="2996" spans="1:13" ht="15" customHeight="1" outlineLevel="1" x14ac:dyDescent="0.25">
      <c r="A2996" s="146" t="s">
        <v>46</v>
      </c>
      <c r="B2996" s="146" t="s">
        <v>108</v>
      </c>
      <c r="C2996" s="146" t="s">
        <v>104</v>
      </c>
      <c r="D2996" s="156">
        <v>43423</v>
      </c>
      <c r="E2996" s="156" t="s">
        <v>728</v>
      </c>
      <c r="F2996" s="12">
        <v>43466</v>
      </c>
      <c r="G2996" s="12">
        <v>43646</v>
      </c>
      <c r="H2996" s="149"/>
      <c r="I2996" s="66">
        <f>25.49</f>
        <v>25.49</v>
      </c>
      <c r="J2996" s="13">
        <v>4442.12</v>
      </c>
      <c r="K2996" s="119" t="s">
        <v>23</v>
      </c>
      <c r="L2996" s="119" t="s">
        <v>23</v>
      </c>
      <c r="M2996" s="153"/>
    </row>
    <row r="2997" spans="1:13" ht="15" customHeight="1" outlineLevel="1" x14ac:dyDescent="0.25">
      <c r="A2997" s="148"/>
      <c r="B2997" s="148"/>
      <c r="C2997" s="148"/>
      <c r="D2997" s="156"/>
      <c r="E2997" s="156"/>
      <c r="F2997" s="12">
        <v>43647</v>
      </c>
      <c r="G2997" s="12">
        <v>43830</v>
      </c>
      <c r="H2997" s="151"/>
      <c r="I2997" s="66">
        <f>26.66</f>
        <v>26.66</v>
      </c>
      <c r="J2997" s="13">
        <v>4632.68</v>
      </c>
      <c r="K2997" s="119" t="s">
        <v>23</v>
      </c>
      <c r="L2997" s="119" t="s">
        <v>23</v>
      </c>
      <c r="M2997" s="152"/>
    </row>
    <row r="2998" spans="1:13" ht="15" customHeight="1" outlineLevel="1" x14ac:dyDescent="0.25">
      <c r="A2998" s="148"/>
      <c r="B2998" s="148"/>
      <c r="C2998" s="148"/>
      <c r="D2998" s="137">
        <f>D2980</f>
        <v>43454</v>
      </c>
      <c r="E2998" s="137" t="str">
        <f>E2980</f>
        <v>687-п</v>
      </c>
      <c r="F2998" s="50">
        <v>43466</v>
      </c>
      <c r="G2998" s="50">
        <v>43646</v>
      </c>
      <c r="H2998" s="149"/>
      <c r="I2998" s="119" t="s">
        <v>23</v>
      </c>
      <c r="J2998" s="119" t="s">
        <v>23</v>
      </c>
      <c r="K2998" s="13">
        <v>9.94</v>
      </c>
      <c r="L2998" s="13">
        <v>1620.49</v>
      </c>
      <c r="M2998" s="196" t="s">
        <v>420</v>
      </c>
    </row>
    <row r="2999" spans="1:13" ht="15" customHeight="1" outlineLevel="1" x14ac:dyDescent="0.25">
      <c r="A2999" s="148"/>
      <c r="B2999" s="148"/>
      <c r="C2999" s="148"/>
      <c r="D2999" s="138"/>
      <c r="E2999" s="138"/>
      <c r="F2999" s="50">
        <v>43647</v>
      </c>
      <c r="G2999" s="50">
        <v>43830</v>
      </c>
      <c r="H2999" s="150"/>
      <c r="I2999" s="119" t="s">
        <v>23</v>
      </c>
      <c r="J2999" s="119" t="s">
        <v>23</v>
      </c>
      <c r="K2999" s="13">
        <v>10.14</v>
      </c>
      <c r="L2999" s="13">
        <v>1652.81</v>
      </c>
      <c r="M2999" s="198"/>
    </row>
    <row r="3000" spans="1:13" ht="15" customHeight="1" outlineLevel="1" x14ac:dyDescent="0.25">
      <c r="A3000" s="148"/>
      <c r="B3000" s="148"/>
      <c r="C3000" s="148"/>
      <c r="D3000" s="138"/>
      <c r="E3000" s="138"/>
      <c r="F3000" s="50">
        <v>43466</v>
      </c>
      <c r="G3000" s="50">
        <v>43646</v>
      </c>
      <c r="H3000" s="150"/>
      <c r="I3000" s="119" t="s">
        <v>23</v>
      </c>
      <c r="J3000" s="119" t="s">
        <v>23</v>
      </c>
      <c r="K3000" s="13">
        <v>9.94</v>
      </c>
      <c r="L3000" s="13">
        <v>1774.82</v>
      </c>
      <c r="M3000" s="196" t="s">
        <v>421</v>
      </c>
    </row>
    <row r="3001" spans="1:13" ht="15" customHeight="1" outlineLevel="1" x14ac:dyDescent="0.25">
      <c r="A3001" s="148"/>
      <c r="B3001" s="148"/>
      <c r="C3001" s="148"/>
      <c r="D3001" s="138"/>
      <c r="E3001" s="138"/>
      <c r="F3001" s="50">
        <v>43647</v>
      </c>
      <c r="G3001" s="50">
        <v>43830</v>
      </c>
      <c r="H3001" s="150"/>
      <c r="I3001" s="119" t="s">
        <v>23</v>
      </c>
      <c r="J3001" s="119" t="s">
        <v>23</v>
      </c>
      <c r="K3001" s="13">
        <v>10.14</v>
      </c>
      <c r="L3001" s="13">
        <v>1810.22</v>
      </c>
      <c r="M3001" s="198"/>
    </row>
    <row r="3002" spans="1:13" ht="15" customHeight="1" outlineLevel="1" x14ac:dyDescent="0.25">
      <c r="A3002" s="148"/>
      <c r="B3002" s="148"/>
      <c r="C3002" s="148"/>
      <c r="D3002" s="138"/>
      <c r="E3002" s="138"/>
      <c r="F3002" s="50">
        <v>43466</v>
      </c>
      <c r="G3002" s="50">
        <v>43646</v>
      </c>
      <c r="H3002" s="150"/>
      <c r="I3002" s="119" t="s">
        <v>23</v>
      </c>
      <c r="J3002" s="119" t="s">
        <v>23</v>
      </c>
      <c r="K3002" s="13">
        <v>9.94</v>
      </c>
      <c r="L3002" s="13">
        <v>1510.99</v>
      </c>
      <c r="M3002" s="196" t="s">
        <v>422</v>
      </c>
    </row>
    <row r="3003" spans="1:13" ht="15" customHeight="1" outlineLevel="1" x14ac:dyDescent="0.25">
      <c r="A3003" s="148"/>
      <c r="B3003" s="148"/>
      <c r="C3003" s="148"/>
      <c r="D3003" s="138"/>
      <c r="E3003" s="138"/>
      <c r="F3003" s="50">
        <v>43647</v>
      </c>
      <c r="G3003" s="50">
        <v>43830</v>
      </c>
      <c r="H3003" s="150"/>
      <c r="I3003" s="119" t="s">
        <v>23</v>
      </c>
      <c r="J3003" s="119" t="s">
        <v>23</v>
      </c>
      <c r="K3003" s="13">
        <v>10.14</v>
      </c>
      <c r="L3003" s="13">
        <v>1541.14</v>
      </c>
      <c r="M3003" s="198"/>
    </row>
    <row r="3004" spans="1:13" ht="15" customHeight="1" outlineLevel="1" x14ac:dyDescent="0.25">
      <c r="A3004" s="148"/>
      <c r="B3004" s="148"/>
      <c r="C3004" s="148"/>
      <c r="D3004" s="138"/>
      <c r="E3004" s="138"/>
      <c r="F3004" s="50">
        <v>43466</v>
      </c>
      <c r="G3004" s="50">
        <v>43646</v>
      </c>
      <c r="H3004" s="150"/>
      <c r="I3004" s="119" t="s">
        <v>23</v>
      </c>
      <c r="J3004" s="119" t="s">
        <v>23</v>
      </c>
      <c r="K3004" s="13">
        <v>9.94</v>
      </c>
      <c r="L3004" s="13">
        <v>1620.49</v>
      </c>
      <c r="M3004" s="196" t="s">
        <v>423</v>
      </c>
    </row>
    <row r="3005" spans="1:13" ht="15" customHeight="1" outlineLevel="1" x14ac:dyDescent="0.25">
      <c r="A3005" s="148"/>
      <c r="B3005" s="148"/>
      <c r="C3005" s="148"/>
      <c r="D3005" s="138"/>
      <c r="E3005" s="138"/>
      <c r="F3005" s="50">
        <v>43647</v>
      </c>
      <c r="G3005" s="50">
        <v>43830</v>
      </c>
      <c r="H3005" s="150"/>
      <c r="I3005" s="119" t="s">
        <v>23</v>
      </c>
      <c r="J3005" s="119" t="s">
        <v>23</v>
      </c>
      <c r="K3005" s="13">
        <v>10.14</v>
      </c>
      <c r="L3005" s="13">
        <v>1652.81</v>
      </c>
      <c r="M3005" s="198"/>
    </row>
    <row r="3006" spans="1:13" ht="15" customHeight="1" outlineLevel="1" x14ac:dyDescent="0.25">
      <c r="A3006" s="148"/>
      <c r="B3006" s="148"/>
      <c r="C3006" s="148"/>
      <c r="D3006" s="138"/>
      <c r="E3006" s="138"/>
      <c r="F3006" s="50">
        <v>43466</v>
      </c>
      <c r="G3006" s="50">
        <v>43646</v>
      </c>
      <c r="H3006" s="150"/>
      <c r="I3006" s="119" t="s">
        <v>23</v>
      </c>
      <c r="J3006" s="119" t="s">
        <v>23</v>
      </c>
      <c r="K3006" s="13">
        <v>9.94</v>
      </c>
      <c r="L3006" s="13">
        <v>1694.15</v>
      </c>
      <c r="M3006" s="196" t="s">
        <v>424</v>
      </c>
    </row>
    <row r="3007" spans="1:13" ht="15" customHeight="1" outlineLevel="1" x14ac:dyDescent="0.25">
      <c r="A3007" s="148"/>
      <c r="B3007" s="148"/>
      <c r="C3007" s="148"/>
      <c r="D3007" s="138"/>
      <c r="E3007" s="138"/>
      <c r="F3007" s="50">
        <v>43647</v>
      </c>
      <c r="G3007" s="50">
        <v>43830</v>
      </c>
      <c r="H3007" s="150"/>
      <c r="I3007" s="119" t="s">
        <v>23</v>
      </c>
      <c r="J3007" s="119" t="s">
        <v>23</v>
      </c>
      <c r="K3007" s="13">
        <v>10.14</v>
      </c>
      <c r="L3007" s="13">
        <v>1727.94</v>
      </c>
      <c r="M3007" s="198"/>
    </row>
    <row r="3008" spans="1:13" ht="15" customHeight="1" outlineLevel="1" x14ac:dyDescent="0.25">
      <c r="A3008" s="148"/>
      <c r="B3008" s="148"/>
      <c r="C3008" s="148"/>
      <c r="D3008" s="138"/>
      <c r="E3008" s="138"/>
      <c r="F3008" s="50">
        <v>43466</v>
      </c>
      <c r="G3008" s="50">
        <v>43646</v>
      </c>
      <c r="H3008" s="150"/>
      <c r="I3008" s="119" t="s">
        <v>23</v>
      </c>
      <c r="J3008" s="119" t="s">
        <v>23</v>
      </c>
      <c r="K3008" s="13">
        <v>9.94</v>
      </c>
      <c r="L3008" s="13">
        <v>1833.01</v>
      </c>
      <c r="M3008" s="196" t="s">
        <v>425</v>
      </c>
    </row>
    <row r="3009" spans="1:13" ht="15" customHeight="1" outlineLevel="1" x14ac:dyDescent="0.25">
      <c r="A3009" s="148"/>
      <c r="B3009" s="148"/>
      <c r="C3009" s="148"/>
      <c r="D3009" s="138"/>
      <c r="E3009" s="138"/>
      <c r="F3009" s="50">
        <v>43647</v>
      </c>
      <c r="G3009" s="50">
        <v>43830</v>
      </c>
      <c r="H3009" s="150"/>
      <c r="I3009" s="119" t="s">
        <v>23</v>
      </c>
      <c r="J3009" s="119" t="s">
        <v>23</v>
      </c>
      <c r="K3009" s="13">
        <v>10.14</v>
      </c>
      <c r="L3009" s="13">
        <v>1869.58</v>
      </c>
      <c r="M3009" s="198"/>
    </row>
    <row r="3010" spans="1:13" ht="15" customHeight="1" outlineLevel="1" x14ac:dyDescent="0.25">
      <c r="A3010" s="148"/>
      <c r="B3010" s="148"/>
      <c r="C3010" s="148"/>
      <c r="D3010" s="138"/>
      <c r="E3010" s="138"/>
      <c r="F3010" s="50">
        <v>43466</v>
      </c>
      <c r="G3010" s="50">
        <v>43646</v>
      </c>
      <c r="H3010" s="150"/>
      <c r="I3010" s="119" t="s">
        <v>23</v>
      </c>
      <c r="J3010" s="119" t="s">
        <v>23</v>
      </c>
      <c r="K3010" s="13">
        <v>9.94</v>
      </c>
      <c r="L3010" s="13">
        <v>1552.96</v>
      </c>
      <c r="M3010" s="196" t="s">
        <v>426</v>
      </c>
    </row>
    <row r="3011" spans="1:13" ht="15" customHeight="1" outlineLevel="1" x14ac:dyDescent="0.25">
      <c r="A3011" s="148"/>
      <c r="B3011" s="148"/>
      <c r="C3011" s="148"/>
      <c r="D3011" s="138"/>
      <c r="E3011" s="138"/>
      <c r="F3011" s="50">
        <v>43647</v>
      </c>
      <c r="G3011" s="50">
        <v>43830</v>
      </c>
      <c r="H3011" s="150"/>
      <c r="I3011" s="119" t="s">
        <v>23</v>
      </c>
      <c r="J3011" s="119" t="s">
        <v>23</v>
      </c>
      <c r="K3011" s="13">
        <v>10.14</v>
      </c>
      <c r="L3011" s="13">
        <v>1583.95</v>
      </c>
      <c r="M3011" s="198"/>
    </row>
    <row r="3012" spans="1:13" ht="15" customHeight="1" outlineLevel="1" x14ac:dyDescent="0.25">
      <c r="A3012" s="148"/>
      <c r="B3012" s="148"/>
      <c r="C3012" s="148"/>
      <c r="D3012" s="138"/>
      <c r="E3012" s="138"/>
      <c r="F3012" s="50">
        <v>43466</v>
      </c>
      <c r="G3012" s="50">
        <v>43646</v>
      </c>
      <c r="H3012" s="150"/>
      <c r="I3012" s="119" t="s">
        <v>23</v>
      </c>
      <c r="J3012" s="119" t="s">
        <v>23</v>
      </c>
      <c r="K3012" s="13">
        <v>9.94</v>
      </c>
      <c r="L3012" s="13">
        <v>1694.15</v>
      </c>
      <c r="M3012" s="196" t="s">
        <v>427</v>
      </c>
    </row>
    <row r="3013" spans="1:13" ht="15" customHeight="1" outlineLevel="1" x14ac:dyDescent="0.25">
      <c r="A3013" s="147"/>
      <c r="B3013" s="147"/>
      <c r="C3013" s="148"/>
      <c r="D3013" s="141"/>
      <c r="E3013" s="141"/>
      <c r="F3013" s="50">
        <v>43647</v>
      </c>
      <c r="G3013" s="50">
        <v>43830</v>
      </c>
      <c r="H3013" s="151"/>
      <c r="I3013" s="119" t="s">
        <v>23</v>
      </c>
      <c r="J3013" s="119" t="s">
        <v>23</v>
      </c>
      <c r="K3013" s="13">
        <v>10.14</v>
      </c>
      <c r="L3013" s="13">
        <v>1727.94</v>
      </c>
      <c r="M3013" s="198"/>
    </row>
    <row r="3014" spans="1:13" ht="15" customHeight="1" outlineLevel="1" x14ac:dyDescent="0.25">
      <c r="A3014" s="146" t="s">
        <v>46</v>
      </c>
      <c r="B3014" s="146" t="s">
        <v>101</v>
      </c>
      <c r="C3014" s="148"/>
      <c r="D3014" s="156">
        <v>43423</v>
      </c>
      <c r="E3014" s="156" t="s">
        <v>728</v>
      </c>
      <c r="F3014" s="12">
        <v>43466</v>
      </c>
      <c r="G3014" s="12">
        <v>43646</v>
      </c>
      <c r="H3014" s="149"/>
      <c r="I3014" s="66">
        <f>25.49</f>
        <v>25.49</v>
      </c>
      <c r="J3014" s="13">
        <v>4442.12</v>
      </c>
      <c r="K3014" s="119" t="s">
        <v>23</v>
      </c>
      <c r="L3014" s="119" t="s">
        <v>23</v>
      </c>
      <c r="M3014" s="153"/>
    </row>
    <row r="3015" spans="1:13" ht="15" customHeight="1" outlineLevel="1" x14ac:dyDescent="0.25">
      <c r="A3015" s="148"/>
      <c r="B3015" s="148"/>
      <c r="C3015" s="148"/>
      <c r="D3015" s="156"/>
      <c r="E3015" s="156"/>
      <c r="F3015" s="12">
        <v>43647</v>
      </c>
      <c r="G3015" s="12">
        <v>43830</v>
      </c>
      <c r="H3015" s="151"/>
      <c r="I3015" s="66">
        <f>26.66</f>
        <v>26.66</v>
      </c>
      <c r="J3015" s="13">
        <v>4632.68</v>
      </c>
      <c r="K3015" s="119" t="s">
        <v>23</v>
      </c>
      <c r="L3015" s="119" t="s">
        <v>23</v>
      </c>
      <c r="M3015" s="152"/>
    </row>
    <row r="3016" spans="1:13" ht="15" customHeight="1" outlineLevel="1" x14ac:dyDescent="0.25">
      <c r="A3016" s="148"/>
      <c r="B3016" s="148"/>
      <c r="C3016" s="148"/>
      <c r="D3016" s="137">
        <f>D2998</f>
        <v>43454</v>
      </c>
      <c r="E3016" s="137" t="str">
        <f>E2998</f>
        <v>687-п</v>
      </c>
      <c r="F3016" s="50">
        <v>43466</v>
      </c>
      <c r="G3016" s="50">
        <v>43646</v>
      </c>
      <c r="H3016" s="149"/>
      <c r="I3016" s="119" t="s">
        <v>23</v>
      </c>
      <c r="J3016" s="119" t="s">
        <v>23</v>
      </c>
      <c r="K3016" s="13">
        <v>9.81</v>
      </c>
      <c r="L3016" s="13">
        <v>1598.38</v>
      </c>
      <c r="M3016" s="196" t="s">
        <v>420</v>
      </c>
    </row>
    <row r="3017" spans="1:13" ht="15" customHeight="1" outlineLevel="1" x14ac:dyDescent="0.25">
      <c r="A3017" s="148"/>
      <c r="B3017" s="148"/>
      <c r="C3017" s="148"/>
      <c r="D3017" s="138"/>
      <c r="E3017" s="138"/>
      <c r="F3017" s="50">
        <v>43647</v>
      </c>
      <c r="G3017" s="50">
        <v>43830</v>
      </c>
      <c r="H3017" s="150"/>
      <c r="I3017" s="119" t="s">
        <v>23</v>
      </c>
      <c r="J3017" s="119" t="s">
        <v>23</v>
      </c>
      <c r="K3017" s="13">
        <v>10.01</v>
      </c>
      <c r="L3017" s="13">
        <v>1630.29</v>
      </c>
      <c r="M3017" s="198"/>
    </row>
    <row r="3018" spans="1:13" ht="15" customHeight="1" outlineLevel="1" x14ac:dyDescent="0.25">
      <c r="A3018" s="148"/>
      <c r="B3018" s="148"/>
      <c r="C3018" s="148"/>
      <c r="D3018" s="138"/>
      <c r="E3018" s="138"/>
      <c r="F3018" s="50">
        <v>43466</v>
      </c>
      <c r="G3018" s="50">
        <v>43646</v>
      </c>
      <c r="H3018" s="150"/>
      <c r="I3018" s="119" t="s">
        <v>23</v>
      </c>
      <c r="J3018" s="119" t="s">
        <v>23</v>
      </c>
      <c r="K3018" s="13">
        <v>9.81</v>
      </c>
      <c r="L3018" s="13">
        <v>1750.61</v>
      </c>
      <c r="M3018" s="196" t="s">
        <v>421</v>
      </c>
    </row>
    <row r="3019" spans="1:13" ht="15" customHeight="1" outlineLevel="1" x14ac:dyDescent="0.25">
      <c r="A3019" s="148"/>
      <c r="B3019" s="148"/>
      <c r="C3019" s="148"/>
      <c r="D3019" s="138"/>
      <c r="E3019" s="138"/>
      <c r="F3019" s="50">
        <v>43647</v>
      </c>
      <c r="G3019" s="50">
        <v>43830</v>
      </c>
      <c r="H3019" s="150"/>
      <c r="I3019" s="119" t="s">
        <v>23</v>
      </c>
      <c r="J3019" s="119" t="s">
        <v>23</v>
      </c>
      <c r="K3019" s="13">
        <v>10.01</v>
      </c>
      <c r="L3019" s="13">
        <v>1785.56</v>
      </c>
      <c r="M3019" s="198"/>
    </row>
    <row r="3020" spans="1:13" ht="15" customHeight="1" outlineLevel="1" x14ac:dyDescent="0.25">
      <c r="A3020" s="148"/>
      <c r="B3020" s="148"/>
      <c r="C3020" s="148"/>
      <c r="D3020" s="138"/>
      <c r="E3020" s="138"/>
      <c r="F3020" s="50">
        <v>43466</v>
      </c>
      <c r="G3020" s="50">
        <v>43646</v>
      </c>
      <c r="H3020" s="150"/>
      <c r="I3020" s="119" t="s">
        <v>23</v>
      </c>
      <c r="J3020" s="119" t="s">
        <v>23</v>
      </c>
      <c r="K3020" s="13">
        <v>9.81</v>
      </c>
      <c r="L3020" s="13">
        <v>1490.38</v>
      </c>
      <c r="M3020" s="196" t="s">
        <v>422</v>
      </c>
    </row>
    <row r="3021" spans="1:13" ht="15" customHeight="1" outlineLevel="1" x14ac:dyDescent="0.25">
      <c r="A3021" s="148"/>
      <c r="B3021" s="148"/>
      <c r="C3021" s="148"/>
      <c r="D3021" s="138"/>
      <c r="E3021" s="138"/>
      <c r="F3021" s="50">
        <v>43647</v>
      </c>
      <c r="G3021" s="50">
        <v>43830</v>
      </c>
      <c r="H3021" s="150"/>
      <c r="I3021" s="119" t="s">
        <v>23</v>
      </c>
      <c r="J3021" s="119" t="s">
        <v>23</v>
      </c>
      <c r="K3021" s="13">
        <v>10.01</v>
      </c>
      <c r="L3021" s="13">
        <v>1520.14</v>
      </c>
      <c r="M3021" s="198"/>
    </row>
    <row r="3022" spans="1:13" ht="15" customHeight="1" outlineLevel="1" x14ac:dyDescent="0.25">
      <c r="A3022" s="148"/>
      <c r="B3022" s="148"/>
      <c r="C3022" s="148"/>
      <c r="D3022" s="138"/>
      <c r="E3022" s="138"/>
      <c r="F3022" s="50">
        <v>43466</v>
      </c>
      <c r="G3022" s="50">
        <v>43646</v>
      </c>
      <c r="H3022" s="150"/>
      <c r="I3022" s="119" t="s">
        <v>23</v>
      </c>
      <c r="J3022" s="119" t="s">
        <v>23</v>
      </c>
      <c r="K3022" s="13">
        <v>9.81</v>
      </c>
      <c r="L3022" s="13">
        <v>1598.38</v>
      </c>
      <c r="M3022" s="196" t="s">
        <v>423</v>
      </c>
    </row>
    <row r="3023" spans="1:13" ht="15" customHeight="1" outlineLevel="1" x14ac:dyDescent="0.25">
      <c r="A3023" s="148"/>
      <c r="B3023" s="148"/>
      <c r="C3023" s="148"/>
      <c r="D3023" s="138"/>
      <c r="E3023" s="138"/>
      <c r="F3023" s="50">
        <v>43647</v>
      </c>
      <c r="G3023" s="50">
        <v>43830</v>
      </c>
      <c r="H3023" s="150"/>
      <c r="I3023" s="119" t="s">
        <v>23</v>
      </c>
      <c r="J3023" s="119" t="s">
        <v>23</v>
      </c>
      <c r="K3023" s="13">
        <v>10.01</v>
      </c>
      <c r="L3023" s="13">
        <v>1630.29</v>
      </c>
      <c r="M3023" s="198"/>
    </row>
    <row r="3024" spans="1:13" ht="15" customHeight="1" outlineLevel="1" x14ac:dyDescent="0.25">
      <c r="A3024" s="148"/>
      <c r="B3024" s="148"/>
      <c r="C3024" s="148"/>
      <c r="D3024" s="138"/>
      <c r="E3024" s="138"/>
      <c r="F3024" s="50">
        <v>43466</v>
      </c>
      <c r="G3024" s="50">
        <v>43646</v>
      </c>
      <c r="H3024" s="150"/>
      <c r="I3024" s="119" t="s">
        <v>23</v>
      </c>
      <c r="J3024" s="119" t="s">
        <v>23</v>
      </c>
      <c r="K3024" s="13">
        <v>9.81</v>
      </c>
      <c r="L3024" s="13">
        <v>1671.03</v>
      </c>
      <c r="M3024" s="196" t="s">
        <v>424</v>
      </c>
    </row>
    <row r="3025" spans="1:13" ht="15" customHeight="1" outlineLevel="1" x14ac:dyDescent="0.25">
      <c r="A3025" s="148"/>
      <c r="B3025" s="148"/>
      <c r="C3025" s="148"/>
      <c r="D3025" s="138"/>
      <c r="E3025" s="138"/>
      <c r="F3025" s="50">
        <v>43647</v>
      </c>
      <c r="G3025" s="50">
        <v>43830</v>
      </c>
      <c r="H3025" s="150"/>
      <c r="I3025" s="119" t="s">
        <v>23</v>
      </c>
      <c r="J3025" s="119" t="s">
        <v>23</v>
      </c>
      <c r="K3025" s="13">
        <v>10.01</v>
      </c>
      <c r="L3025" s="13">
        <v>1704.39</v>
      </c>
      <c r="M3025" s="198"/>
    </row>
    <row r="3026" spans="1:13" ht="15" customHeight="1" outlineLevel="1" x14ac:dyDescent="0.25">
      <c r="A3026" s="148"/>
      <c r="B3026" s="148"/>
      <c r="C3026" s="148"/>
      <c r="D3026" s="138"/>
      <c r="E3026" s="138"/>
      <c r="F3026" s="50">
        <v>43466</v>
      </c>
      <c r="G3026" s="50">
        <v>43646</v>
      </c>
      <c r="H3026" s="150"/>
      <c r="I3026" s="119" t="s">
        <v>23</v>
      </c>
      <c r="J3026" s="119" t="s">
        <v>23</v>
      </c>
      <c r="K3026" s="13">
        <v>9.81</v>
      </c>
      <c r="L3026" s="13">
        <v>1808</v>
      </c>
      <c r="M3026" s="196" t="s">
        <v>425</v>
      </c>
    </row>
    <row r="3027" spans="1:13" ht="15" customHeight="1" outlineLevel="1" x14ac:dyDescent="0.25">
      <c r="A3027" s="148"/>
      <c r="B3027" s="148"/>
      <c r="C3027" s="148"/>
      <c r="D3027" s="138"/>
      <c r="E3027" s="138"/>
      <c r="F3027" s="50">
        <v>43647</v>
      </c>
      <c r="G3027" s="50">
        <v>43830</v>
      </c>
      <c r="H3027" s="150"/>
      <c r="I3027" s="119" t="s">
        <v>23</v>
      </c>
      <c r="J3027" s="119" t="s">
        <v>23</v>
      </c>
      <c r="K3027" s="13">
        <v>10.01</v>
      </c>
      <c r="L3027" s="13">
        <v>1844.1</v>
      </c>
      <c r="M3027" s="198"/>
    </row>
    <row r="3028" spans="1:13" ht="15" customHeight="1" outlineLevel="1" x14ac:dyDescent="0.25">
      <c r="A3028" s="148"/>
      <c r="B3028" s="148"/>
      <c r="C3028" s="148"/>
      <c r="D3028" s="138"/>
      <c r="E3028" s="138"/>
      <c r="F3028" s="50">
        <v>43466</v>
      </c>
      <c r="G3028" s="50">
        <v>43646</v>
      </c>
      <c r="H3028" s="150"/>
      <c r="I3028" s="119" t="s">
        <v>23</v>
      </c>
      <c r="J3028" s="119" t="s">
        <v>23</v>
      </c>
      <c r="K3028" s="13">
        <v>9.81</v>
      </c>
      <c r="L3028" s="13">
        <v>1531.78</v>
      </c>
      <c r="M3028" s="196" t="s">
        <v>426</v>
      </c>
    </row>
    <row r="3029" spans="1:13" ht="15" customHeight="1" outlineLevel="1" x14ac:dyDescent="0.25">
      <c r="A3029" s="148"/>
      <c r="B3029" s="148"/>
      <c r="C3029" s="148"/>
      <c r="D3029" s="138"/>
      <c r="E3029" s="138"/>
      <c r="F3029" s="50">
        <v>43647</v>
      </c>
      <c r="G3029" s="50">
        <v>43830</v>
      </c>
      <c r="H3029" s="150"/>
      <c r="I3029" s="119" t="s">
        <v>23</v>
      </c>
      <c r="J3029" s="119" t="s">
        <v>23</v>
      </c>
      <c r="K3029" s="13">
        <v>10.01</v>
      </c>
      <c r="L3029" s="13">
        <v>1562.36</v>
      </c>
      <c r="M3029" s="198"/>
    </row>
    <row r="3030" spans="1:13" ht="15" customHeight="1" outlineLevel="1" x14ac:dyDescent="0.25">
      <c r="A3030" s="148"/>
      <c r="B3030" s="148"/>
      <c r="C3030" s="148"/>
      <c r="D3030" s="138"/>
      <c r="E3030" s="138"/>
      <c r="F3030" s="50">
        <v>43466</v>
      </c>
      <c r="G3030" s="50">
        <v>43646</v>
      </c>
      <c r="H3030" s="150"/>
      <c r="I3030" s="119" t="s">
        <v>23</v>
      </c>
      <c r="J3030" s="119" t="s">
        <v>23</v>
      </c>
      <c r="K3030" s="13">
        <v>9.81</v>
      </c>
      <c r="L3030" s="13">
        <v>1671.03</v>
      </c>
      <c r="M3030" s="196" t="s">
        <v>427</v>
      </c>
    </row>
    <row r="3031" spans="1:13" ht="15" customHeight="1" outlineLevel="1" x14ac:dyDescent="0.25">
      <c r="A3031" s="147"/>
      <c r="B3031" s="147"/>
      <c r="C3031" s="147"/>
      <c r="D3031" s="141"/>
      <c r="E3031" s="141"/>
      <c r="F3031" s="50">
        <v>43647</v>
      </c>
      <c r="G3031" s="50">
        <v>43830</v>
      </c>
      <c r="H3031" s="151"/>
      <c r="I3031" s="119" t="s">
        <v>23</v>
      </c>
      <c r="J3031" s="119" t="s">
        <v>23</v>
      </c>
      <c r="K3031" s="13">
        <v>10.01</v>
      </c>
      <c r="L3031" s="13">
        <v>1704.39</v>
      </c>
      <c r="M3031" s="198"/>
    </row>
    <row r="3032" spans="1:13" ht="15" customHeight="1" outlineLevel="1" x14ac:dyDescent="0.25">
      <c r="A3032" s="146" t="s">
        <v>46</v>
      </c>
      <c r="B3032" s="146" t="s">
        <v>47</v>
      </c>
      <c r="C3032" s="146" t="s">
        <v>566</v>
      </c>
      <c r="D3032" s="137">
        <v>43427</v>
      </c>
      <c r="E3032" s="137" t="s">
        <v>731</v>
      </c>
      <c r="F3032" s="12">
        <v>43466</v>
      </c>
      <c r="G3032" s="12">
        <v>43646</v>
      </c>
      <c r="H3032" s="149"/>
      <c r="I3032" s="66">
        <v>19.11</v>
      </c>
      <c r="J3032" s="13">
        <v>2561.13</v>
      </c>
      <c r="K3032" s="119" t="s">
        <v>23</v>
      </c>
      <c r="L3032" s="119" t="s">
        <v>23</v>
      </c>
      <c r="M3032" s="153"/>
    </row>
    <row r="3033" spans="1:13" ht="15" customHeight="1" outlineLevel="1" x14ac:dyDescent="0.25">
      <c r="A3033" s="148"/>
      <c r="B3033" s="148"/>
      <c r="C3033" s="148"/>
      <c r="D3033" s="141"/>
      <c r="E3033" s="141"/>
      <c r="F3033" s="12">
        <v>43647</v>
      </c>
      <c r="G3033" s="12">
        <v>43830</v>
      </c>
      <c r="H3033" s="151"/>
      <c r="I3033" s="66">
        <v>19.829999999999998</v>
      </c>
      <c r="J3033" s="13">
        <v>2646.82</v>
      </c>
      <c r="K3033" s="119" t="s">
        <v>23</v>
      </c>
      <c r="L3033" s="119" t="s">
        <v>23</v>
      </c>
      <c r="M3033" s="152"/>
    </row>
    <row r="3034" spans="1:13" ht="15" customHeight="1" outlineLevel="1" x14ac:dyDescent="0.25">
      <c r="A3034" s="148"/>
      <c r="B3034" s="148"/>
      <c r="C3034" s="148"/>
      <c r="D3034" s="137">
        <f>D3016</f>
        <v>43454</v>
      </c>
      <c r="E3034" s="137" t="str">
        <f>E3016</f>
        <v>687-п</v>
      </c>
      <c r="F3034" s="50">
        <v>43466</v>
      </c>
      <c r="G3034" s="50">
        <v>43646</v>
      </c>
      <c r="H3034" s="149"/>
      <c r="I3034" s="119" t="s">
        <v>23</v>
      </c>
      <c r="J3034" s="119" t="s">
        <v>23</v>
      </c>
      <c r="K3034" s="13">
        <v>22.57</v>
      </c>
      <c r="L3034" s="13">
        <v>1581.87</v>
      </c>
      <c r="M3034" s="196" t="s">
        <v>420</v>
      </c>
    </row>
    <row r="3035" spans="1:13" ht="15" customHeight="1" outlineLevel="1" x14ac:dyDescent="0.25">
      <c r="A3035" s="148"/>
      <c r="B3035" s="148"/>
      <c r="C3035" s="148"/>
      <c r="D3035" s="138"/>
      <c r="E3035" s="138"/>
      <c r="F3035" s="50">
        <v>43647</v>
      </c>
      <c r="G3035" s="50">
        <v>43830</v>
      </c>
      <c r="H3035" s="150"/>
      <c r="I3035" s="119" t="s">
        <v>23</v>
      </c>
      <c r="J3035" s="119" t="s">
        <v>23</v>
      </c>
      <c r="K3035" s="13">
        <v>23.02</v>
      </c>
      <c r="L3035" s="13">
        <v>1613.48</v>
      </c>
      <c r="M3035" s="198"/>
    </row>
    <row r="3036" spans="1:13" ht="15" customHeight="1" outlineLevel="1" x14ac:dyDescent="0.25">
      <c r="A3036" s="148"/>
      <c r="B3036" s="148"/>
      <c r="C3036" s="148"/>
      <c r="D3036" s="138"/>
      <c r="E3036" s="138"/>
      <c r="F3036" s="50">
        <v>43466</v>
      </c>
      <c r="G3036" s="50">
        <v>43646</v>
      </c>
      <c r="H3036" s="150"/>
      <c r="I3036" s="119" t="s">
        <v>23</v>
      </c>
      <c r="J3036" s="119" t="s">
        <v>23</v>
      </c>
      <c r="K3036" s="13">
        <v>22.57</v>
      </c>
      <c r="L3036" s="13">
        <v>1732.53</v>
      </c>
      <c r="M3036" s="196" t="s">
        <v>421</v>
      </c>
    </row>
    <row r="3037" spans="1:13" ht="15" customHeight="1" outlineLevel="1" x14ac:dyDescent="0.25">
      <c r="A3037" s="148"/>
      <c r="B3037" s="148"/>
      <c r="C3037" s="148"/>
      <c r="D3037" s="138"/>
      <c r="E3037" s="138"/>
      <c r="F3037" s="50">
        <v>43647</v>
      </c>
      <c r="G3037" s="50">
        <v>43830</v>
      </c>
      <c r="H3037" s="150"/>
      <c r="I3037" s="119" t="s">
        <v>23</v>
      </c>
      <c r="J3037" s="119" t="s">
        <v>23</v>
      </c>
      <c r="K3037" s="13">
        <v>23.02</v>
      </c>
      <c r="L3037" s="13">
        <v>1767.14</v>
      </c>
      <c r="M3037" s="198"/>
    </row>
    <row r="3038" spans="1:13" ht="15" customHeight="1" outlineLevel="1" x14ac:dyDescent="0.25">
      <c r="A3038" s="148"/>
      <c r="B3038" s="148"/>
      <c r="C3038" s="148"/>
      <c r="D3038" s="138"/>
      <c r="E3038" s="138"/>
      <c r="F3038" s="50">
        <v>43466</v>
      </c>
      <c r="G3038" s="50">
        <v>43646</v>
      </c>
      <c r="H3038" s="150"/>
      <c r="I3038" s="119" t="s">
        <v>23</v>
      </c>
      <c r="J3038" s="119" t="s">
        <v>23</v>
      </c>
      <c r="K3038" s="13">
        <v>22.57</v>
      </c>
      <c r="L3038" s="13">
        <v>1474.99</v>
      </c>
      <c r="M3038" s="196" t="s">
        <v>422</v>
      </c>
    </row>
    <row r="3039" spans="1:13" ht="15" customHeight="1" outlineLevel="1" x14ac:dyDescent="0.25">
      <c r="A3039" s="148"/>
      <c r="B3039" s="148"/>
      <c r="C3039" s="148"/>
      <c r="D3039" s="138"/>
      <c r="E3039" s="138"/>
      <c r="F3039" s="50">
        <v>43647</v>
      </c>
      <c r="G3039" s="50">
        <v>43830</v>
      </c>
      <c r="H3039" s="150"/>
      <c r="I3039" s="119" t="s">
        <v>23</v>
      </c>
      <c r="J3039" s="119" t="s">
        <v>23</v>
      </c>
      <c r="K3039" s="13">
        <v>23.02</v>
      </c>
      <c r="L3039" s="13">
        <v>1504.46</v>
      </c>
      <c r="M3039" s="198"/>
    </row>
    <row r="3040" spans="1:13" ht="15" customHeight="1" outlineLevel="1" x14ac:dyDescent="0.25">
      <c r="A3040" s="148"/>
      <c r="B3040" s="148"/>
      <c r="C3040" s="148"/>
      <c r="D3040" s="138"/>
      <c r="E3040" s="138"/>
      <c r="F3040" s="50">
        <v>43466</v>
      </c>
      <c r="G3040" s="50">
        <v>43646</v>
      </c>
      <c r="H3040" s="150"/>
      <c r="I3040" s="119" t="s">
        <v>23</v>
      </c>
      <c r="J3040" s="119" t="s">
        <v>23</v>
      </c>
      <c r="K3040" s="13">
        <v>22.57</v>
      </c>
      <c r="L3040" s="13">
        <v>1581.87</v>
      </c>
      <c r="M3040" s="196" t="s">
        <v>423</v>
      </c>
    </row>
    <row r="3041" spans="1:20" ht="15" customHeight="1" outlineLevel="1" x14ac:dyDescent="0.25">
      <c r="A3041" s="148"/>
      <c r="B3041" s="148"/>
      <c r="C3041" s="148"/>
      <c r="D3041" s="138"/>
      <c r="E3041" s="138"/>
      <c r="F3041" s="50">
        <v>43647</v>
      </c>
      <c r="G3041" s="50">
        <v>43830</v>
      </c>
      <c r="H3041" s="150"/>
      <c r="I3041" s="119" t="s">
        <v>23</v>
      </c>
      <c r="J3041" s="119" t="s">
        <v>23</v>
      </c>
      <c r="K3041" s="13">
        <v>23.02</v>
      </c>
      <c r="L3041" s="13">
        <v>1613.48</v>
      </c>
      <c r="M3041" s="198"/>
    </row>
    <row r="3042" spans="1:20" ht="15" customHeight="1" outlineLevel="1" x14ac:dyDescent="0.25">
      <c r="A3042" s="148"/>
      <c r="B3042" s="148"/>
      <c r="C3042" s="148"/>
      <c r="D3042" s="138"/>
      <c r="E3042" s="138"/>
      <c r="F3042" s="50">
        <v>43466</v>
      </c>
      <c r="G3042" s="50">
        <v>43646</v>
      </c>
      <c r="H3042" s="150"/>
      <c r="I3042" s="119" t="s">
        <v>23</v>
      </c>
      <c r="J3042" s="119" t="s">
        <v>23</v>
      </c>
      <c r="K3042" s="13">
        <v>22.57</v>
      </c>
      <c r="L3042" s="13">
        <v>1653.77</v>
      </c>
      <c r="M3042" s="196" t="s">
        <v>424</v>
      </c>
    </row>
    <row r="3043" spans="1:20" ht="15" customHeight="1" outlineLevel="1" x14ac:dyDescent="0.25">
      <c r="A3043" s="148"/>
      <c r="B3043" s="148"/>
      <c r="C3043" s="148"/>
      <c r="D3043" s="138"/>
      <c r="E3043" s="138"/>
      <c r="F3043" s="50">
        <v>43647</v>
      </c>
      <c r="G3043" s="50">
        <v>43830</v>
      </c>
      <c r="H3043" s="150"/>
      <c r="I3043" s="119" t="s">
        <v>23</v>
      </c>
      <c r="J3043" s="119" t="s">
        <v>23</v>
      </c>
      <c r="K3043" s="13">
        <v>23.02</v>
      </c>
      <c r="L3043" s="13">
        <v>1686.82</v>
      </c>
      <c r="M3043" s="198"/>
    </row>
    <row r="3044" spans="1:20" ht="15" customHeight="1" outlineLevel="1" x14ac:dyDescent="0.25">
      <c r="A3044" s="148"/>
      <c r="B3044" s="148"/>
      <c r="C3044" s="148"/>
      <c r="D3044" s="138"/>
      <c r="E3044" s="138"/>
      <c r="F3044" s="50">
        <v>43466</v>
      </c>
      <c r="G3044" s="50">
        <v>43646</v>
      </c>
      <c r="H3044" s="150"/>
      <c r="I3044" s="119" t="s">
        <v>23</v>
      </c>
      <c r="J3044" s="119" t="s">
        <v>23</v>
      </c>
      <c r="K3044" s="13">
        <v>22.57</v>
      </c>
      <c r="L3044" s="13">
        <v>1789.33</v>
      </c>
      <c r="M3044" s="196" t="s">
        <v>425</v>
      </c>
    </row>
    <row r="3045" spans="1:20" ht="15" customHeight="1" outlineLevel="1" x14ac:dyDescent="0.25">
      <c r="A3045" s="148"/>
      <c r="B3045" s="148"/>
      <c r="C3045" s="148"/>
      <c r="D3045" s="138"/>
      <c r="E3045" s="138"/>
      <c r="F3045" s="50">
        <v>43647</v>
      </c>
      <c r="G3045" s="50">
        <v>43830</v>
      </c>
      <c r="H3045" s="150"/>
      <c r="I3045" s="119" t="s">
        <v>23</v>
      </c>
      <c r="J3045" s="119" t="s">
        <v>23</v>
      </c>
      <c r="K3045" s="13">
        <v>23.02</v>
      </c>
      <c r="L3045" s="13">
        <v>1825.08</v>
      </c>
      <c r="M3045" s="198"/>
    </row>
    <row r="3046" spans="1:20" ht="15" customHeight="1" outlineLevel="1" x14ac:dyDescent="0.25">
      <c r="A3046" s="148"/>
      <c r="B3046" s="148"/>
      <c r="C3046" s="148"/>
      <c r="D3046" s="138"/>
      <c r="E3046" s="138"/>
      <c r="F3046" s="50">
        <v>43466</v>
      </c>
      <c r="G3046" s="50">
        <v>43646</v>
      </c>
      <c r="H3046" s="150"/>
      <c r="I3046" s="119" t="s">
        <v>23</v>
      </c>
      <c r="J3046" s="119" t="s">
        <v>23</v>
      </c>
      <c r="K3046" s="13">
        <v>22.57</v>
      </c>
      <c r="L3046" s="13">
        <v>1515.96</v>
      </c>
      <c r="M3046" s="196" t="s">
        <v>426</v>
      </c>
    </row>
    <row r="3047" spans="1:20" ht="15" customHeight="1" outlineLevel="1" x14ac:dyDescent="0.25">
      <c r="A3047" s="148"/>
      <c r="B3047" s="148"/>
      <c r="C3047" s="148"/>
      <c r="D3047" s="138"/>
      <c r="E3047" s="138"/>
      <c r="F3047" s="50">
        <v>43647</v>
      </c>
      <c r="G3047" s="50">
        <v>43830</v>
      </c>
      <c r="H3047" s="150"/>
      <c r="I3047" s="119" t="s">
        <v>23</v>
      </c>
      <c r="J3047" s="119" t="s">
        <v>23</v>
      </c>
      <c r="K3047" s="13">
        <v>23.02</v>
      </c>
      <c r="L3047" s="13">
        <v>1546.25</v>
      </c>
      <c r="M3047" s="198"/>
    </row>
    <row r="3048" spans="1:20" ht="15" customHeight="1" outlineLevel="1" x14ac:dyDescent="0.25">
      <c r="A3048" s="148"/>
      <c r="B3048" s="148"/>
      <c r="C3048" s="148"/>
      <c r="D3048" s="138"/>
      <c r="E3048" s="138"/>
      <c r="F3048" s="50">
        <v>43466</v>
      </c>
      <c r="G3048" s="50">
        <v>43646</v>
      </c>
      <c r="H3048" s="150"/>
      <c r="I3048" s="119" t="s">
        <v>23</v>
      </c>
      <c r="J3048" s="119" t="s">
        <v>23</v>
      </c>
      <c r="K3048" s="13">
        <v>22.57</v>
      </c>
      <c r="L3048" s="13">
        <v>1653.77</v>
      </c>
      <c r="M3048" s="196" t="s">
        <v>427</v>
      </c>
    </row>
    <row r="3049" spans="1:20" ht="15" customHeight="1" outlineLevel="1" x14ac:dyDescent="0.25">
      <c r="A3049" s="147"/>
      <c r="B3049" s="147"/>
      <c r="C3049" s="147"/>
      <c r="D3049" s="141"/>
      <c r="E3049" s="141"/>
      <c r="F3049" s="50">
        <v>43647</v>
      </c>
      <c r="G3049" s="50">
        <v>43830</v>
      </c>
      <c r="H3049" s="151"/>
      <c r="I3049" s="119" t="s">
        <v>23</v>
      </c>
      <c r="J3049" s="119" t="s">
        <v>23</v>
      </c>
      <c r="K3049" s="13">
        <v>23.02</v>
      </c>
      <c r="L3049" s="13">
        <v>1686.82</v>
      </c>
      <c r="M3049" s="198"/>
    </row>
    <row r="3050" spans="1:20" ht="15" customHeight="1" outlineLevel="1" x14ac:dyDescent="0.25">
      <c r="A3050" s="59">
        <v>13</v>
      </c>
      <c r="B3050" s="7" t="s">
        <v>157</v>
      </c>
      <c r="C3050" s="60"/>
      <c r="D3050" s="61"/>
      <c r="E3050" s="61"/>
      <c r="F3050" s="61"/>
      <c r="G3050" s="61"/>
      <c r="H3050" s="61"/>
      <c r="I3050" s="61"/>
      <c r="J3050" s="61"/>
      <c r="K3050" s="62"/>
      <c r="L3050" s="62"/>
      <c r="M3050" s="63"/>
    </row>
    <row r="3051" spans="1:20" ht="15" customHeight="1" outlineLevel="1" x14ac:dyDescent="0.25">
      <c r="A3051" s="146" t="s">
        <v>116</v>
      </c>
      <c r="B3051" s="146" t="s">
        <v>128</v>
      </c>
      <c r="C3051" s="146" t="s">
        <v>290</v>
      </c>
      <c r="D3051" s="137">
        <v>42723</v>
      </c>
      <c r="E3051" s="137" t="s">
        <v>695</v>
      </c>
      <c r="F3051" s="12">
        <v>43466</v>
      </c>
      <c r="G3051" s="12">
        <v>43646</v>
      </c>
      <c r="H3051" s="149" t="s">
        <v>797</v>
      </c>
      <c r="I3051" s="66">
        <v>40.51</v>
      </c>
      <c r="J3051" s="13">
        <v>2019.3</v>
      </c>
      <c r="K3051" s="15" t="s">
        <v>23</v>
      </c>
      <c r="L3051" s="15" t="s">
        <v>23</v>
      </c>
      <c r="M3051" s="153"/>
    </row>
    <row r="3052" spans="1:20" s="10" customFormat="1" ht="28.5" customHeight="1" x14ac:dyDescent="0.25">
      <c r="A3052" s="148"/>
      <c r="B3052" s="148"/>
      <c r="C3052" s="148"/>
      <c r="D3052" s="141"/>
      <c r="E3052" s="141"/>
      <c r="F3052" s="12">
        <v>43647</v>
      </c>
      <c r="G3052" s="12">
        <v>43830</v>
      </c>
      <c r="H3052" s="151"/>
      <c r="I3052" s="66">
        <v>41.7</v>
      </c>
      <c r="J3052" s="13">
        <v>2069.86</v>
      </c>
      <c r="K3052" s="15" t="s">
        <v>23</v>
      </c>
      <c r="L3052" s="15" t="s">
        <v>23</v>
      </c>
      <c r="M3052" s="152"/>
      <c r="N3052" s="69"/>
      <c r="O3052" s="11"/>
      <c r="Q3052" s="64"/>
      <c r="R3052" s="64"/>
      <c r="S3052" s="65"/>
      <c r="T3052" s="11"/>
    </row>
    <row r="3053" spans="1:20" ht="15" customHeight="1" outlineLevel="1" x14ac:dyDescent="0.25">
      <c r="A3053" s="148"/>
      <c r="B3053" s="148"/>
      <c r="C3053" s="148"/>
      <c r="D3053" s="137">
        <v>43454</v>
      </c>
      <c r="E3053" s="137" t="s">
        <v>796</v>
      </c>
      <c r="F3053" s="50">
        <v>43466</v>
      </c>
      <c r="G3053" s="50">
        <v>43646</v>
      </c>
      <c r="H3053" s="149"/>
      <c r="I3053" s="15" t="s">
        <v>23</v>
      </c>
      <c r="J3053" s="15" t="s">
        <v>23</v>
      </c>
      <c r="K3053" s="13">
        <v>27.376271186440601</v>
      </c>
      <c r="L3053" s="13">
        <v>1113.9277818717726</v>
      </c>
      <c r="M3053" s="196" t="s">
        <v>420</v>
      </c>
    </row>
    <row r="3054" spans="1:20" ht="15" customHeight="1" outlineLevel="1" x14ac:dyDescent="0.25">
      <c r="A3054" s="148"/>
      <c r="B3054" s="148"/>
      <c r="C3054" s="148"/>
      <c r="D3054" s="138"/>
      <c r="E3054" s="138"/>
      <c r="F3054" s="50">
        <v>43647</v>
      </c>
      <c r="G3054" s="50">
        <v>43830</v>
      </c>
      <c r="H3054" s="150"/>
      <c r="I3054" s="15" t="s">
        <v>23</v>
      </c>
      <c r="J3054" s="15" t="s">
        <v>23</v>
      </c>
      <c r="K3054" s="13">
        <v>27.923796610169415</v>
      </c>
      <c r="L3054" s="13">
        <v>1136.206337509208</v>
      </c>
      <c r="M3054" s="198"/>
    </row>
    <row r="3055" spans="1:20" ht="15" customHeight="1" outlineLevel="1" x14ac:dyDescent="0.25">
      <c r="A3055" s="148"/>
      <c r="B3055" s="148"/>
      <c r="C3055" s="148"/>
      <c r="D3055" s="138"/>
      <c r="E3055" s="138"/>
      <c r="F3055" s="50">
        <v>43466</v>
      </c>
      <c r="G3055" s="50">
        <v>43646</v>
      </c>
      <c r="H3055" s="150"/>
      <c r="I3055" s="15" t="s">
        <v>23</v>
      </c>
      <c r="J3055" s="15" t="s">
        <v>23</v>
      </c>
      <c r="K3055" s="13">
        <v>27.376271186440601</v>
      </c>
      <c r="L3055" s="13">
        <v>1220.0161420500367</v>
      </c>
      <c r="M3055" s="196" t="s">
        <v>421</v>
      </c>
    </row>
    <row r="3056" spans="1:20" ht="15" customHeight="1" outlineLevel="1" x14ac:dyDescent="0.25">
      <c r="A3056" s="148"/>
      <c r="B3056" s="148"/>
      <c r="C3056" s="148"/>
      <c r="D3056" s="138"/>
      <c r="E3056" s="138"/>
      <c r="F3056" s="50">
        <v>43647</v>
      </c>
      <c r="G3056" s="50">
        <v>43830</v>
      </c>
      <c r="H3056" s="150"/>
      <c r="I3056" s="15" t="s">
        <v>23</v>
      </c>
      <c r="J3056" s="15" t="s">
        <v>23</v>
      </c>
      <c r="K3056" s="13">
        <v>27.923796610169415</v>
      </c>
      <c r="L3056" s="13">
        <v>1244.4164648910375</v>
      </c>
      <c r="M3056" s="198"/>
    </row>
    <row r="3057" spans="1:13" ht="15" customHeight="1" outlineLevel="1" x14ac:dyDescent="0.25">
      <c r="A3057" s="148"/>
      <c r="B3057" s="148"/>
      <c r="C3057" s="148"/>
      <c r="D3057" s="138"/>
      <c r="E3057" s="138"/>
      <c r="F3057" s="50">
        <v>43466</v>
      </c>
      <c r="G3057" s="50">
        <v>43646</v>
      </c>
      <c r="H3057" s="150"/>
      <c r="I3057" s="15" t="s">
        <v>23</v>
      </c>
      <c r="J3057" s="15" t="s">
        <v>23</v>
      </c>
      <c r="K3057" s="13">
        <v>27.376271186440601</v>
      </c>
      <c r="L3057" s="13">
        <v>1038.662391204761</v>
      </c>
      <c r="M3057" s="196" t="s">
        <v>422</v>
      </c>
    </row>
    <row r="3058" spans="1:13" ht="15" customHeight="1" outlineLevel="1" x14ac:dyDescent="0.25">
      <c r="A3058" s="148"/>
      <c r="B3058" s="148"/>
      <c r="C3058" s="148"/>
      <c r="D3058" s="138"/>
      <c r="E3058" s="138"/>
      <c r="F3058" s="50">
        <v>43647</v>
      </c>
      <c r="G3058" s="50">
        <v>43830</v>
      </c>
      <c r="H3058" s="150"/>
      <c r="I3058" s="15" t="s">
        <v>23</v>
      </c>
      <c r="J3058" s="15" t="s">
        <v>23</v>
      </c>
      <c r="K3058" s="13">
        <v>27.923796610169415</v>
      </c>
      <c r="L3058" s="13">
        <v>1059.4356390288563</v>
      </c>
      <c r="M3058" s="198"/>
    </row>
    <row r="3059" spans="1:13" ht="15" customHeight="1" outlineLevel="1" x14ac:dyDescent="0.25">
      <c r="A3059" s="148"/>
      <c r="B3059" s="148"/>
      <c r="C3059" s="148"/>
      <c r="D3059" s="138"/>
      <c r="E3059" s="138"/>
      <c r="F3059" s="50">
        <v>43466</v>
      </c>
      <c r="G3059" s="50">
        <v>43646</v>
      </c>
      <c r="H3059" s="150"/>
      <c r="I3059" s="15" t="s">
        <v>23</v>
      </c>
      <c r="J3059" s="15" t="s">
        <v>23</v>
      </c>
      <c r="K3059" s="13">
        <v>27.376271186440601</v>
      </c>
      <c r="L3059" s="13">
        <v>1113.9277818717726</v>
      </c>
      <c r="M3059" s="196" t="s">
        <v>423</v>
      </c>
    </row>
    <row r="3060" spans="1:13" ht="15" customHeight="1" outlineLevel="1" x14ac:dyDescent="0.25">
      <c r="A3060" s="148"/>
      <c r="B3060" s="148"/>
      <c r="C3060" s="148"/>
      <c r="D3060" s="138"/>
      <c r="E3060" s="138"/>
      <c r="F3060" s="50">
        <v>43647</v>
      </c>
      <c r="G3060" s="50">
        <v>43830</v>
      </c>
      <c r="H3060" s="150"/>
      <c r="I3060" s="15" t="s">
        <v>23</v>
      </c>
      <c r="J3060" s="15" t="s">
        <v>23</v>
      </c>
      <c r="K3060" s="13">
        <v>27.923796610169415</v>
      </c>
      <c r="L3060" s="13">
        <v>1136.206337509208</v>
      </c>
      <c r="M3060" s="198"/>
    </row>
    <row r="3061" spans="1:13" ht="15" customHeight="1" outlineLevel="1" x14ac:dyDescent="0.25">
      <c r="A3061" s="148"/>
      <c r="B3061" s="148"/>
      <c r="C3061" s="148"/>
      <c r="D3061" s="138"/>
      <c r="E3061" s="138"/>
      <c r="F3061" s="50">
        <v>43466</v>
      </c>
      <c r="G3061" s="50">
        <v>43646</v>
      </c>
      <c r="H3061" s="150"/>
      <c r="I3061" s="15" t="s">
        <v>23</v>
      </c>
      <c r="J3061" s="15" t="s">
        <v>23</v>
      </c>
      <c r="K3061" s="13">
        <v>27.376271186440601</v>
      </c>
      <c r="L3061" s="13">
        <v>1164.560862865944</v>
      </c>
      <c r="M3061" s="196" t="s">
        <v>424</v>
      </c>
    </row>
    <row r="3062" spans="1:13" ht="15" customHeight="1" outlineLevel="1" x14ac:dyDescent="0.25">
      <c r="A3062" s="148"/>
      <c r="B3062" s="148"/>
      <c r="C3062" s="148"/>
      <c r="D3062" s="138"/>
      <c r="E3062" s="138"/>
      <c r="F3062" s="50">
        <v>43647</v>
      </c>
      <c r="G3062" s="50">
        <v>43830</v>
      </c>
      <c r="H3062" s="150"/>
      <c r="I3062" s="15" t="s">
        <v>23</v>
      </c>
      <c r="J3062" s="15" t="s">
        <v>23</v>
      </c>
      <c r="K3062" s="13">
        <v>27.923796610169415</v>
      </c>
      <c r="L3062" s="13">
        <v>1187.852080123263</v>
      </c>
      <c r="M3062" s="198"/>
    </row>
    <row r="3063" spans="1:13" ht="15" customHeight="1" outlineLevel="1" x14ac:dyDescent="0.25">
      <c r="A3063" s="148"/>
      <c r="B3063" s="148"/>
      <c r="C3063" s="148"/>
      <c r="D3063" s="138"/>
      <c r="E3063" s="138"/>
      <c r="F3063" s="50">
        <v>43466</v>
      </c>
      <c r="G3063" s="50">
        <v>43646</v>
      </c>
      <c r="H3063" s="150"/>
      <c r="I3063" s="15" t="s">
        <v>23</v>
      </c>
      <c r="J3063" s="15" t="s">
        <v>23</v>
      </c>
      <c r="K3063" s="13">
        <v>27.376271186440601</v>
      </c>
      <c r="L3063" s="13">
        <v>1260.016671297579</v>
      </c>
      <c r="M3063" s="196" t="s">
        <v>425</v>
      </c>
    </row>
    <row r="3064" spans="1:13" ht="15" customHeight="1" outlineLevel="1" x14ac:dyDescent="0.25">
      <c r="A3064" s="148"/>
      <c r="B3064" s="148"/>
      <c r="C3064" s="148"/>
      <c r="D3064" s="138"/>
      <c r="E3064" s="138"/>
      <c r="F3064" s="50">
        <v>43647</v>
      </c>
      <c r="G3064" s="50">
        <v>43830</v>
      </c>
      <c r="H3064" s="150"/>
      <c r="I3064" s="15" t="s">
        <v>23</v>
      </c>
      <c r="J3064" s="15" t="s">
        <v>23</v>
      </c>
      <c r="K3064" s="13">
        <v>27.923796610169415</v>
      </c>
      <c r="L3064" s="13">
        <v>1285.2170047235306</v>
      </c>
      <c r="M3064" s="198"/>
    </row>
    <row r="3065" spans="1:13" ht="15" customHeight="1" outlineLevel="1" x14ac:dyDescent="0.25">
      <c r="A3065" s="148"/>
      <c r="B3065" s="148"/>
      <c r="C3065" s="148"/>
      <c r="D3065" s="138"/>
      <c r="E3065" s="138"/>
      <c r="F3065" s="50">
        <v>43466</v>
      </c>
      <c r="G3065" s="50">
        <v>43646</v>
      </c>
      <c r="H3065" s="150"/>
      <c r="I3065" s="15" t="s">
        <v>23</v>
      </c>
      <c r="J3065" s="15" t="s">
        <v>23</v>
      </c>
      <c r="K3065" s="13">
        <v>27.376271186440601</v>
      </c>
      <c r="L3065" s="13">
        <v>1067.5141242937823</v>
      </c>
      <c r="M3065" s="196" t="s">
        <v>426</v>
      </c>
    </row>
    <row r="3066" spans="1:13" ht="15" customHeight="1" outlineLevel="1" x14ac:dyDescent="0.25">
      <c r="A3066" s="148"/>
      <c r="B3066" s="148"/>
      <c r="C3066" s="148"/>
      <c r="D3066" s="138"/>
      <c r="E3066" s="138"/>
      <c r="F3066" s="50">
        <v>43647</v>
      </c>
      <c r="G3066" s="50">
        <v>43830</v>
      </c>
      <c r="H3066" s="150"/>
      <c r="I3066" s="15" t="s">
        <v>23</v>
      </c>
      <c r="J3066" s="15" t="s">
        <v>23</v>
      </c>
      <c r="K3066" s="13">
        <v>27.923796610169415</v>
      </c>
      <c r="L3066" s="13">
        <v>1088.8644067796579</v>
      </c>
      <c r="M3066" s="198"/>
    </row>
    <row r="3067" spans="1:13" ht="15" customHeight="1" outlineLevel="1" x14ac:dyDescent="0.25">
      <c r="A3067" s="148"/>
      <c r="B3067" s="148"/>
      <c r="C3067" s="148"/>
      <c r="D3067" s="138"/>
      <c r="E3067" s="138"/>
      <c r="F3067" s="50">
        <v>43466</v>
      </c>
      <c r="G3067" s="50">
        <v>43646</v>
      </c>
      <c r="H3067" s="150"/>
      <c r="I3067" s="15" t="s">
        <v>23</v>
      </c>
      <c r="J3067" s="15" t="s">
        <v>23</v>
      </c>
      <c r="K3067" s="13">
        <v>27.376271186440601</v>
      </c>
      <c r="L3067" s="13">
        <v>1164.560862865944</v>
      </c>
      <c r="M3067" s="196" t="s">
        <v>427</v>
      </c>
    </row>
    <row r="3068" spans="1:13" ht="15" customHeight="1" outlineLevel="1" x14ac:dyDescent="0.25">
      <c r="A3068" s="147"/>
      <c r="B3068" s="147"/>
      <c r="C3068" s="148"/>
      <c r="D3068" s="141"/>
      <c r="E3068" s="141"/>
      <c r="F3068" s="50">
        <v>43647</v>
      </c>
      <c r="G3068" s="50">
        <v>43830</v>
      </c>
      <c r="H3068" s="151"/>
      <c r="I3068" s="15" t="s">
        <v>23</v>
      </c>
      <c r="J3068" s="15" t="s">
        <v>23</v>
      </c>
      <c r="K3068" s="13">
        <v>27.923796610169415</v>
      </c>
      <c r="L3068" s="13">
        <v>1187.852080123263</v>
      </c>
      <c r="M3068" s="198"/>
    </row>
    <row r="3069" spans="1:13" ht="15" customHeight="1" outlineLevel="1" x14ac:dyDescent="0.25">
      <c r="A3069" s="146" t="s">
        <v>116</v>
      </c>
      <c r="B3069" s="146" t="s">
        <v>650</v>
      </c>
      <c r="C3069" s="148"/>
      <c r="D3069" s="156">
        <v>42723</v>
      </c>
      <c r="E3069" s="156" t="s">
        <v>695</v>
      </c>
      <c r="F3069" s="51">
        <v>43466</v>
      </c>
      <c r="G3069" s="51">
        <v>43646</v>
      </c>
      <c r="H3069" s="168" t="s">
        <v>797</v>
      </c>
      <c r="I3069" s="66">
        <v>40.51</v>
      </c>
      <c r="J3069" s="13">
        <v>2019.3</v>
      </c>
      <c r="K3069" s="15" t="s">
        <v>23</v>
      </c>
      <c r="L3069" s="15" t="s">
        <v>23</v>
      </c>
      <c r="M3069" s="183" t="s">
        <v>651</v>
      </c>
    </row>
    <row r="3070" spans="1:13" ht="15" customHeight="1" outlineLevel="1" x14ac:dyDescent="0.25">
      <c r="A3070" s="147"/>
      <c r="B3070" s="147"/>
      <c r="C3070" s="148"/>
      <c r="D3070" s="156"/>
      <c r="E3070" s="156"/>
      <c r="F3070" s="51">
        <v>43647</v>
      </c>
      <c r="G3070" s="51">
        <v>43830</v>
      </c>
      <c r="H3070" s="168"/>
      <c r="I3070" s="66">
        <v>41.7</v>
      </c>
      <c r="J3070" s="13">
        <v>2069.86</v>
      </c>
      <c r="K3070" s="15" t="s">
        <v>23</v>
      </c>
      <c r="L3070" s="15" t="s">
        <v>23</v>
      </c>
      <c r="M3070" s="183"/>
    </row>
    <row r="3071" spans="1:13" ht="15" customHeight="1" outlineLevel="1" x14ac:dyDescent="0.25">
      <c r="A3071" s="146" t="s">
        <v>116</v>
      </c>
      <c r="B3071" s="146" t="s">
        <v>506</v>
      </c>
      <c r="C3071" s="148"/>
      <c r="D3071" s="156">
        <v>43087</v>
      </c>
      <c r="E3071" s="156" t="s">
        <v>798</v>
      </c>
      <c r="F3071" s="51">
        <v>43466</v>
      </c>
      <c r="G3071" s="51">
        <v>43646</v>
      </c>
      <c r="H3071" s="168" t="s">
        <v>799</v>
      </c>
      <c r="I3071" s="66">
        <v>46.59</v>
      </c>
      <c r="J3071" s="13">
        <v>1760.39</v>
      </c>
      <c r="K3071" s="15" t="s">
        <v>23</v>
      </c>
      <c r="L3071" s="15" t="s">
        <v>23</v>
      </c>
      <c r="M3071" s="183" t="s">
        <v>651</v>
      </c>
    </row>
    <row r="3072" spans="1:13" ht="15" customHeight="1" outlineLevel="1" x14ac:dyDescent="0.25">
      <c r="A3072" s="147"/>
      <c r="B3072" s="147"/>
      <c r="C3072" s="147"/>
      <c r="D3072" s="156"/>
      <c r="E3072" s="156"/>
      <c r="F3072" s="51">
        <v>43647</v>
      </c>
      <c r="G3072" s="51">
        <v>43830</v>
      </c>
      <c r="H3072" s="168"/>
      <c r="I3072" s="66">
        <v>48.45</v>
      </c>
      <c r="J3072" s="13">
        <v>1798.35</v>
      </c>
      <c r="K3072" s="15" t="s">
        <v>23</v>
      </c>
      <c r="L3072" s="15" t="s">
        <v>23</v>
      </c>
      <c r="M3072" s="183"/>
    </row>
    <row r="3073" spans="1:13" ht="15" customHeight="1" outlineLevel="1" x14ac:dyDescent="0.25">
      <c r="A3073" s="146" t="s">
        <v>116</v>
      </c>
      <c r="B3073" s="146" t="s">
        <v>509</v>
      </c>
      <c r="C3073" s="146" t="s">
        <v>328</v>
      </c>
      <c r="D3073" s="137">
        <v>43434</v>
      </c>
      <c r="E3073" s="137" t="s">
        <v>649</v>
      </c>
      <c r="F3073" s="12">
        <v>43466</v>
      </c>
      <c r="G3073" s="12">
        <v>43646</v>
      </c>
      <c r="H3073" s="149"/>
      <c r="I3073" s="66">
        <v>54.4</v>
      </c>
      <c r="J3073" s="13">
        <v>3688.43</v>
      </c>
      <c r="K3073" s="15" t="s">
        <v>23</v>
      </c>
      <c r="L3073" s="15" t="s">
        <v>23</v>
      </c>
      <c r="M3073" s="153" t="s">
        <v>29</v>
      </c>
    </row>
    <row r="3074" spans="1:13" ht="15" customHeight="1" outlineLevel="1" x14ac:dyDescent="0.25">
      <c r="A3074" s="148"/>
      <c r="B3074" s="148"/>
      <c r="C3074" s="148"/>
      <c r="D3074" s="141"/>
      <c r="E3074" s="141"/>
      <c r="F3074" s="12">
        <v>43647</v>
      </c>
      <c r="G3074" s="12">
        <v>43830</v>
      </c>
      <c r="H3074" s="151"/>
      <c r="I3074" s="66">
        <v>60.5</v>
      </c>
      <c r="J3074" s="13">
        <v>3834.19</v>
      </c>
      <c r="K3074" s="15" t="s">
        <v>23</v>
      </c>
      <c r="L3074" s="15" t="s">
        <v>23</v>
      </c>
      <c r="M3074" s="152"/>
    </row>
    <row r="3075" spans="1:13" ht="15" customHeight="1" outlineLevel="1" x14ac:dyDescent="0.25">
      <c r="A3075" s="148"/>
      <c r="B3075" s="148"/>
      <c r="C3075" s="148"/>
      <c r="D3075" s="137">
        <v>43454</v>
      </c>
      <c r="E3075" s="137" t="s">
        <v>646</v>
      </c>
      <c r="F3075" s="50">
        <v>43466</v>
      </c>
      <c r="G3075" s="50">
        <v>43646</v>
      </c>
      <c r="H3075" s="149"/>
      <c r="I3075" s="15" t="s">
        <v>23</v>
      </c>
      <c r="J3075" s="15" t="s">
        <v>23</v>
      </c>
      <c r="K3075" s="13">
        <v>26.38</v>
      </c>
      <c r="L3075" s="13">
        <v>1600.14</v>
      </c>
      <c r="M3075" s="196" t="s">
        <v>420</v>
      </c>
    </row>
    <row r="3076" spans="1:13" ht="15" customHeight="1" outlineLevel="1" x14ac:dyDescent="0.25">
      <c r="A3076" s="148"/>
      <c r="B3076" s="148"/>
      <c r="C3076" s="148"/>
      <c r="D3076" s="138"/>
      <c r="E3076" s="138"/>
      <c r="F3076" s="50">
        <v>43647</v>
      </c>
      <c r="G3076" s="50">
        <v>43830</v>
      </c>
      <c r="H3076" s="150"/>
      <c r="I3076" s="15" t="s">
        <v>23</v>
      </c>
      <c r="J3076" s="15" t="s">
        <v>23</v>
      </c>
      <c r="K3076" s="13">
        <v>26.91</v>
      </c>
      <c r="L3076" s="13">
        <v>1632.14</v>
      </c>
      <c r="M3076" s="198"/>
    </row>
    <row r="3077" spans="1:13" ht="15" customHeight="1" outlineLevel="1" x14ac:dyDescent="0.25">
      <c r="A3077" s="148"/>
      <c r="B3077" s="148"/>
      <c r="C3077" s="148"/>
      <c r="D3077" s="138"/>
      <c r="E3077" s="138"/>
      <c r="F3077" s="50">
        <v>43466</v>
      </c>
      <c r="G3077" s="50">
        <v>43646</v>
      </c>
      <c r="H3077" s="150"/>
      <c r="I3077" s="15" t="s">
        <v>23</v>
      </c>
      <c r="J3077" s="15" t="s">
        <v>23</v>
      </c>
      <c r="K3077" s="13">
        <v>26.38</v>
      </c>
      <c r="L3077" s="13">
        <v>1752.54</v>
      </c>
      <c r="M3077" s="196" t="s">
        <v>421</v>
      </c>
    </row>
    <row r="3078" spans="1:13" ht="15" customHeight="1" outlineLevel="1" x14ac:dyDescent="0.25">
      <c r="A3078" s="148"/>
      <c r="B3078" s="148"/>
      <c r="C3078" s="148"/>
      <c r="D3078" s="138"/>
      <c r="E3078" s="138"/>
      <c r="F3078" s="50">
        <v>43647</v>
      </c>
      <c r="G3078" s="50">
        <v>43830</v>
      </c>
      <c r="H3078" s="150"/>
      <c r="I3078" s="15" t="s">
        <v>23</v>
      </c>
      <c r="J3078" s="15" t="s">
        <v>23</v>
      </c>
      <c r="K3078" s="13">
        <v>26.91</v>
      </c>
      <c r="L3078" s="13">
        <v>1787.59</v>
      </c>
      <c r="M3078" s="198"/>
    </row>
    <row r="3079" spans="1:13" ht="15" customHeight="1" outlineLevel="1" x14ac:dyDescent="0.25">
      <c r="A3079" s="148"/>
      <c r="B3079" s="148"/>
      <c r="C3079" s="148"/>
      <c r="D3079" s="138"/>
      <c r="E3079" s="138"/>
      <c r="F3079" s="50">
        <v>43466</v>
      </c>
      <c r="G3079" s="50">
        <v>43646</v>
      </c>
      <c r="H3079" s="150"/>
      <c r="I3079" s="15" t="s">
        <v>23</v>
      </c>
      <c r="J3079" s="15" t="s">
        <v>23</v>
      </c>
      <c r="K3079" s="13">
        <v>26.38</v>
      </c>
      <c r="L3079" s="13">
        <v>1492.03</v>
      </c>
      <c r="M3079" s="196" t="s">
        <v>422</v>
      </c>
    </row>
    <row r="3080" spans="1:13" ht="15" customHeight="1" outlineLevel="1" x14ac:dyDescent="0.25">
      <c r="A3080" s="148"/>
      <c r="B3080" s="148"/>
      <c r="C3080" s="148"/>
      <c r="D3080" s="138"/>
      <c r="E3080" s="138"/>
      <c r="F3080" s="50">
        <v>43647</v>
      </c>
      <c r="G3080" s="50">
        <v>43830</v>
      </c>
      <c r="H3080" s="150"/>
      <c r="I3080" s="15" t="s">
        <v>23</v>
      </c>
      <c r="J3080" s="15" t="s">
        <v>23</v>
      </c>
      <c r="K3080" s="13">
        <v>26.91</v>
      </c>
      <c r="L3080" s="13">
        <v>1521.87</v>
      </c>
      <c r="M3080" s="198"/>
    </row>
    <row r="3081" spans="1:13" ht="15" customHeight="1" outlineLevel="1" x14ac:dyDescent="0.25">
      <c r="A3081" s="148"/>
      <c r="B3081" s="148"/>
      <c r="C3081" s="148"/>
      <c r="D3081" s="138"/>
      <c r="E3081" s="138"/>
      <c r="F3081" s="50">
        <v>43466</v>
      </c>
      <c r="G3081" s="50">
        <v>43646</v>
      </c>
      <c r="H3081" s="150"/>
      <c r="I3081" s="15" t="s">
        <v>23</v>
      </c>
      <c r="J3081" s="15" t="s">
        <v>23</v>
      </c>
      <c r="K3081" s="13">
        <v>26.38</v>
      </c>
      <c r="L3081" s="13">
        <v>1600.14</v>
      </c>
      <c r="M3081" s="196" t="s">
        <v>423</v>
      </c>
    </row>
    <row r="3082" spans="1:13" ht="15" customHeight="1" outlineLevel="1" x14ac:dyDescent="0.25">
      <c r="A3082" s="148"/>
      <c r="B3082" s="148"/>
      <c r="C3082" s="148"/>
      <c r="D3082" s="138"/>
      <c r="E3082" s="138"/>
      <c r="F3082" s="50">
        <v>43647</v>
      </c>
      <c r="G3082" s="50">
        <v>43830</v>
      </c>
      <c r="H3082" s="150"/>
      <c r="I3082" s="15" t="s">
        <v>23</v>
      </c>
      <c r="J3082" s="15" t="s">
        <v>23</v>
      </c>
      <c r="K3082" s="13">
        <v>26.91</v>
      </c>
      <c r="L3082" s="13">
        <v>1632.14</v>
      </c>
      <c r="M3082" s="198"/>
    </row>
    <row r="3083" spans="1:13" ht="15" customHeight="1" outlineLevel="1" x14ac:dyDescent="0.25">
      <c r="A3083" s="148"/>
      <c r="B3083" s="148"/>
      <c r="C3083" s="148"/>
      <c r="D3083" s="138"/>
      <c r="E3083" s="138"/>
      <c r="F3083" s="50">
        <v>43466</v>
      </c>
      <c r="G3083" s="50">
        <v>43646</v>
      </c>
      <c r="H3083" s="150"/>
      <c r="I3083" s="15" t="s">
        <v>23</v>
      </c>
      <c r="J3083" s="15" t="s">
        <v>23</v>
      </c>
      <c r="K3083" s="13">
        <v>26.38</v>
      </c>
      <c r="L3083" s="13">
        <v>1672.88</v>
      </c>
      <c r="M3083" s="196" t="s">
        <v>424</v>
      </c>
    </row>
    <row r="3084" spans="1:13" ht="15" customHeight="1" outlineLevel="1" x14ac:dyDescent="0.25">
      <c r="A3084" s="148"/>
      <c r="B3084" s="148"/>
      <c r="C3084" s="148"/>
      <c r="D3084" s="138"/>
      <c r="E3084" s="138"/>
      <c r="F3084" s="50">
        <v>43647</v>
      </c>
      <c r="G3084" s="50">
        <v>43830</v>
      </c>
      <c r="H3084" s="150"/>
      <c r="I3084" s="15" t="s">
        <v>23</v>
      </c>
      <c r="J3084" s="15" t="s">
        <v>23</v>
      </c>
      <c r="K3084" s="13">
        <v>26.91</v>
      </c>
      <c r="L3084" s="13">
        <v>1706.33</v>
      </c>
      <c r="M3084" s="198"/>
    </row>
    <row r="3085" spans="1:13" ht="15" customHeight="1" outlineLevel="1" x14ac:dyDescent="0.25">
      <c r="A3085" s="148"/>
      <c r="B3085" s="148"/>
      <c r="C3085" s="148"/>
      <c r="D3085" s="138"/>
      <c r="E3085" s="138"/>
      <c r="F3085" s="50">
        <v>43466</v>
      </c>
      <c r="G3085" s="50">
        <v>43646</v>
      </c>
      <c r="H3085" s="150"/>
      <c r="I3085" s="15" t="s">
        <v>23</v>
      </c>
      <c r="J3085" s="15" t="s">
        <v>23</v>
      </c>
      <c r="K3085" s="13">
        <v>26.38</v>
      </c>
      <c r="L3085" s="13">
        <v>1810</v>
      </c>
      <c r="M3085" s="196" t="s">
        <v>425</v>
      </c>
    </row>
    <row r="3086" spans="1:13" ht="15" customHeight="1" outlineLevel="1" x14ac:dyDescent="0.25">
      <c r="A3086" s="148"/>
      <c r="B3086" s="148"/>
      <c r="C3086" s="148"/>
      <c r="D3086" s="138"/>
      <c r="E3086" s="138"/>
      <c r="F3086" s="50">
        <v>43647</v>
      </c>
      <c r="G3086" s="50">
        <v>43830</v>
      </c>
      <c r="H3086" s="150"/>
      <c r="I3086" s="15" t="s">
        <v>23</v>
      </c>
      <c r="J3086" s="15" t="s">
        <v>23</v>
      </c>
      <c r="K3086" s="13">
        <v>26.91</v>
      </c>
      <c r="L3086" s="13">
        <v>1846.2</v>
      </c>
      <c r="M3086" s="198"/>
    </row>
    <row r="3087" spans="1:13" ht="15" customHeight="1" outlineLevel="1" x14ac:dyDescent="0.25">
      <c r="A3087" s="148"/>
      <c r="B3087" s="148"/>
      <c r="C3087" s="148"/>
      <c r="D3087" s="138"/>
      <c r="E3087" s="138"/>
      <c r="F3087" s="50">
        <v>43466</v>
      </c>
      <c r="G3087" s="50">
        <v>43646</v>
      </c>
      <c r="H3087" s="150"/>
      <c r="I3087" s="15" t="s">
        <v>23</v>
      </c>
      <c r="J3087" s="15" t="s">
        <v>23</v>
      </c>
      <c r="K3087" s="13">
        <v>26.38</v>
      </c>
      <c r="L3087" s="13">
        <v>1533.47</v>
      </c>
      <c r="M3087" s="196" t="s">
        <v>426</v>
      </c>
    </row>
    <row r="3088" spans="1:13" ht="15" customHeight="1" outlineLevel="1" x14ac:dyDescent="0.25">
      <c r="A3088" s="148"/>
      <c r="B3088" s="148"/>
      <c r="C3088" s="148"/>
      <c r="D3088" s="138"/>
      <c r="E3088" s="138"/>
      <c r="F3088" s="50">
        <v>43647</v>
      </c>
      <c r="G3088" s="50">
        <v>43830</v>
      </c>
      <c r="H3088" s="150"/>
      <c r="I3088" s="15" t="s">
        <v>23</v>
      </c>
      <c r="J3088" s="15" t="s">
        <v>23</v>
      </c>
      <c r="K3088" s="13">
        <v>26.91</v>
      </c>
      <c r="L3088" s="13">
        <v>1564.14</v>
      </c>
      <c r="M3088" s="198"/>
    </row>
    <row r="3089" spans="1:13" ht="15" customHeight="1" outlineLevel="1" x14ac:dyDescent="0.25">
      <c r="A3089" s="148"/>
      <c r="B3089" s="148"/>
      <c r="C3089" s="148"/>
      <c r="D3089" s="138"/>
      <c r="E3089" s="138"/>
      <c r="F3089" s="50">
        <v>43466</v>
      </c>
      <c r="G3089" s="50">
        <v>43646</v>
      </c>
      <c r="H3089" s="150"/>
      <c r="I3089" s="15" t="s">
        <v>23</v>
      </c>
      <c r="J3089" s="15" t="s">
        <v>23</v>
      </c>
      <c r="K3089" s="13">
        <v>26.38</v>
      </c>
      <c r="L3089" s="13">
        <v>1672.88</v>
      </c>
      <c r="M3089" s="196" t="s">
        <v>427</v>
      </c>
    </row>
    <row r="3090" spans="1:13" ht="15" customHeight="1" outlineLevel="1" x14ac:dyDescent="0.25">
      <c r="A3090" s="147"/>
      <c r="B3090" s="147"/>
      <c r="C3090" s="147"/>
      <c r="D3090" s="141"/>
      <c r="E3090" s="141"/>
      <c r="F3090" s="50">
        <v>43647</v>
      </c>
      <c r="G3090" s="50">
        <v>43830</v>
      </c>
      <c r="H3090" s="151"/>
      <c r="I3090" s="15" t="s">
        <v>23</v>
      </c>
      <c r="J3090" s="15" t="s">
        <v>23</v>
      </c>
      <c r="K3090" s="13">
        <v>26.91</v>
      </c>
      <c r="L3090" s="13">
        <v>1706.34</v>
      </c>
      <c r="M3090" s="198"/>
    </row>
    <row r="3091" spans="1:13" ht="15" customHeight="1" outlineLevel="1" x14ac:dyDescent="0.25">
      <c r="A3091" s="59">
        <v>14</v>
      </c>
      <c r="B3091" s="7" t="s">
        <v>158</v>
      </c>
      <c r="C3091" s="60"/>
      <c r="D3091" s="61"/>
      <c r="E3091" s="61"/>
      <c r="F3091" s="61"/>
      <c r="G3091" s="61"/>
      <c r="H3091" s="61"/>
      <c r="I3091" s="61"/>
      <c r="J3091" s="61"/>
      <c r="K3091" s="62"/>
      <c r="L3091" s="62"/>
      <c r="M3091" s="63"/>
    </row>
    <row r="3092" spans="1:13" ht="15" customHeight="1" outlineLevel="1" x14ac:dyDescent="0.25">
      <c r="A3092" s="146" t="s">
        <v>53</v>
      </c>
      <c r="B3092" s="146" t="s">
        <v>54</v>
      </c>
      <c r="C3092" s="146" t="s">
        <v>448</v>
      </c>
      <c r="D3092" s="137">
        <v>43083</v>
      </c>
      <c r="E3092" s="137" t="s">
        <v>608</v>
      </c>
      <c r="F3092" s="12">
        <v>43466</v>
      </c>
      <c r="G3092" s="12">
        <v>43646</v>
      </c>
      <c r="H3092" s="149" t="s">
        <v>807</v>
      </c>
      <c r="I3092" s="66">
        <v>28.36</v>
      </c>
      <c r="J3092" s="13">
        <v>2872.24</v>
      </c>
      <c r="K3092" s="15" t="s">
        <v>23</v>
      </c>
      <c r="L3092" s="15" t="s">
        <v>23</v>
      </c>
      <c r="M3092" s="153"/>
    </row>
    <row r="3093" spans="1:13" ht="15" customHeight="1" outlineLevel="1" x14ac:dyDescent="0.25">
      <c r="A3093" s="148"/>
      <c r="B3093" s="148"/>
      <c r="C3093" s="148"/>
      <c r="D3093" s="141"/>
      <c r="E3093" s="141"/>
      <c r="F3093" s="12">
        <v>43647</v>
      </c>
      <c r="G3093" s="12">
        <v>43830</v>
      </c>
      <c r="H3093" s="151"/>
      <c r="I3093" s="66">
        <v>31.31</v>
      </c>
      <c r="J3093" s="13">
        <v>3270.55</v>
      </c>
      <c r="K3093" s="15" t="s">
        <v>23</v>
      </c>
      <c r="L3093" s="15" t="s">
        <v>23</v>
      </c>
      <c r="M3093" s="152"/>
    </row>
    <row r="3094" spans="1:13" ht="15" customHeight="1" outlineLevel="1" x14ac:dyDescent="0.25">
      <c r="A3094" s="148"/>
      <c r="B3094" s="148"/>
      <c r="C3094" s="148"/>
      <c r="D3094" s="137">
        <v>43454</v>
      </c>
      <c r="E3094" s="137" t="s">
        <v>808</v>
      </c>
      <c r="F3094" s="50">
        <v>43466</v>
      </c>
      <c r="G3094" s="50">
        <v>43646</v>
      </c>
      <c r="H3094" s="149"/>
      <c r="I3094" s="15" t="s">
        <v>23</v>
      </c>
      <c r="J3094" s="15" t="s">
        <v>23</v>
      </c>
      <c r="K3094" s="13">
        <v>25.32</v>
      </c>
      <c r="L3094" s="13">
        <v>2229.5799557848122</v>
      </c>
      <c r="M3094" s="196" t="s">
        <v>420</v>
      </c>
    </row>
    <row r="3095" spans="1:13" ht="15" customHeight="1" outlineLevel="1" x14ac:dyDescent="0.25">
      <c r="A3095" s="148"/>
      <c r="B3095" s="148"/>
      <c r="C3095" s="148"/>
      <c r="D3095" s="138"/>
      <c r="E3095" s="138"/>
      <c r="F3095" s="50">
        <v>43647</v>
      </c>
      <c r="G3095" s="50">
        <v>43830</v>
      </c>
      <c r="H3095" s="150"/>
      <c r="I3095" s="15" t="s">
        <v>23</v>
      </c>
      <c r="J3095" s="15" t="s">
        <v>23</v>
      </c>
      <c r="K3095" s="13">
        <v>25.32</v>
      </c>
      <c r="L3095" s="13">
        <v>2229.5799557848122</v>
      </c>
      <c r="M3095" s="198"/>
    </row>
    <row r="3096" spans="1:13" ht="15" customHeight="1" outlineLevel="1" x14ac:dyDescent="0.25">
      <c r="A3096" s="148"/>
      <c r="B3096" s="148"/>
      <c r="C3096" s="148"/>
      <c r="D3096" s="138"/>
      <c r="E3096" s="138"/>
      <c r="F3096" s="50">
        <v>43466</v>
      </c>
      <c r="G3096" s="50">
        <v>43646</v>
      </c>
      <c r="H3096" s="150"/>
      <c r="I3096" s="15" t="s">
        <v>23</v>
      </c>
      <c r="J3096" s="15" t="s">
        <v>23</v>
      </c>
      <c r="K3096" s="13">
        <v>25.32</v>
      </c>
      <c r="L3096" s="13">
        <v>2441.9209039547945</v>
      </c>
      <c r="M3096" s="196" t="s">
        <v>421</v>
      </c>
    </row>
    <row r="3097" spans="1:13" ht="15" customHeight="1" outlineLevel="1" x14ac:dyDescent="0.25">
      <c r="A3097" s="148"/>
      <c r="B3097" s="148"/>
      <c r="C3097" s="148"/>
      <c r="D3097" s="138"/>
      <c r="E3097" s="138"/>
      <c r="F3097" s="50">
        <v>43647</v>
      </c>
      <c r="G3097" s="50">
        <v>43830</v>
      </c>
      <c r="H3097" s="150"/>
      <c r="I3097" s="15" t="s">
        <v>23</v>
      </c>
      <c r="J3097" s="15" t="s">
        <v>23</v>
      </c>
      <c r="K3097" s="13">
        <v>25.32</v>
      </c>
      <c r="L3097" s="13">
        <v>2441.9209039547945</v>
      </c>
      <c r="M3097" s="198"/>
    </row>
    <row r="3098" spans="1:13" ht="15" customHeight="1" outlineLevel="1" x14ac:dyDescent="0.25">
      <c r="A3098" s="148"/>
      <c r="B3098" s="148"/>
      <c r="C3098" s="148"/>
      <c r="D3098" s="138"/>
      <c r="E3098" s="138"/>
      <c r="F3098" s="50">
        <v>43466</v>
      </c>
      <c r="G3098" s="50">
        <v>43646</v>
      </c>
      <c r="H3098" s="150"/>
      <c r="I3098" s="15" t="s">
        <v>23</v>
      </c>
      <c r="J3098" s="15" t="s">
        <v>23</v>
      </c>
      <c r="K3098" s="13">
        <v>25.32</v>
      </c>
      <c r="L3098" s="13">
        <v>2078.932661475028</v>
      </c>
      <c r="M3098" s="196" t="s">
        <v>422</v>
      </c>
    </row>
    <row r="3099" spans="1:13" ht="15" customHeight="1" outlineLevel="1" x14ac:dyDescent="0.25">
      <c r="A3099" s="148"/>
      <c r="B3099" s="148"/>
      <c r="C3099" s="148"/>
      <c r="D3099" s="138"/>
      <c r="E3099" s="138"/>
      <c r="F3099" s="50">
        <v>43647</v>
      </c>
      <c r="G3099" s="50">
        <v>43830</v>
      </c>
      <c r="H3099" s="150"/>
      <c r="I3099" s="15" t="s">
        <v>23</v>
      </c>
      <c r="J3099" s="15" t="s">
        <v>23</v>
      </c>
      <c r="K3099" s="13">
        <v>25.32</v>
      </c>
      <c r="L3099" s="13">
        <v>2078.932661475028</v>
      </c>
      <c r="M3099" s="198"/>
    </row>
    <row r="3100" spans="1:13" ht="15" customHeight="1" outlineLevel="1" x14ac:dyDescent="0.25">
      <c r="A3100" s="148"/>
      <c r="B3100" s="148"/>
      <c r="C3100" s="148"/>
      <c r="D3100" s="138"/>
      <c r="E3100" s="138"/>
      <c r="F3100" s="50">
        <v>43466</v>
      </c>
      <c r="G3100" s="50">
        <v>43646</v>
      </c>
      <c r="H3100" s="150"/>
      <c r="I3100" s="15" t="s">
        <v>23</v>
      </c>
      <c r="J3100" s="15" t="s">
        <v>23</v>
      </c>
      <c r="K3100" s="13">
        <v>25.32</v>
      </c>
      <c r="L3100" s="13">
        <v>2229.5799557848122</v>
      </c>
      <c r="M3100" s="196" t="s">
        <v>423</v>
      </c>
    </row>
    <row r="3101" spans="1:13" ht="15" customHeight="1" outlineLevel="1" x14ac:dyDescent="0.25">
      <c r="A3101" s="148"/>
      <c r="B3101" s="148"/>
      <c r="C3101" s="148"/>
      <c r="D3101" s="138"/>
      <c r="E3101" s="138"/>
      <c r="F3101" s="50">
        <v>43647</v>
      </c>
      <c r="G3101" s="50">
        <v>43830</v>
      </c>
      <c r="H3101" s="150"/>
      <c r="I3101" s="15" t="s">
        <v>23</v>
      </c>
      <c r="J3101" s="15" t="s">
        <v>23</v>
      </c>
      <c r="K3101" s="13">
        <v>25.32</v>
      </c>
      <c r="L3101" s="13">
        <v>2229.5799557848122</v>
      </c>
      <c r="M3101" s="198"/>
    </row>
    <row r="3102" spans="1:13" ht="15" customHeight="1" outlineLevel="1" x14ac:dyDescent="0.25">
      <c r="A3102" s="148"/>
      <c r="B3102" s="148"/>
      <c r="C3102" s="148"/>
      <c r="D3102" s="138"/>
      <c r="E3102" s="138"/>
      <c r="F3102" s="50">
        <v>43466</v>
      </c>
      <c r="G3102" s="50">
        <v>43646</v>
      </c>
      <c r="H3102" s="150"/>
      <c r="I3102" s="15" t="s">
        <v>23</v>
      </c>
      <c r="J3102" s="15" t="s">
        <v>23</v>
      </c>
      <c r="K3102" s="13">
        <v>25.32</v>
      </c>
      <c r="L3102" s="13">
        <v>2330.9244992295762</v>
      </c>
      <c r="M3102" s="196" t="s">
        <v>424</v>
      </c>
    </row>
    <row r="3103" spans="1:13" ht="15" customHeight="1" outlineLevel="1" x14ac:dyDescent="0.25">
      <c r="A3103" s="148"/>
      <c r="B3103" s="148"/>
      <c r="C3103" s="148"/>
      <c r="D3103" s="138"/>
      <c r="E3103" s="138"/>
      <c r="F3103" s="50">
        <v>43647</v>
      </c>
      <c r="G3103" s="50">
        <v>43830</v>
      </c>
      <c r="H3103" s="150"/>
      <c r="I3103" s="15" t="s">
        <v>23</v>
      </c>
      <c r="J3103" s="15" t="s">
        <v>23</v>
      </c>
      <c r="K3103" s="13">
        <v>25.32</v>
      </c>
      <c r="L3103" s="13">
        <v>2330.9244992295762</v>
      </c>
      <c r="M3103" s="198"/>
    </row>
    <row r="3104" spans="1:13" ht="15" customHeight="1" outlineLevel="1" x14ac:dyDescent="0.25">
      <c r="A3104" s="148"/>
      <c r="B3104" s="148"/>
      <c r="C3104" s="148"/>
      <c r="D3104" s="138"/>
      <c r="E3104" s="138"/>
      <c r="F3104" s="50">
        <v>43466</v>
      </c>
      <c r="G3104" s="50">
        <v>43646</v>
      </c>
      <c r="H3104" s="150"/>
      <c r="I3104" s="15" t="s">
        <v>23</v>
      </c>
      <c r="J3104" s="15" t="s">
        <v>23</v>
      </c>
      <c r="K3104" s="13">
        <v>25.32</v>
      </c>
      <c r="L3104" s="13">
        <v>2521.9838844123287</v>
      </c>
      <c r="M3104" s="196" t="s">
        <v>425</v>
      </c>
    </row>
    <row r="3105" spans="1:13" ht="15" customHeight="1" outlineLevel="1" x14ac:dyDescent="0.25">
      <c r="A3105" s="148"/>
      <c r="B3105" s="148"/>
      <c r="C3105" s="148"/>
      <c r="D3105" s="138"/>
      <c r="E3105" s="138"/>
      <c r="F3105" s="50">
        <v>43647</v>
      </c>
      <c r="G3105" s="50">
        <v>43830</v>
      </c>
      <c r="H3105" s="150"/>
      <c r="I3105" s="15" t="s">
        <v>23</v>
      </c>
      <c r="J3105" s="15" t="s">
        <v>23</v>
      </c>
      <c r="K3105" s="13">
        <v>25.32</v>
      </c>
      <c r="L3105" s="13">
        <v>2521.9838844123287</v>
      </c>
      <c r="M3105" s="198"/>
    </row>
    <row r="3106" spans="1:13" ht="15" customHeight="1" outlineLevel="1" x14ac:dyDescent="0.25">
      <c r="A3106" s="148"/>
      <c r="B3106" s="148"/>
      <c r="C3106" s="148"/>
      <c r="D3106" s="138"/>
      <c r="E3106" s="138"/>
      <c r="F3106" s="50">
        <v>43466</v>
      </c>
      <c r="G3106" s="50">
        <v>43646</v>
      </c>
      <c r="H3106" s="150"/>
      <c r="I3106" s="15" t="s">
        <v>23</v>
      </c>
      <c r="J3106" s="15" t="s">
        <v>23</v>
      </c>
      <c r="K3106" s="13">
        <v>25.32</v>
      </c>
      <c r="L3106" s="13">
        <v>2136.6807909604454</v>
      </c>
      <c r="M3106" s="196" t="s">
        <v>426</v>
      </c>
    </row>
    <row r="3107" spans="1:13" ht="15" customHeight="1" outlineLevel="1" x14ac:dyDescent="0.25">
      <c r="A3107" s="148"/>
      <c r="B3107" s="148"/>
      <c r="C3107" s="148"/>
      <c r="D3107" s="138"/>
      <c r="E3107" s="138"/>
      <c r="F3107" s="50">
        <v>43647</v>
      </c>
      <c r="G3107" s="50">
        <v>43830</v>
      </c>
      <c r="H3107" s="150"/>
      <c r="I3107" s="15" t="s">
        <v>23</v>
      </c>
      <c r="J3107" s="15" t="s">
        <v>23</v>
      </c>
      <c r="K3107" s="13">
        <v>25.32</v>
      </c>
      <c r="L3107" s="13">
        <v>2136.6807909604454</v>
      </c>
      <c r="M3107" s="198"/>
    </row>
    <row r="3108" spans="1:13" ht="15" customHeight="1" outlineLevel="1" x14ac:dyDescent="0.25">
      <c r="A3108" s="148"/>
      <c r="B3108" s="148"/>
      <c r="C3108" s="148"/>
      <c r="D3108" s="138"/>
      <c r="E3108" s="138"/>
      <c r="F3108" s="50">
        <v>43466</v>
      </c>
      <c r="G3108" s="50">
        <v>43646</v>
      </c>
      <c r="H3108" s="150"/>
      <c r="I3108" s="15" t="s">
        <v>23</v>
      </c>
      <c r="J3108" s="15" t="s">
        <v>23</v>
      </c>
      <c r="K3108" s="13">
        <v>25.32</v>
      </c>
      <c r="L3108" s="13">
        <v>2330.9244992295762</v>
      </c>
      <c r="M3108" s="196" t="s">
        <v>427</v>
      </c>
    </row>
    <row r="3109" spans="1:13" ht="15" customHeight="1" outlineLevel="1" x14ac:dyDescent="0.25">
      <c r="A3109" s="147"/>
      <c r="B3109" s="147"/>
      <c r="C3109" s="147"/>
      <c r="D3109" s="141"/>
      <c r="E3109" s="141"/>
      <c r="F3109" s="50">
        <v>43647</v>
      </c>
      <c r="G3109" s="50">
        <v>43830</v>
      </c>
      <c r="H3109" s="151"/>
      <c r="I3109" s="15" t="s">
        <v>23</v>
      </c>
      <c r="J3109" s="15" t="s">
        <v>23</v>
      </c>
      <c r="K3109" s="13">
        <v>25.32</v>
      </c>
      <c r="L3109" s="13">
        <v>2330.9244992295762</v>
      </c>
      <c r="M3109" s="198"/>
    </row>
    <row r="3110" spans="1:13" ht="15" customHeight="1" outlineLevel="1" x14ac:dyDescent="0.25">
      <c r="A3110" s="146" t="s">
        <v>53</v>
      </c>
      <c r="B3110" s="146" t="s">
        <v>588</v>
      </c>
      <c r="C3110" s="146" t="s">
        <v>117</v>
      </c>
      <c r="D3110" s="137">
        <v>43451</v>
      </c>
      <c r="E3110" s="137" t="s">
        <v>658</v>
      </c>
      <c r="F3110" s="12">
        <v>43466</v>
      </c>
      <c r="G3110" s="12">
        <v>43646</v>
      </c>
      <c r="H3110" s="149"/>
      <c r="I3110" s="66">
        <v>21.29</v>
      </c>
      <c r="J3110" s="13">
        <v>2543.34</v>
      </c>
      <c r="K3110" s="15" t="s">
        <v>23</v>
      </c>
      <c r="L3110" s="15" t="s">
        <v>23</v>
      </c>
      <c r="M3110" s="153"/>
    </row>
    <row r="3111" spans="1:13" ht="15" customHeight="1" outlineLevel="1" x14ac:dyDescent="0.25">
      <c r="A3111" s="148"/>
      <c r="B3111" s="148"/>
      <c r="C3111" s="148"/>
      <c r="D3111" s="141"/>
      <c r="E3111" s="141"/>
      <c r="F3111" s="12">
        <v>43647</v>
      </c>
      <c r="G3111" s="12">
        <v>43830</v>
      </c>
      <c r="H3111" s="151"/>
      <c r="I3111" s="66">
        <v>22.27</v>
      </c>
      <c r="J3111" s="13">
        <v>2543.34</v>
      </c>
      <c r="K3111" s="15" t="s">
        <v>23</v>
      </c>
      <c r="L3111" s="15" t="s">
        <v>23</v>
      </c>
      <c r="M3111" s="152"/>
    </row>
    <row r="3112" spans="1:13" ht="15" customHeight="1" outlineLevel="1" x14ac:dyDescent="0.25">
      <c r="A3112" s="148"/>
      <c r="B3112" s="148"/>
      <c r="C3112" s="148"/>
      <c r="D3112" s="137">
        <v>43454</v>
      </c>
      <c r="E3112" s="137" t="s">
        <v>654</v>
      </c>
      <c r="F3112" s="50">
        <v>43466</v>
      </c>
      <c r="G3112" s="50">
        <v>43646</v>
      </c>
      <c r="H3112" s="149"/>
      <c r="I3112" s="15" t="s">
        <v>23</v>
      </c>
      <c r="J3112" s="15" t="s">
        <v>23</v>
      </c>
      <c r="K3112" s="13">
        <v>14.24</v>
      </c>
      <c r="L3112" s="13">
        <v>2094.77</v>
      </c>
      <c r="M3112" s="196" t="s">
        <v>420</v>
      </c>
    </row>
    <row r="3113" spans="1:13" ht="15" customHeight="1" outlineLevel="1" x14ac:dyDescent="0.25">
      <c r="A3113" s="148"/>
      <c r="B3113" s="148"/>
      <c r="C3113" s="148"/>
      <c r="D3113" s="138"/>
      <c r="E3113" s="138"/>
      <c r="F3113" s="50">
        <v>43647</v>
      </c>
      <c r="G3113" s="50">
        <v>43830</v>
      </c>
      <c r="H3113" s="150"/>
      <c r="I3113" s="15" t="s">
        <v>23</v>
      </c>
      <c r="J3113" s="15" t="s">
        <v>23</v>
      </c>
      <c r="K3113" s="13">
        <v>14.52</v>
      </c>
      <c r="L3113" s="13">
        <v>2136.67</v>
      </c>
      <c r="M3113" s="198"/>
    </row>
    <row r="3114" spans="1:13" ht="15" customHeight="1" outlineLevel="1" x14ac:dyDescent="0.25">
      <c r="A3114" s="148"/>
      <c r="B3114" s="148"/>
      <c r="C3114" s="148"/>
      <c r="D3114" s="138"/>
      <c r="E3114" s="138"/>
      <c r="F3114" s="50">
        <v>43466</v>
      </c>
      <c r="G3114" s="50">
        <v>43646</v>
      </c>
      <c r="H3114" s="150"/>
      <c r="I3114" s="15" t="s">
        <v>23</v>
      </c>
      <c r="J3114" s="15" t="s">
        <v>23</v>
      </c>
      <c r="K3114" s="13">
        <v>14.24</v>
      </c>
      <c r="L3114" s="13">
        <v>2294.27</v>
      </c>
      <c r="M3114" s="196" t="s">
        <v>421</v>
      </c>
    </row>
    <row r="3115" spans="1:13" ht="15" customHeight="1" outlineLevel="1" x14ac:dyDescent="0.25">
      <c r="A3115" s="148"/>
      <c r="B3115" s="148"/>
      <c r="C3115" s="148"/>
      <c r="D3115" s="138"/>
      <c r="E3115" s="138"/>
      <c r="F3115" s="50">
        <v>43647</v>
      </c>
      <c r="G3115" s="50">
        <v>43830</v>
      </c>
      <c r="H3115" s="150"/>
      <c r="I3115" s="15" t="s">
        <v>23</v>
      </c>
      <c r="J3115" s="15" t="s">
        <v>23</v>
      </c>
      <c r="K3115" s="13">
        <v>14.52</v>
      </c>
      <c r="L3115" s="13">
        <v>2340.15</v>
      </c>
      <c r="M3115" s="198"/>
    </row>
    <row r="3116" spans="1:13" ht="15" customHeight="1" outlineLevel="1" x14ac:dyDescent="0.25">
      <c r="A3116" s="148"/>
      <c r="B3116" s="148"/>
      <c r="C3116" s="148"/>
      <c r="D3116" s="138"/>
      <c r="E3116" s="138"/>
      <c r="F3116" s="50">
        <v>43466</v>
      </c>
      <c r="G3116" s="50">
        <v>43646</v>
      </c>
      <c r="H3116" s="150"/>
      <c r="I3116" s="15" t="s">
        <v>23</v>
      </c>
      <c r="J3116" s="15" t="s">
        <v>23</v>
      </c>
      <c r="K3116" s="13">
        <v>14.24</v>
      </c>
      <c r="L3116" s="13">
        <v>1953.23</v>
      </c>
      <c r="M3116" s="196" t="s">
        <v>422</v>
      </c>
    </row>
    <row r="3117" spans="1:13" ht="15" customHeight="1" outlineLevel="1" x14ac:dyDescent="0.25">
      <c r="A3117" s="148"/>
      <c r="B3117" s="148"/>
      <c r="C3117" s="148"/>
      <c r="D3117" s="138"/>
      <c r="E3117" s="138"/>
      <c r="F3117" s="50">
        <v>43647</v>
      </c>
      <c r="G3117" s="50">
        <v>43830</v>
      </c>
      <c r="H3117" s="150"/>
      <c r="I3117" s="15" t="s">
        <v>23</v>
      </c>
      <c r="J3117" s="15" t="s">
        <v>23</v>
      </c>
      <c r="K3117" s="13">
        <v>14.52</v>
      </c>
      <c r="L3117" s="13">
        <v>1992.3</v>
      </c>
      <c r="M3117" s="198"/>
    </row>
    <row r="3118" spans="1:13" ht="15" customHeight="1" outlineLevel="1" x14ac:dyDescent="0.25">
      <c r="A3118" s="148"/>
      <c r="B3118" s="148"/>
      <c r="C3118" s="148"/>
      <c r="D3118" s="138"/>
      <c r="E3118" s="138"/>
      <c r="F3118" s="50">
        <v>43466</v>
      </c>
      <c r="G3118" s="50">
        <v>43646</v>
      </c>
      <c r="H3118" s="150"/>
      <c r="I3118" s="15" t="s">
        <v>23</v>
      </c>
      <c r="J3118" s="15" t="s">
        <v>23</v>
      </c>
      <c r="K3118" s="13">
        <v>14.24</v>
      </c>
      <c r="L3118" s="13">
        <v>2094.77</v>
      </c>
      <c r="M3118" s="196" t="s">
        <v>423</v>
      </c>
    </row>
    <row r="3119" spans="1:13" ht="15" customHeight="1" outlineLevel="1" x14ac:dyDescent="0.25">
      <c r="A3119" s="148"/>
      <c r="B3119" s="148"/>
      <c r="C3119" s="148"/>
      <c r="D3119" s="138"/>
      <c r="E3119" s="138"/>
      <c r="F3119" s="50">
        <v>43647</v>
      </c>
      <c r="G3119" s="50">
        <v>43830</v>
      </c>
      <c r="H3119" s="150"/>
      <c r="I3119" s="15" t="s">
        <v>23</v>
      </c>
      <c r="J3119" s="15" t="s">
        <v>23</v>
      </c>
      <c r="K3119" s="13">
        <v>14.52</v>
      </c>
      <c r="L3119" s="13">
        <v>2136.67</v>
      </c>
      <c r="M3119" s="198"/>
    </row>
    <row r="3120" spans="1:13" ht="15" customHeight="1" outlineLevel="1" x14ac:dyDescent="0.25">
      <c r="A3120" s="148"/>
      <c r="B3120" s="148"/>
      <c r="C3120" s="148"/>
      <c r="D3120" s="138"/>
      <c r="E3120" s="138"/>
      <c r="F3120" s="50">
        <v>43466</v>
      </c>
      <c r="G3120" s="50">
        <v>43646</v>
      </c>
      <c r="H3120" s="150"/>
      <c r="I3120" s="15" t="s">
        <v>23</v>
      </c>
      <c r="J3120" s="15" t="s">
        <v>23</v>
      </c>
      <c r="K3120" s="13">
        <v>14.24</v>
      </c>
      <c r="L3120" s="13">
        <v>2189.98</v>
      </c>
      <c r="M3120" s="196" t="s">
        <v>424</v>
      </c>
    </row>
    <row r="3121" spans="1:13" ht="15" customHeight="1" outlineLevel="1" x14ac:dyDescent="0.25">
      <c r="A3121" s="148"/>
      <c r="B3121" s="148"/>
      <c r="C3121" s="148"/>
      <c r="D3121" s="138"/>
      <c r="E3121" s="138"/>
      <c r="F3121" s="50">
        <v>43647</v>
      </c>
      <c r="G3121" s="50">
        <v>43830</v>
      </c>
      <c r="H3121" s="150"/>
      <c r="I3121" s="15" t="s">
        <v>23</v>
      </c>
      <c r="J3121" s="15" t="s">
        <v>23</v>
      </c>
      <c r="K3121" s="13">
        <v>14.52</v>
      </c>
      <c r="L3121" s="13">
        <v>2233.7800000000002</v>
      </c>
      <c r="M3121" s="198"/>
    </row>
    <row r="3122" spans="1:13" ht="15" customHeight="1" outlineLevel="1" x14ac:dyDescent="0.25">
      <c r="A3122" s="148"/>
      <c r="B3122" s="148"/>
      <c r="C3122" s="148"/>
      <c r="D3122" s="138"/>
      <c r="E3122" s="138"/>
      <c r="F3122" s="50">
        <v>43466</v>
      </c>
      <c r="G3122" s="50">
        <v>43646</v>
      </c>
      <c r="H3122" s="150"/>
      <c r="I3122" s="15" t="s">
        <v>23</v>
      </c>
      <c r="J3122" s="15" t="s">
        <v>23</v>
      </c>
      <c r="K3122" s="13">
        <v>14.24</v>
      </c>
      <c r="L3122" s="13">
        <v>2369.4899999999998</v>
      </c>
      <c r="M3122" s="196" t="s">
        <v>425</v>
      </c>
    </row>
    <row r="3123" spans="1:13" ht="15" customHeight="1" outlineLevel="1" x14ac:dyDescent="0.25">
      <c r="A3123" s="148"/>
      <c r="B3123" s="148"/>
      <c r="C3123" s="148"/>
      <c r="D3123" s="138"/>
      <c r="E3123" s="138"/>
      <c r="F3123" s="50">
        <v>43647</v>
      </c>
      <c r="G3123" s="50">
        <v>43830</v>
      </c>
      <c r="H3123" s="150"/>
      <c r="I3123" s="15" t="s">
        <v>23</v>
      </c>
      <c r="J3123" s="15" t="s">
        <v>23</v>
      </c>
      <c r="K3123" s="13">
        <v>14.52</v>
      </c>
      <c r="L3123" s="13">
        <v>2416.88</v>
      </c>
      <c r="M3123" s="198"/>
    </row>
    <row r="3124" spans="1:13" ht="15" customHeight="1" outlineLevel="1" x14ac:dyDescent="0.25">
      <c r="A3124" s="148"/>
      <c r="B3124" s="148"/>
      <c r="C3124" s="148"/>
      <c r="D3124" s="138"/>
      <c r="E3124" s="138"/>
      <c r="F3124" s="50">
        <v>43466</v>
      </c>
      <c r="G3124" s="50">
        <v>43646</v>
      </c>
      <c r="H3124" s="150"/>
      <c r="I3124" s="15" t="s">
        <v>23</v>
      </c>
      <c r="J3124" s="15" t="s">
        <v>23</v>
      </c>
      <c r="K3124" s="13">
        <v>14.24</v>
      </c>
      <c r="L3124" s="13">
        <v>2007.49</v>
      </c>
      <c r="M3124" s="196" t="s">
        <v>426</v>
      </c>
    </row>
    <row r="3125" spans="1:13" ht="15" customHeight="1" outlineLevel="1" x14ac:dyDescent="0.25">
      <c r="A3125" s="148"/>
      <c r="B3125" s="148"/>
      <c r="C3125" s="148"/>
      <c r="D3125" s="138"/>
      <c r="E3125" s="138"/>
      <c r="F3125" s="50">
        <v>43647</v>
      </c>
      <c r="G3125" s="50">
        <v>43830</v>
      </c>
      <c r="H3125" s="150"/>
      <c r="I3125" s="15" t="s">
        <v>23</v>
      </c>
      <c r="J3125" s="15" t="s">
        <v>23</v>
      </c>
      <c r="K3125" s="13">
        <v>14.52</v>
      </c>
      <c r="L3125" s="13">
        <v>2047.64</v>
      </c>
      <c r="M3125" s="198"/>
    </row>
    <row r="3126" spans="1:13" ht="15" customHeight="1" outlineLevel="1" x14ac:dyDescent="0.25">
      <c r="A3126" s="148"/>
      <c r="B3126" s="148"/>
      <c r="C3126" s="148"/>
      <c r="D3126" s="138"/>
      <c r="E3126" s="138"/>
      <c r="F3126" s="50">
        <v>43466</v>
      </c>
      <c r="G3126" s="50">
        <v>43646</v>
      </c>
      <c r="H3126" s="150"/>
      <c r="I3126" s="15" t="s">
        <v>23</v>
      </c>
      <c r="J3126" s="15" t="s">
        <v>23</v>
      </c>
      <c r="K3126" s="13">
        <v>14.24</v>
      </c>
      <c r="L3126" s="13">
        <v>2189.98</v>
      </c>
      <c r="M3126" s="196" t="s">
        <v>427</v>
      </c>
    </row>
    <row r="3127" spans="1:13" ht="15" customHeight="1" outlineLevel="1" x14ac:dyDescent="0.25">
      <c r="A3127" s="147"/>
      <c r="B3127" s="147"/>
      <c r="C3127" s="147"/>
      <c r="D3127" s="141"/>
      <c r="E3127" s="141"/>
      <c r="F3127" s="50">
        <v>43647</v>
      </c>
      <c r="G3127" s="50">
        <v>43830</v>
      </c>
      <c r="H3127" s="151"/>
      <c r="I3127" s="15" t="s">
        <v>23</v>
      </c>
      <c r="J3127" s="15" t="s">
        <v>23</v>
      </c>
      <c r="K3127" s="13">
        <v>14.52</v>
      </c>
      <c r="L3127" s="13">
        <v>2233.7800000000002</v>
      </c>
      <c r="M3127" s="198"/>
    </row>
    <row r="3128" spans="1:13" ht="15" customHeight="1" outlineLevel="1" x14ac:dyDescent="0.25">
      <c r="A3128" s="146" t="s">
        <v>53</v>
      </c>
      <c r="B3128" s="146" t="s">
        <v>589</v>
      </c>
      <c r="C3128" s="146" t="s">
        <v>500</v>
      </c>
      <c r="D3128" s="137">
        <v>43451</v>
      </c>
      <c r="E3128" s="137" t="s">
        <v>652</v>
      </c>
      <c r="F3128" s="12">
        <v>43466</v>
      </c>
      <c r="G3128" s="12">
        <v>43646</v>
      </c>
      <c r="H3128" s="149"/>
      <c r="I3128" s="66">
        <v>30.09</v>
      </c>
      <c r="J3128" s="13">
        <v>3953.04</v>
      </c>
      <c r="K3128" s="15" t="s">
        <v>23</v>
      </c>
      <c r="L3128" s="15" t="s">
        <v>23</v>
      </c>
      <c r="M3128" s="153"/>
    </row>
    <row r="3129" spans="1:13" ht="15" customHeight="1" outlineLevel="1" x14ac:dyDescent="0.25">
      <c r="A3129" s="148"/>
      <c r="B3129" s="148"/>
      <c r="C3129" s="148"/>
      <c r="D3129" s="141"/>
      <c r="E3129" s="141"/>
      <c r="F3129" s="12">
        <v>43647</v>
      </c>
      <c r="G3129" s="12">
        <v>43830</v>
      </c>
      <c r="H3129" s="151"/>
      <c r="I3129" s="66">
        <v>31.35</v>
      </c>
      <c r="J3129" s="13">
        <v>3953.18</v>
      </c>
      <c r="K3129" s="15" t="s">
        <v>23</v>
      </c>
      <c r="L3129" s="15" t="s">
        <v>23</v>
      </c>
      <c r="M3129" s="152"/>
    </row>
    <row r="3130" spans="1:13" ht="15" customHeight="1" outlineLevel="1" x14ac:dyDescent="0.25">
      <c r="A3130" s="148"/>
      <c r="B3130" s="148"/>
      <c r="C3130" s="148"/>
      <c r="D3130" s="137">
        <v>43454</v>
      </c>
      <c r="E3130" s="137" t="s">
        <v>654</v>
      </c>
      <c r="F3130" s="50">
        <v>43466</v>
      </c>
      <c r="G3130" s="50">
        <v>43646</v>
      </c>
      <c r="H3130" s="149"/>
      <c r="I3130" s="15" t="s">
        <v>23</v>
      </c>
      <c r="J3130" s="15" t="s">
        <v>23</v>
      </c>
      <c r="K3130" s="13">
        <v>36.07</v>
      </c>
      <c r="L3130" s="13">
        <v>1039.2</v>
      </c>
      <c r="M3130" s="196" t="s">
        <v>420</v>
      </c>
    </row>
    <row r="3131" spans="1:13" ht="15" customHeight="1" outlineLevel="1" x14ac:dyDescent="0.25">
      <c r="A3131" s="148"/>
      <c r="B3131" s="148"/>
      <c r="C3131" s="148"/>
      <c r="D3131" s="138"/>
      <c r="E3131" s="138"/>
      <c r="F3131" s="50">
        <v>43647</v>
      </c>
      <c r="G3131" s="50">
        <v>43830</v>
      </c>
      <c r="H3131" s="150"/>
      <c r="I3131" s="15" t="s">
        <v>23</v>
      </c>
      <c r="J3131" s="15" t="s">
        <v>23</v>
      </c>
      <c r="K3131" s="13">
        <v>36.79</v>
      </c>
      <c r="L3131" s="13">
        <v>1059.98</v>
      </c>
      <c r="M3131" s="198"/>
    </row>
    <row r="3132" spans="1:13" ht="15" customHeight="1" outlineLevel="1" x14ac:dyDescent="0.25">
      <c r="A3132" s="148"/>
      <c r="B3132" s="148"/>
      <c r="C3132" s="148"/>
      <c r="D3132" s="138"/>
      <c r="E3132" s="138"/>
      <c r="F3132" s="50">
        <v>43466</v>
      </c>
      <c r="G3132" s="50">
        <v>43646</v>
      </c>
      <c r="H3132" s="150"/>
      <c r="I3132" s="15" t="s">
        <v>23</v>
      </c>
      <c r="J3132" s="15" t="s">
        <v>23</v>
      </c>
      <c r="K3132" s="13">
        <v>36.07</v>
      </c>
      <c r="L3132" s="13">
        <v>1138.18</v>
      </c>
      <c r="M3132" s="196" t="s">
        <v>421</v>
      </c>
    </row>
    <row r="3133" spans="1:13" ht="15" customHeight="1" outlineLevel="1" x14ac:dyDescent="0.25">
      <c r="A3133" s="148"/>
      <c r="B3133" s="148"/>
      <c r="C3133" s="148"/>
      <c r="D3133" s="138"/>
      <c r="E3133" s="138"/>
      <c r="F3133" s="50">
        <v>43647</v>
      </c>
      <c r="G3133" s="50">
        <v>43830</v>
      </c>
      <c r="H3133" s="150"/>
      <c r="I3133" s="15" t="s">
        <v>23</v>
      </c>
      <c r="J3133" s="15" t="s">
        <v>23</v>
      </c>
      <c r="K3133" s="13">
        <v>36.79</v>
      </c>
      <c r="L3133" s="13">
        <v>1160.94</v>
      </c>
      <c r="M3133" s="198"/>
    </row>
    <row r="3134" spans="1:13" ht="15" customHeight="1" outlineLevel="1" x14ac:dyDescent="0.25">
      <c r="A3134" s="148"/>
      <c r="B3134" s="148"/>
      <c r="C3134" s="148"/>
      <c r="D3134" s="138"/>
      <c r="E3134" s="138"/>
      <c r="F3134" s="50">
        <v>43466</v>
      </c>
      <c r="G3134" s="50">
        <v>43646</v>
      </c>
      <c r="H3134" s="150"/>
      <c r="I3134" s="15" t="s">
        <v>23</v>
      </c>
      <c r="J3134" s="15" t="s">
        <v>23</v>
      </c>
      <c r="K3134" s="13">
        <v>36.07</v>
      </c>
      <c r="L3134" s="13">
        <v>968.99</v>
      </c>
      <c r="M3134" s="196" t="s">
        <v>422</v>
      </c>
    </row>
    <row r="3135" spans="1:13" ht="15" customHeight="1" outlineLevel="1" x14ac:dyDescent="0.25">
      <c r="A3135" s="148"/>
      <c r="B3135" s="148"/>
      <c r="C3135" s="148"/>
      <c r="D3135" s="138"/>
      <c r="E3135" s="138"/>
      <c r="F3135" s="50">
        <v>43647</v>
      </c>
      <c r="G3135" s="50">
        <v>43830</v>
      </c>
      <c r="H3135" s="150"/>
      <c r="I3135" s="15" t="s">
        <v>23</v>
      </c>
      <c r="J3135" s="15" t="s">
        <v>23</v>
      </c>
      <c r="K3135" s="13">
        <v>36.79</v>
      </c>
      <c r="L3135" s="13">
        <v>988.37</v>
      </c>
      <c r="M3135" s="198"/>
    </row>
    <row r="3136" spans="1:13" ht="15" customHeight="1" outlineLevel="1" x14ac:dyDescent="0.25">
      <c r="A3136" s="148"/>
      <c r="B3136" s="148"/>
      <c r="C3136" s="148"/>
      <c r="D3136" s="138"/>
      <c r="E3136" s="138"/>
      <c r="F3136" s="50">
        <v>43466</v>
      </c>
      <c r="G3136" s="50">
        <v>43646</v>
      </c>
      <c r="H3136" s="150"/>
      <c r="I3136" s="15" t="s">
        <v>23</v>
      </c>
      <c r="J3136" s="15" t="s">
        <v>23</v>
      </c>
      <c r="K3136" s="13">
        <v>36.07</v>
      </c>
      <c r="L3136" s="13">
        <v>1039.2</v>
      </c>
      <c r="M3136" s="196" t="s">
        <v>423</v>
      </c>
    </row>
    <row r="3137" spans="1:13" ht="15" customHeight="1" outlineLevel="1" x14ac:dyDescent="0.25">
      <c r="A3137" s="148"/>
      <c r="B3137" s="148"/>
      <c r="C3137" s="148"/>
      <c r="D3137" s="138"/>
      <c r="E3137" s="138"/>
      <c r="F3137" s="50">
        <v>43647</v>
      </c>
      <c r="G3137" s="50">
        <v>43830</v>
      </c>
      <c r="H3137" s="150"/>
      <c r="I3137" s="15" t="s">
        <v>23</v>
      </c>
      <c r="J3137" s="15" t="s">
        <v>23</v>
      </c>
      <c r="K3137" s="13">
        <v>36.79</v>
      </c>
      <c r="L3137" s="13">
        <v>1059.98</v>
      </c>
      <c r="M3137" s="198"/>
    </row>
    <row r="3138" spans="1:13" ht="15" customHeight="1" outlineLevel="1" x14ac:dyDescent="0.25">
      <c r="A3138" s="148"/>
      <c r="B3138" s="148"/>
      <c r="C3138" s="148"/>
      <c r="D3138" s="138"/>
      <c r="E3138" s="138"/>
      <c r="F3138" s="50">
        <v>43466</v>
      </c>
      <c r="G3138" s="50">
        <v>43646</v>
      </c>
      <c r="H3138" s="150"/>
      <c r="I3138" s="15" t="s">
        <v>23</v>
      </c>
      <c r="J3138" s="15" t="s">
        <v>23</v>
      </c>
      <c r="K3138" s="13">
        <v>36.07</v>
      </c>
      <c r="L3138" s="13">
        <v>1086.44</v>
      </c>
      <c r="M3138" s="196" t="s">
        <v>424</v>
      </c>
    </row>
    <row r="3139" spans="1:13" ht="15" customHeight="1" outlineLevel="1" x14ac:dyDescent="0.25">
      <c r="A3139" s="148"/>
      <c r="B3139" s="148"/>
      <c r="C3139" s="148"/>
      <c r="D3139" s="138"/>
      <c r="E3139" s="138"/>
      <c r="F3139" s="50">
        <v>43647</v>
      </c>
      <c r="G3139" s="50">
        <v>43830</v>
      </c>
      <c r="H3139" s="150"/>
      <c r="I3139" s="15" t="s">
        <v>23</v>
      </c>
      <c r="J3139" s="15" t="s">
        <v>23</v>
      </c>
      <c r="K3139" s="13">
        <v>36.79</v>
      </c>
      <c r="L3139" s="13">
        <v>1108.17</v>
      </c>
      <c r="M3139" s="198"/>
    </row>
    <row r="3140" spans="1:13" ht="15" customHeight="1" outlineLevel="1" x14ac:dyDescent="0.25">
      <c r="A3140" s="148"/>
      <c r="B3140" s="148"/>
      <c r="C3140" s="148"/>
      <c r="D3140" s="138"/>
      <c r="E3140" s="138"/>
      <c r="F3140" s="50">
        <v>43466</v>
      </c>
      <c r="G3140" s="50">
        <v>43646</v>
      </c>
      <c r="H3140" s="150"/>
      <c r="I3140" s="15" t="s">
        <v>23</v>
      </c>
      <c r="J3140" s="15" t="s">
        <v>23</v>
      </c>
      <c r="K3140" s="13">
        <v>36.07</v>
      </c>
      <c r="L3140" s="13">
        <v>1175.49</v>
      </c>
      <c r="M3140" s="196" t="s">
        <v>425</v>
      </c>
    </row>
    <row r="3141" spans="1:13" ht="15" customHeight="1" outlineLevel="1" x14ac:dyDescent="0.25">
      <c r="A3141" s="148"/>
      <c r="B3141" s="148"/>
      <c r="C3141" s="148"/>
      <c r="D3141" s="138"/>
      <c r="E3141" s="138"/>
      <c r="F3141" s="50">
        <v>43647</v>
      </c>
      <c r="G3141" s="50">
        <v>43830</v>
      </c>
      <c r="H3141" s="150"/>
      <c r="I3141" s="15" t="s">
        <v>23</v>
      </c>
      <c r="J3141" s="15" t="s">
        <v>23</v>
      </c>
      <c r="K3141" s="13">
        <v>36.79</v>
      </c>
      <c r="L3141" s="13">
        <v>1199</v>
      </c>
      <c r="M3141" s="198"/>
    </row>
    <row r="3142" spans="1:13" ht="15" customHeight="1" outlineLevel="1" x14ac:dyDescent="0.25">
      <c r="A3142" s="148"/>
      <c r="B3142" s="148"/>
      <c r="C3142" s="148"/>
      <c r="D3142" s="138"/>
      <c r="E3142" s="138"/>
      <c r="F3142" s="50">
        <v>43466</v>
      </c>
      <c r="G3142" s="50">
        <v>43646</v>
      </c>
      <c r="H3142" s="150"/>
      <c r="I3142" s="15" t="s">
        <v>23</v>
      </c>
      <c r="J3142" s="15" t="s">
        <v>23</v>
      </c>
      <c r="K3142" s="13">
        <v>36.07</v>
      </c>
      <c r="L3142" s="13">
        <v>995.91</v>
      </c>
      <c r="M3142" s="196" t="s">
        <v>426</v>
      </c>
    </row>
    <row r="3143" spans="1:13" ht="15" customHeight="1" outlineLevel="1" x14ac:dyDescent="0.25">
      <c r="A3143" s="148"/>
      <c r="B3143" s="148"/>
      <c r="C3143" s="148"/>
      <c r="D3143" s="138"/>
      <c r="E3143" s="138"/>
      <c r="F3143" s="50">
        <v>43647</v>
      </c>
      <c r="G3143" s="50">
        <v>43830</v>
      </c>
      <c r="H3143" s="150"/>
      <c r="I3143" s="15" t="s">
        <v>23</v>
      </c>
      <c r="J3143" s="15" t="s">
        <v>23</v>
      </c>
      <c r="K3143" s="13">
        <v>36.79</v>
      </c>
      <c r="L3143" s="13">
        <v>1015.83</v>
      </c>
      <c r="M3143" s="198"/>
    </row>
    <row r="3144" spans="1:13" ht="15" customHeight="1" outlineLevel="1" x14ac:dyDescent="0.25">
      <c r="A3144" s="148"/>
      <c r="B3144" s="148"/>
      <c r="C3144" s="148"/>
      <c r="D3144" s="138"/>
      <c r="E3144" s="138"/>
      <c r="F3144" s="50">
        <v>43466</v>
      </c>
      <c r="G3144" s="50">
        <v>43646</v>
      </c>
      <c r="H3144" s="150"/>
      <c r="I3144" s="15" t="s">
        <v>23</v>
      </c>
      <c r="J3144" s="15" t="s">
        <v>23</v>
      </c>
      <c r="K3144" s="13">
        <v>36.07</v>
      </c>
      <c r="L3144" s="13">
        <v>1086.44</v>
      </c>
      <c r="M3144" s="196" t="s">
        <v>427</v>
      </c>
    </row>
    <row r="3145" spans="1:13" ht="15" customHeight="1" outlineLevel="1" x14ac:dyDescent="0.25">
      <c r="A3145" s="147"/>
      <c r="B3145" s="147"/>
      <c r="C3145" s="148"/>
      <c r="D3145" s="141"/>
      <c r="E3145" s="141"/>
      <c r="F3145" s="50">
        <v>43647</v>
      </c>
      <c r="G3145" s="50">
        <v>43830</v>
      </c>
      <c r="H3145" s="151"/>
      <c r="I3145" s="15" t="s">
        <v>23</v>
      </c>
      <c r="J3145" s="15" t="s">
        <v>23</v>
      </c>
      <c r="K3145" s="13">
        <v>36.79</v>
      </c>
      <c r="L3145" s="13">
        <v>1108.17</v>
      </c>
      <c r="M3145" s="198"/>
    </row>
    <row r="3146" spans="1:13" ht="15" customHeight="1" outlineLevel="1" x14ac:dyDescent="0.25">
      <c r="A3146" s="146" t="s">
        <v>53</v>
      </c>
      <c r="B3146" s="146" t="s">
        <v>590</v>
      </c>
      <c r="C3146" s="148"/>
      <c r="D3146" s="137">
        <v>43451</v>
      </c>
      <c r="E3146" s="137" t="s">
        <v>652</v>
      </c>
      <c r="F3146" s="12">
        <v>43466</v>
      </c>
      <c r="G3146" s="12">
        <v>43646</v>
      </c>
      <c r="H3146" s="149"/>
      <c r="I3146" s="66">
        <v>30.09</v>
      </c>
      <c r="J3146" s="13">
        <v>3953.04</v>
      </c>
      <c r="K3146" s="15" t="s">
        <v>23</v>
      </c>
      <c r="L3146" s="15" t="s">
        <v>23</v>
      </c>
      <c r="M3146" s="153"/>
    </row>
    <row r="3147" spans="1:13" ht="15" customHeight="1" outlineLevel="1" x14ac:dyDescent="0.25">
      <c r="A3147" s="148"/>
      <c r="B3147" s="148"/>
      <c r="C3147" s="148"/>
      <c r="D3147" s="141"/>
      <c r="E3147" s="141"/>
      <c r="F3147" s="12">
        <v>43647</v>
      </c>
      <c r="G3147" s="12">
        <v>43830</v>
      </c>
      <c r="H3147" s="151"/>
      <c r="I3147" s="66">
        <v>31.35</v>
      </c>
      <c r="J3147" s="13">
        <v>3953.18</v>
      </c>
      <c r="K3147" s="15" t="s">
        <v>23</v>
      </c>
      <c r="L3147" s="15" t="s">
        <v>23</v>
      </c>
      <c r="M3147" s="152"/>
    </row>
    <row r="3148" spans="1:13" ht="15" customHeight="1" outlineLevel="1" x14ac:dyDescent="0.25">
      <c r="A3148" s="148"/>
      <c r="B3148" s="148"/>
      <c r="C3148" s="148"/>
      <c r="D3148" s="137">
        <v>43454</v>
      </c>
      <c r="E3148" s="137" t="s">
        <v>654</v>
      </c>
      <c r="F3148" s="50">
        <v>43466</v>
      </c>
      <c r="G3148" s="50">
        <v>43646</v>
      </c>
      <c r="H3148" s="149" t="s">
        <v>671</v>
      </c>
      <c r="I3148" s="15" t="s">
        <v>23</v>
      </c>
      <c r="J3148" s="15" t="s">
        <v>23</v>
      </c>
      <c r="K3148" s="13">
        <v>14.24</v>
      </c>
      <c r="L3148" s="13">
        <v>2094.77</v>
      </c>
      <c r="M3148" s="196" t="s">
        <v>420</v>
      </c>
    </row>
    <row r="3149" spans="1:13" ht="15" customHeight="1" outlineLevel="1" x14ac:dyDescent="0.25">
      <c r="A3149" s="148"/>
      <c r="B3149" s="148"/>
      <c r="C3149" s="148"/>
      <c r="D3149" s="138"/>
      <c r="E3149" s="138"/>
      <c r="F3149" s="50">
        <v>43647</v>
      </c>
      <c r="G3149" s="50">
        <v>43830</v>
      </c>
      <c r="H3149" s="150"/>
      <c r="I3149" s="15" t="s">
        <v>23</v>
      </c>
      <c r="J3149" s="15" t="s">
        <v>23</v>
      </c>
      <c r="K3149" s="13">
        <v>14.52</v>
      </c>
      <c r="L3149" s="13">
        <v>2136.67</v>
      </c>
      <c r="M3149" s="198"/>
    </row>
    <row r="3150" spans="1:13" ht="15" customHeight="1" outlineLevel="1" x14ac:dyDescent="0.25">
      <c r="A3150" s="148"/>
      <c r="B3150" s="148"/>
      <c r="C3150" s="148"/>
      <c r="D3150" s="138"/>
      <c r="E3150" s="138"/>
      <c r="F3150" s="50">
        <v>43466</v>
      </c>
      <c r="G3150" s="50">
        <v>43646</v>
      </c>
      <c r="H3150" s="150"/>
      <c r="I3150" s="15" t="s">
        <v>23</v>
      </c>
      <c r="J3150" s="15" t="s">
        <v>23</v>
      </c>
      <c r="K3150" s="13">
        <v>14.24</v>
      </c>
      <c r="L3150" s="13">
        <v>2294.27</v>
      </c>
      <c r="M3150" s="196" t="s">
        <v>421</v>
      </c>
    </row>
    <row r="3151" spans="1:13" ht="15" customHeight="1" outlineLevel="1" x14ac:dyDescent="0.25">
      <c r="A3151" s="148"/>
      <c r="B3151" s="148"/>
      <c r="C3151" s="148"/>
      <c r="D3151" s="138"/>
      <c r="E3151" s="138"/>
      <c r="F3151" s="50">
        <v>43647</v>
      </c>
      <c r="G3151" s="50">
        <v>43830</v>
      </c>
      <c r="H3151" s="150"/>
      <c r="I3151" s="15" t="s">
        <v>23</v>
      </c>
      <c r="J3151" s="15" t="s">
        <v>23</v>
      </c>
      <c r="K3151" s="13">
        <v>14.52</v>
      </c>
      <c r="L3151" s="13">
        <v>2340.15</v>
      </c>
      <c r="M3151" s="198"/>
    </row>
    <row r="3152" spans="1:13" ht="15" customHeight="1" outlineLevel="1" x14ac:dyDescent="0.25">
      <c r="A3152" s="148"/>
      <c r="B3152" s="148"/>
      <c r="C3152" s="148"/>
      <c r="D3152" s="138"/>
      <c r="E3152" s="138"/>
      <c r="F3152" s="50">
        <v>43466</v>
      </c>
      <c r="G3152" s="50">
        <v>43646</v>
      </c>
      <c r="H3152" s="150"/>
      <c r="I3152" s="15" t="s">
        <v>23</v>
      </c>
      <c r="J3152" s="15" t="s">
        <v>23</v>
      </c>
      <c r="K3152" s="13">
        <v>14.24</v>
      </c>
      <c r="L3152" s="13">
        <v>1953.23</v>
      </c>
      <c r="M3152" s="196" t="s">
        <v>422</v>
      </c>
    </row>
    <row r="3153" spans="1:13" ht="15" customHeight="1" outlineLevel="1" x14ac:dyDescent="0.25">
      <c r="A3153" s="148"/>
      <c r="B3153" s="148"/>
      <c r="C3153" s="148"/>
      <c r="D3153" s="138"/>
      <c r="E3153" s="138"/>
      <c r="F3153" s="50">
        <v>43647</v>
      </c>
      <c r="G3153" s="50">
        <v>43830</v>
      </c>
      <c r="H3153" s="150"/>
      <c r="I3153" s="15" t="s">
        <v>23</v>
      </c>
      <c r="J3153" s="15" t="s">
        <v>23</v>
      </c>
      <c r="K3153" s="13">
        <v>14.52</v>
      </c>
      <c r="L3153" s="13">
        <v>1992.3</v>
      </c>
      <c r="M3153" s="198"/>
    </row>
    <row r="3154" spans="1:13" ht="15" customHeight="1" outlineLevel="1" x14ac:dyDescent="0.25">
      <c r="A3154" s="148"/>
      <c r="B3154" s="148"/>
      <c r="C3154" s="148"/>
      <c r="D3154" s="138"/>
      <c r="E3154" s="138"/>
      <c r="F3154" s="50">
        <v>43466</v>
      </c>
      <c r="G3154" s="50">
        <v>43646</v>
      </c>
      <c r="H3154" s="150"/>
      <c r="I3154" s="15" t="s">
        <v>23</v>
      </c>
      <c r="J3154" s="15" t="s">
        <v>23</v>
      </c>
      <c r="K3154" s="13">
        <v>14.24</v>
      </c>
      <c r="L3154" s="13">
        <v>2094.77</v>
      </c>
      <c r="M3154" s="196" t="s">
        <v>423</v>
      </c>
    </row>
    <row r="3155" spans="1:13" ht="15" customHeight="1" outlineLevel="1" x14ac:dyDescent="0.25">
      <c r="A3155" s="148"/>
      <c r="B3155" s="148"/>
      <c r="C3155" s="148"/>
      <c r="D3155" s="138"/>
      <c r="E3155" s="138"/>
      <c r="F3155" s="50">
        <v>43647</v>
      </c>
      <c r="G3155" s="50">
        <v>43830</v>
      </c>
      <c r="H3155" s="150"/>
      <c r="I3155" s="15" t="s">
        <v>23</v>
      </c>
      <c r="J3155" s="15" t="s">
        <v>23</v>
      </c>
      <c r="K3155" s="13">
        <v>14.52</v>
      </c>
      <c r="L3155" s="13">
        <v>2136.67</v>
      </c>
      <c r="M3155" s="198"/>
    </row>
    <row r="3156" spans="1:13" ht="15" customHeight="1" outlineLevel="1" x14ac:dyDescent="0.25">
      <c r="A3156" s="148"/>
      <c r="B3156" s="148"/>
      <c r="C3156" s="148"/>
      <c r="D3156" s="138"/>
      <c r="E3156" s="138"/>
      <c r="F3156" s="50">
        <v>43466</v>
      </c>
      <c r="G3156" s="50">
        <v>43646</v>
      </c>
      <c r="H3156" s="150"/>
      <c r="I3156" s="15" t="s">
        <v>23</v>
      </c>
      <c r="J3156" s="15" t="s">
        <v>23</v>
      </c>
      <c r="K3156" s="13">
        <v>14.24</v>
      </c>
      <c r="L3156" s="13">
        <v>2189.98</v>
      </c>
      <c r="M3156" s="196" t="s">
        <v>424</v>
      </c>
    </row>
    <row r="3157" spans="1:13" ht="15" customHeight="1" outlineLevel="1" x14ac:dyDescent="0.25">
      <c r="A3157" s="148"/>
      <c r="B3157" s="148"/>
      <c r="C3157" s="148"/>
      <c r="D3157" s="138"/>
      <c r="E3157" s="138"/>
      <c r="F3157" s="50">
        <v>43647</v>
      </c>
      <c r="G3157" s="50">
        <v>43830</v>
      </c>
      <c r="H3157" s="150"/>
      <c r="I3157" s="15" t="s">
        <v>23</v>
      </c>
      <c r="J3157" s="15" t="s">
        <v>23</v>
      </c>
      <c r="K3157" s="13">
        <v>14.52</v>
      </c>
      <c r="L3157" s="13">
        <v>2233.7800000000002</v>
      </c>
      <c r="M3157" s="198"/>
    </row>
    <row r="3158" spans="1:13" ht="15" customHeight="1" outlineLevel="1" x14ac:dyDescent="0.25">
      <c r="A3158" s="148"/>
      <c r="B3158" s="148"/>
      <c r="C3158" s="148"/>
      <c r="D3158" s="138"/>
      <c r="E3158" s="138"/>
      <c r="F3158" s="50">
        <v>43466</v>
      </c>
      <c r="G3158" s="50">
        <v>43646</v>
      </c>
      <c r="H3158" s="150"/>
      <c r="I3158" s="15" t="s">
        <v>23</v>
      </c>
      <c r="J3158" s="15" t="s">
        <v>23</v>
      </c>
      <c r="K3158" s="13">
        <v>14.24</v>
      </c>
      <c r="L3158" s="13">
        <v>2369.4899999999998</v>
      </c>
      <c r="M3158" s="196" t="s">
        <v>425</v>
      </c>
    </row>
    <row r="3159" spans="1:13" ht="15" customHeight="1" outlineLevel="1" x14ac:dyDescent="0.25">
      <c r="A3159" s="148"/>
      <c r="B3159" s="148"/>
      <c r="C3159" s="148"/>
      <c r="D3159" s="138"/>
      <c r="E3159" s="138"/>
      <c r="F3159" s="50">
        <v>43647</v>
      </c>
      <c r="G3159" s="50">
        <v>43830</v>
      </c>
      <c r="H3159" s="150"/>
      <c r="I3159" s="15" t="s">
        <v>23</v>
      </c>
      <c r="J3159" s="15" t="s">
        <v>23</v>
      </c>
      <c r="K3159" s="13">
        <v>14.52</v>
      </c>
      <c r="L3159" s="13">
        <v>2416.88</v>
      </c>
      <c r="M3159" s="198"/>
    </row>
    <row r="3160" spans="1:13" ht="15" customHeight="1" outlineLevel="1" x14ac:dyDescent="0.25">
      <c r="A3160" s="148"/>
      <c r="B3160" s="148"/>
      <c r="C3160" s="148"/>
      <c r="D3160" s="138"/>
      <c r="E3160" s="138"/>
      <c r="F3160" s="50">
        <v>43466</v>
      </c>
      <c r="G3160" s="50">
        <v>43646</v>
      </c>
      <c r="H3160" s="150"/>
      <c r="I3160" s="15" t="s">
        <v>23</v>
      </c>
      <c r="J3160" s="15" t="s">
        <v>23</v>
      </c>
      <c r="K3160" s="13">
        <v>14.24</v>
      </c>
      <c r="L3160" s="13">
        <v>2007.49</v>
      </c>
      <c r="M3160" s="196" t="s">
        <v>426</v>
      </c>
    </row>
    <row r="3161" spans="1:13" ht="15" customHeight="1" outlineLevel="1" x14ac:dyDescent="0.25">
      <c r="A3161" s="148"/>
      <c r="B3161" s="148"/>
      <c r="C3161" s="148"/>
      <c r="D3161" s="138"/>
      <c r="E3161" s="138"/>
      <c r="F3161" s="50">
        <v>43647</v>
      </c>
      <c r="G3161" s="50">
        <v>43830</v>
      </c>
      <c r="H3161" s="150"/>
      <c r="I3161" s="15" t="s">
        <v>23</v>
      </c>
      <c r="J3161" s="15" t="s">
        <v>23</v>
      </c>
      <c r="K3161" s="13">
        <v>14.52</v>
      </c>
      <c r="L3161" s="13">
        <v>2047.64</v>
      </c>
      <c r="M3161" s="198"/>
    </row>
    <row r="3162" spans="1:13" ht="15" customHeight="1" outlineLevel="1" x14ac:dyDescent="0.25">
      <c r="A3162" s="148"/>
      <c r="B3162" s="148"/>
      <c r="C3162" s="148"/>
      <c r="D3162" s="138"/>
      <c r="E3162" s="138"/>
      <c r="F3162" s="50">
        <v>43466</v>
      </c>
      <c r="G3162" s="50">
        <v>43646</v>
      </c>
      <c r="H3162" s="150"/>
      <c r="I3162" s="15" t="s">
        <v>23</v>
      </c>
      <c r="J3162" s="15" t="s">
        <v>23</v>
      </c>
      <c r="K3162" s="13">
        <v>14.24</v>
      </c>
      <c r="L3162" s="13">
        <v>2189.98</v>
      </c>
      <c r="M3162" s="196" t="s">
        <v>427</v>
      </c>
    </row>
    <row r="3163" spans="1:13" ht="15" customHeight="1" outlineLevel="1" x14ac:dyDescent="0.25">
      <c r="A3163" s="147"/>
      <c r="B3163" s="147"/>
      <c r="C3163" s="147"/>
      <c r="D3163" s="141"/>
      <c r="E3163" s="141"/>
      <c r="F3163" s="50">
        <v>43647</v>
      </c>
      <c r="G3163" s="50">
        <v>43830</v>
      </c>
      <c r="H3163" s="151"/>
      <c r="I3163" s="15" t="s">
        <v>23</v>
      </c>
      <c r="J3163" s="15" t="s">
        <v>23</v>
      </c>
      <c r="K3163" s="13">
        <v>14.52</v>
      </c>
      <c r="L3163" s="13">
        <v>2233.7800000000002</v>
      </c>
      <c r="M3163" s="198"/>
    </row>
    <row r="3164" spans="1:13" ht="15" customHeight="1" outlineLevel="1" x14ac:dyDescent="0.25">
      <c r="A3164" s="146" t="s">
        <v>53</v>
      </c>
      <c r="B3164" s="146" t="s">
        <v>541</v>
      </c>
      <c r="C3164" s="146" t="s">
        <v>111</v>
      </c>
      <c r="D3164" s="137">
        <v>42723</v>
      </c>
      <c r="E3164" s="137" t="s">
        <v>637</v>
      </c>
      <c r="F3164" s="12">
        <v>43466</v>
      </c>
      <c r="G3164" s="12">
        <v>43646</v>
      </c>
      <c r="H3164" s="142" t="s">
        <v>636</v>
      </c>
      <c r="I3164" s="66">
        <v>13.63</v>
      </c>
      <c r="J3164" s="13">
        <v>1871.72</v>
      </c>
      <c r="K3164" s="15" t="s">
        <v>23</v>
      </c>
      <c r="L3164" s="15" t="s">
        <v>23</v>
      </c>
      <c r="M3164" s="153"/>
    </row>
    <row r="3165" spans="1:13" ht="15" customHeight="1" outlineLevel="1" x14ac:dyDescent="0.25">
      <c r="A3165" s="148"/>
      <c r="B3165" s="148"/>
      <c r="C3165" s="148"/>
      <c r="D3165" s="141"/>
      <c r="E3165" s="141"/>
      <c r="F3165" s="12">
        <v>43647</v>
      </c>
      <c r="G3165" s="12">
        <v>43830</v>
      </c>
      <c r="H3165" s="143"/>
      <c r="I3165" s="66">
        <v>134.99</v>
      </c>
      <c r="J3165" s="13">
        <v>1933.59</v>
      </c>
      <c r="K3165" s="15" t="s">
        <v>23</v>
      </c>
      <c r="L3165" s="15" t="s">
        <v>23</v>
      </c>
      <c r="M3165" s="152"/>
    </row>
    <row r="3166" spans="1:13" ht="15" customHeight="1" outlineLevel="1" x14ac:dyDescent="0.25">
      <c r="A3166" s="148"/>
      <c r="B3166" s="148"/>
      <c r="C3166" s="148"/>
      <c r="D3166" s="137">
        <v>43454</v>
      </c>
      <c r="E3166" s="137" t="s">
        <v>638</v>
      </c>
      <c r="F3166" s="50">
        <v>43466</v>
      </c>
      <c r="G3166" s="50">
        <v>43646</v>
      </c>
      <c r="H3166" s="149"/>
      <c r="I3166" s="15" t="s">
        <v>23</v>
      </c>
      <c r="J3166" s="15" t="s">
        <v>23</v>
      </c>
      <c r="K3166" s="13">
        <v>16.350000000000001</v>
      </c>
      <c r="L3166" s="13">
        <v>2064.06</v>
      </c>
      <c r="M3166" s="196" t="s">
        <v>420</v>
      </c>
    </row>
    <row r="3167" spans="1:13" ht="15" customHeight="1" outlineLevel="1" x14ac:dyDescent="0.25">
      <c r="A3167" s="148"/>
      <c r="B3167" s="148"/>
      <c r="C3167" s="148"/>
      <c r="D3167" s="138"/>
      <c r="E3167" s="138"/>
      <c r="F3167" s="50">
        <v>43647</v>
      </c>
      <c r="G3167" s="50">
        <v>43830</v>
      </c>
      <c r="H3167" s="150"/>
      <c r="I3167" s="15" t="s">
        <v>23</v>
      </c>
      <c r="J3167" s="15" t="s">
        <v>23</v>
      </c>
      <c r="K3167" s="13">
        <v>16.68</v>
      </c>
      <c r="L3167" s="13">
        <v>2105.34</v>
      </c>
      <c r="M3167" s="198"/>
    </row>
    <row r="3168" spans="1:13" ht="15" customHeight="1" outlineLevel="1" x14ac:dyDescent="0.25">
      <c r="A3168" s="148"/>
      <c r="B3168" s="148"/>
      <c r="C3168" s="148"/>
      <c r="D3168" s="138"/>
      <c r="E3168" s="138"/>
      <c r="F3168" s="50">
        <v>43466</v>
      </c>
      <c r="G3168" s="50">
        <v>43646</v>
      </c>
      <c r="H3168" s="150"/>
      <c r="I3168" s="15" t="s">
        <v>23</v>
      </c>
      <c r="J3168" s="15" t="s">
        <v>23</v>
      </c>
      <c r="K3168" s="13">
        <v>16.350000000000001</v>
      </c>
      <c r="L3168" s="13">
        <v>2246.06</v>
      </c>
      <c r="M3168" s="196" t="s">
        <v>421</v>
      </c>
    </row>
    <row r="3169" spans="1:13" ht="15" customHeight="1" outlineLevel="1" x14ac:dyDescent="0.25">
      <c r="A3169" s="148"/>
      <c r="B3169" s="148"/>
      <c r="C3169" s="148"/>
      <c r="D3169" s="138"/>
      <c r="E3169" s="138"/>
      <c r="F3169" s="50">
        <v>43647</v>
      </c>
      <c r="G3169" s="50">
        <v>43830</v>
      </c>
      <c r="H3169" s="150"/>
      <c r="I3169" s="15" t="s">
        <v>23</v>
      </c>
      <c r="J3169" s="15" t="s">
        <v>23</v>
      </c>
      <c r="K3169" s="13">
        <v>16.68</v>
      </c>
      <c r="L3169" s="13">
        <v>2290.9899999999998</v>
      </c>
      <c r="M3169" s="198"/>
    </row>
    <row r="3170" spans="1:13" ht="15" customHeight="1" outlineLevel="1" x14ac:dyDescent="0.25">
      <c r="A3170" s="148"/>
      <c r="B3170" s="148"/>
      <c r="C3170" s="148"/>
      <c r="D3170" s="138"/>
      <c r="E3170" s="138"/>
      <c r="F3170" s="50">
        <v>43466</v>
      </c>
      <c r="G3170" s="50">
        <v>43646</v>
      </c>
      <c r="H3170" s="150"/>
      <c r="I3170" s="15" t="s">
        <v>23</v>
      </c>
      <c r="J3170" s="15" t="s">
        <v>23</v>
      </c>
      <c r="K3170" s="13">
        <v>16.350000000000001</v>
      </c>
      <c r="L3170" s="13">
        <v>1924.6</v>
      </c>
      <c r="M3170" s="196" t="s">
        <v>422</v>
      </c>
    </row>
    <row r="3171" spans="1:13" ht="15" customHeight="1" outlineLevel="1" x14ac:dyDescent="0.25">
      <c r="A3171" s="148"/>
      <c r="B3171" s="148"/>
      <c r="C3171" s="148"/>
      <c r="D3171" s="138"/>
      <c r="E3171" s="138"/>
      <c r="F3171" s="50">
        <v>43647</v>
      </c>
      <c r="G3171" s="50">
        <v>43830</v>
      </c>
      <c r="H3171" s="150"/>
      <c r="I3171" s="15" t="s">
        <v>23</v>
      </c>
      <c r="J3171" s="15" t="s">
        <v>23</v>
      </c>
      <c r="K3171" s="13">
        <v>16.68</v>
      </c>
      <c r="L3171" s="13">
        <v>1963.09</v>
      </c>
      <c r="M3171" s="198"/>
    </row>
    <row r="3172" spans="1:13" ht="15" customHeight="1" outlineLevel="1" x14ac:dyDescent="0.25">
      <c r="A3172" s="148"/>
      <c r="B3172" s="148"/>
      <c r="C3172" s="148"/>
      <c r="D3172" s="138"/>
      <c r="E3172" s="138"/>
      <c r="F3172" s="50">
        <v>43466</v>
      </c>
      <c r="G3172" s="50">
        <v>43646</v>
      </c>
      <c r="H3172" s="150"/>
      <c r="I3172" s="15" t="s">
        <v>23</v>
      </c>
      <c r="J3172" s="15" t="s">
        <v>23</v>
      </c>
      <c r="K3172" s="13">
        <v>16.350000000000001</v>
      </c>
      <c r="L3172" s="13">
        <v>2064.06</v>
      </c>
      <c r="M3172" s="196" t="s">
        <v>423</v>
      </c>
    </row>
    <row r="3173" spans="1:13" ht="15" customHeight="1" outlineLevel="1" x14ac:dyDescent="0.25">
      <c r="A3173" s="148"/>
      <c r="B3173" s="148"/>
      <c r="C3173" s="148"/>
      <c r="D3173" s="138"/>
      <c r="E3173" s="138"/>
      <c r="F3173" s="50">
        <v>43647</v>
      </c>
      <c r="G3173" s="50">
        <v>43830</v>
      </c>
      <c r="H3173" s="150"/>
      <c r="I3173" s="15" t="s">
        <v>23</v>
      </c>
      <c r="J3173" s="15" t="s">
        <v>23</v>
      </c>
      <c r="K3173" s="13">
        <v>16.68</v>
      </c>
      <c r="L3173" s="13">
        <v>2105.34</v>
      </c>
      <c r="M3173" s="198"/>
    </row>
    <row r="3174" spans="1:13" ht="15" customHeight="1" outlineLevel="1" x14ac:dyDescent="0.25">
      <c r="A3174" s="148"/>
      <c r="B3174" s="148"/>
      <c r="C3174" s="148"/>
      <c r="D3174" s="138"/>
      <c r="E3174" s="138"/>
      <c r="F3174" s="50">
        <v>43466</v>
      </c>
      <c r="G3174" s="50">
        <v>43646</v>
      </c>
      <c r="H3174" s="150"/>
      <c r="I3174" s="15" t="s">
        <v>23</v>
      </c>
      <c r="J3174" s="15" t="s">
        <v>23</v>
      </c>
      <c r="K3174" s="13">
        <v>16.350000000000001</v>
      </c>
      <c r="L3174" s="13">
        <v>2157.88</v>
      </c>
      <c r="M3174" s="196" t="s">
        <v>424</v>
      </c>
    </row>
    <row r="3175" spans="1:13" ht="15" customHeight="1" outlineLevel="1" x14ac:dyDescent="0.25">
      <c r="A3175" s="148"/>
      <c r="B3175" s="148"/>
      <c r="C3175" s="148"/>
      <c r="D3175" s="138"/>
      <c r="E3175" s="138"/>
      <c r="F3175" s="50">
        <v>43647</v>
      </c>
      <c r="G3175" s="50">
        <v>43830</v>
      </c>
      <c r="H3175" s="150"/>
      <c r="I3175" s="15" t="s">
        <v>23</v>
      </c>
      <c r="J3175" s="15" t="s">
        <v>23</v>
      </c>
      <c r="K3175" s="13">
        <v>16.68</v>
      </c>
      <c r="L3175" s="13">
        <v>2201.04</v>
      </c>
      <c r="M3175" s="198"/>
    </row>
    <row r="3176" spans="1:13" ht="15" customHeight="1" outlineLevel="1" x14ac:dyDescent="0.25">
      <c r="A3176" s="148"/>
      <c r="B3176" s="148"/>
      <c r="C3176" s="148"/>
      <c r="D3176" s="138"/>
      <c r="E3176" s="138"/>
      <c r="F3176" s="50">
        <v>43466</v>
      </c>
      <c r="G3176" s="50">
        <v>43646</v>
      </c>
      <c r="H3176" s="150"/>
      <c r="I3176" s="15" t="s">
        <v>23</v>
      </c>
      <c r="J3176" s="15" t="s">
        <v>23</v>
      </c>
      <c r="K3176" s="13">
        <v>16.350000000000001</v>
      </c>
      <c r="L3176" s="13">
        <v>2246.06</v>
      </c>
      <c r="M3176" s="196" t="s">
        <v>425</v>
      </c>
    </row>
    <row r="3177" spans="1:13" ht="15" customHeight="1" outlineLevel="1" x14ac:dyDescent="0.25">
      <c r="A3177" s="148"/>
      <c r="B3177" s="148"/>
      <c r="C3177" s="148"/>
      <c r="D3177" s="138"/>
      <c r="E3177" s="138"/>
      <c r="F3177" s="50">
        <v>43647</v>
      </c>
      <c r="G3177" s="50">
        <v>43830</v>
      </c>
      <c r="H3177" s="150"/>
      <c r="I3177" s="15" t="s">
        <v>23</v>
      </c>
      <c r="J3177" s="15" t="s">
        <v>23</v>
      </c>
      <c r="K3177" s="13">
        <v>16.68</v>
      </c>
      <c r="L3177" s="13">
        <v>2290.9899999999998</v>
      </c>
      <c r="M3177" s="198"/>
    </row>
    <row r="3178" spans="1:13" ht="15" customHeight="1" outlineLevel="1" x14ac:dyDescent="0.25">
      <c r="A3178" s="148"/>
      <c r="B3178" s="148"/>
      <c r="C3178" s="148"/>
      <c r="D3178" s="138"/>
      <c r="E3178" s="138"/>
      <c r="F3178" s="50">
        <v>43466</v>
      </c>
      <c r="G3178" s="50">
        <v>43646</v>
      </c>
      <c r="H3178" s="150"/>
      <c r="I3178" s="15" t="s">
        <v>23</v>
      </c>
      <c r="J3178" s="15" t="s">
        <v>23</v>
      </c>
      <c r="K3178" s="13">
        <v>16.350000000000001</v>
      </c>
      <c r="L3178" s="13">
        <v>1978.06</v>
      </c>
      <c r="M3178" s="196" t="s">
        <v>426</v>
      </c>
    </row>
    <row r="3179" spans="1:13" ht="15" customHeight="1" outlineLevel="1" x14ac:dyDescent="0.25">
      <c r="A3179" s="148"/>
      <c r="B3179" s="148"/>
      <c r="C3179" s="148"/>
      <c r="D3179" s="138"/>
      <c r="E3179" s="138"/>
      <c r="F3179" s="50">
        <v>43647</v>
      </c>
      <c r="G3179" s="50">
        <v>43830</v>
      </c>
      <c r="H3179" s="150"/>
      <c r="I3179" s="15" t="s">
        <v>23</v>
      </c>
      <c r="J3179" s="15" t="s">
        <v>23</v>
      </c>
      <c r="K3179" s="13">
        <v>16.68</v>
      </c>
      <c r="L3179" s="13">
        <v>2017.62</v>
      </c>
      <c r="M3179" s="198"/>
    </row>
    <row r="3180" spans="1:13" ht="15" customHeight="1" outlineLevel="1" x14ac:dyDescent="0.25">
      <c r="A3180" s="148"/>
      <c r="B3180" s="148"/>
      <c r="C3180" s="148"/>
      <c r="D3180" s="138"/>
      <c r="E3180" s="138"/>
      <c r="F3180" s="50">
        <v>43466</v>
      </c>
      <c r="G3180" s="50">
        <v>43646</v>
      </c>
      <c r="H3180" s="150"/>
      <c r="I3180" s="15" t="s">
        <v>23</v>
      </c>
      <c r="J3180" s="15" t="s">
        <v>23</v>
      </c>
      <c r="K3180" s="13">
        <v>16.350000000000001</v>
      </c>
      <c r="L3180" s="13">
        <v>2157.88</v>
      </c>
      <c r="M3180" s="196" t="s">
        <v>427</v>
      </c>
    </row>
    <row r="3181" spans="1:13" ht="15" customHeight="1" outlineLevel="1" x14ac:dyDescent="0.25">
      <c r="A3181" s="147"/>
      <c r="B3181" s="147"/>
      <c r="C3181" s="147"/>
      <c r="D3181" s="141"/>
      <c r="E3181" s="141"/>
      <c r="F3181" s="50">
        <v>43647</v>
      </c>
      <c r="G3181" s="50">
        <v>43830</v>
      </c>
      <c r="H3181" s="151"/>
      <c r="I3181" s="15" t="s">
        <v>23</v>
      </c>
      <c r="J3181" s="15" t="s">
        <v>23</v>
      </c>
      <c r="K3181" s="13">
        <v>16.68</v>
      </c>
      <c r="L3181" s="13">
        <v>2201.04</v>
      </c>
      <c r="M3181" s="198"/>
    </row>
    <row r="3182" spans="1:13" ht="15" customHeight="1" outlineLevel="1" x14ac:dyDescent="0.25">
      <c r="A3182" s="146" t="s">
        <v>53</v>
      </c>
      <c r="B3182" s="146" t="s">
        <v>537</v>
      </c>
      <c r="C3182" s="146" t="s">
        <v>290</v>
      </c>
      <c r="D3182" s="137">
        <v>42723</v>
      </c>
      <c r="E3182" s="137" t="s">
        <v>695</v>
      </c>
      <c r="F3182" s="12">
        <v>43466</v>
      </c>
      <c r="G3182" s="12">
        <v>43646</v>
      </c>
      <c r="H3182" s="149" t="s">
        <v>797</v>
      </c>
      <c r="I3182" s="66">
        <v>40.51</v>
      </c>
      <c r="J3182" s="13">
        <v>2019.3</v>
      </c>
      <c r="K3182" s="15" t="s">
        <v>23</v>
      </c>
      <c r="L3182" s="15" t="s">
        <v>23</v>
      </c>
      <c r="M3182" s="153"/>
    </row>
    <row r="3183" spans="1:13" ht="15" customHeight="1" outlineLevel="1" x14ac:dyDescent="0.25">
      <c r="A3183" s="148"/>
      <c r="B3183" s="148"/>
      <c r="C3183" s="148"/>
      <c r="D3183" s="141"/>
      <c r="E3183" s="141"/>
      <c r="F3183" s="12">
        <v>43647</v>
      </c>
      <c r="G3183" s="12">
        <v>43830</v>
      </c>
      <c r="H3183" s="151"/>
      <c r="I3183" s="66">
        <v>41.7</v>
      </c>
      <c r="J3183" s="13">
        <v>2069.86</v>
      </c>
      <c r="K3183" s="15" t="s">
        <v>23</v>
      </c>
      <c r="L3183" s="15" t="s">
        <v>23</v>
      </c>
      <c r="M3183" s="152"/>
    </row>
    <row r="3184" spans="1:13" ht="15" customHeight="1" outlineLevel="1" x14ac:dyDescent="0.25">
      <c r="A3184" s="148"/>
      <c r="B3184" s="148"/>
      <c r="C3184" s="148"/>
      <c r="D3184" s="137">
        <v>43454</v>
      </c>
      <c r="E3184" s="137" t="s">
        <v>796</v>
      </c>
      <c r="F3184" s="50">
        <v>43466</v>
      </c>
      <c r="G3184" s="50">
        <v>43646</v>
      </c>
      <c r="H3184" s="149"/>
      <c r="I3184" s="15" t="s">
        <v>23</v>
      </c>
      <c r="J3184" s="15" t="s">
        <v>23</v>
      </c>
      <c r="K3184" s="13">
        <v>36.620338983050743</v>
      </c>
      <c r="L3184" s="13">
        <v>1489.9042004421472</v>
      </c>
      <c r="M3184" s="196" t="s">
        <v>420</v>
      </c>
    </row>
    <row r="3185" spans="1:13" ht="15" customHeight="1" outlineLevel="1" x14ac:dyDescent="0.25">
      <c r="A3185" s="148"/>
      <c r="B3185" s="148"/>
      <c r="C3185" s="148"/>
      <c r="D3185" s="138"/>
      <c r="E3185" s="138"/>
      <c r="F3185" s="50">
        <v>43647</v>
      </c>
      <c r="G3185" s="50">
        <v>43830</v>
      </c>
      <c r="H3185" s="150"/>
      <c r="I3185" s="15" t="s">
        <v>23</v>
      </c>
      <c r="J3185" s="15" t="s">
        <v>23</v>
      </c>
      <c r="K3185" s="13">
        <v>37.352745762711756</v>
      </c>
      <c r="L3185" s="13">
        <v>1519.7022844509902</v>
      </c>
      <c r="M3185" s="198"/>
    </row>
    <row r="3186" spans="1:13" ht="15" customHeight="1" outlineLevel="1" x14ac:dyDescent="0.25">
      <c r="A3186" s="148"/>
      <c r="B3186" s="148"/>
      <c r="C3186" s="148"/>
      <c r="D3186" s="138"/>
      <c r="E3186" s="138"/>
      <c r="F3186" s="50">
        <v>43466</v>
      </c>
      <c r="G3186" s="50">
        <v>43646</v>
      </c>
      <c r="H3186" s="150"/>
      <c r="I3186" s="15" t="s">
        <v>23</v>
      </c>
      <c r="J3186" s="15" t="s">
        <v>23</v>
      </c>
      <c r="K3186" s="13">
        <v>36.620338983050743</v>
      </c>
      <c r="L3186" s="13">
        <v>1631.7998385794947</v>
      </c>
      <c r="M3186" s="196" t="s">
        <v>421</v>
      </c>
    </row>
    <row r="3187" spans="1:13" ht="15" customHeight="1" outlineLevel="1" x14ac:dyDescent="0.25">
      <c r="A3187" s="148"/>
      <c r="B3187" s="148"/>
      <c r="C3187" s="148"/>
      <c r="D3187" s="138"/>
      <c r="E3187" s="138"/>
      <c r="F3187" s="50">
        <v>43647</v>
      </c>
      <c r="G3187" s="50">
        <v>43830</v>
      </c>
      <c r="H3187" s="150"/>
      <c r="I3187" s="15" t="s">
        <v>23</v>
      </c>
      <c r="J3187" s="15" t="s">
        <v>23</v>
      </c>
      <c r="K3187" s="13">
        <v>37.352745762711756</v>
      </c>
      <c r="L3187" s="13">
        <v>1664.4358353510845</v>
      </c>
      <c r="M3187" s="198"/>
    </row>
    <row r="3188" spans="1:13" ht="15" customHeight="1" outlineLevel="1" x14ac:dyDescent="0.25">
      <c r="A3188" s="148"/>
      <c r="B3188" s="148"/>
      <c r="C3188" s="148"/>
      <c r="D3188" s="138"/>
      <c r="E3188" s="138"/>
      <c r="F3188" s="50">
        <v>43466</v>
      </c>
      <c r="G3188" s="50">
        <v>43646</v>
      </c>
      <c r="H3188" s="150"/>
      <c r="I3188" s="15" t="s">
        <v>23</v>
      </c>
      <c r="J3188" s="15" t="s">
        <v>23</v>
      </c>
      <c r="K3188" s="13">
        <v>36.620338983050743</v>
      </c>
      <c r="L3188" s="13">
        <v>1389.2349977095698</v>
      </c>
      <c r="M3188" s="196" t="s">
        <v>422</v>
      </c>
    </row>
    <row r="3189" spans="1:13" ht="15" customHeight="1" outlineLevel="1" x14ac:dyDescent="0.25">
      <c r="A3189" s="148"/>
      <c r="B3189" s="148"/>
      <c r="C3189" s="148"/>
      <c r="D3189" s="138"/>
      <c r="E3189" s="138"/>
      <c r="F3189" s="50">
        <v>43647</v>
      </c>
      <c r="G3189" s="50">
        <v>43830</v>
      </c>
      <c r="H3189" s="150"/>
      <c r="I3189" s="15" t="s">
        <v>23</v>
      </c>
      <c r="J3189" s="15" t="s">
        <v>23</v>
      </c>
      <c r="K3189" s="13">
        <v>37.352745762711756</v>
      </c>
      <c r="L3189" s="13">
        <v>1417.0196976637612</v>
      </c>
      <c r="M3189" s="198"/>
    </row>
    <row r="3190" spans="1:13" ht="15" customHeight="1" outlineLevel="1" x14ac:dyDescent="0.25">
      <c r="A3190" s="148"/>
      <c r="B3190" s="148"/>
      <c r="C3190" s="148"/>
      <c r="D3190" s="138"/>
      <c r="E3190" s="138"/>
      <c r="F3190" s="50">
        <v>43466</v>
      </c>
      <c r="G3190" s="50">
        <v>43646</v>
      </c>
      <c r="H3190" s="150"/>
      <c r="I3190" s="15" t="s">
        <v>23</v>
      </c>
      <c r="J3190" s="15" t="s">
        <v>23</v>
      </c>
      <c r="K3190" s="13">
        <v>36.620338983050743</v>
      </c>
      <c r="L3190" s="13">
        <v>1489.9042004421472</v>
      </c>
      <c r="M3190" s="196" t="s">
        <v>423</v>
      </c>
    </row>
    <row r="3191" spans="1:13" ht="15" customHeight="1" outlineLevel="1" x14ac:dyDescent="0.25">
      <c r="A3191" s="148"/>
      <c r="B3191" s="148"/>
      <c r="C3191" s="148"/>
      <c r="D3191" s="138"/>
      <c r="E3191" s="138"/>
      <c r="F3191" s="50">
        <v>43647</v>
      </c>
      <c r="G3191" s="50">
        <v>43830</v>
      </c>
      <c r="H3191" s="150"/>
      <c r="I3191" s="15" t="s">
        <v>23</v>
      </c>
      <c r="J3191" s="15" t="s">
        <v>23</v>
      </c>
      <c r="K3191" s="13">
        <v>37.352745762711756</v>
      </c>
      <c r="L3191" s="13">
        <v>1519.7022844509902</v>
      </c>
      <c r="M3191" s="198"/>
    </row>
    <row r="3192" spans="1:13" ht="15" customHeight="1" outlineLevel="1" x14ac:dyDescent="0.25">
      <c r="A3192" s="148"/>
      <c r="B3192" s="148"/>
      <c r="C3192" s="148"/>
      <c r="D3192" s="138"/>
      <c r="E3192" s="138"/>
      <c r="F3192" s="50">
        <v>43466</v>
      </c>
      <c r="G3192" s="50">
        <v>43646</v>
      </c>
      <c r="H3192" s="150"/>
      <c r="I3192" s="15" t="s">
        <v>23</v>
      </c>
      <c r="J3192" s="15" t="s">
        <v>23</v>
      </c>
      <c r="K3192" s="13">
        <v>36.620338983050743</v>
      </c>
      <c r="L3192" s="13">
        <v>1557.6271186440631</v>
      </c>
      <c r="M3192" s="196" t="s">
        <v>424</v>
      </c>
    </row>
    <row r="3193" spans="1:13" ht="15" customHeight="1" outlineLevel="1" x14ac:dyDescent="0.25">
      <c r="A3193" s="148"/>
      <c r="B3193" s="148"/>
      <c r="C3193" s="148"/>
      <c r="D3193" s="138"/>
      <c r="E3193" s="138"/>
      <c r="F3193" s="50">
        <v>43647</v>
      </c>
      <c r="G3193" s="50">
        <v>43830</v>
      </c>
      <c r="H3193" s="150"/>
      <c r="I3193" s="15" t="s">
        <v>23</v>
      </c>
      <c r="J3193" s="15" t="s">
        <v>23</v>
      </c>
      <c r="K3193" s="13">
        <v>37.352745762711756</v>
      </c>
      <c r="L3193" s="13">
        <v>1588.7796610169444</v>
      </c>
      <c r="M3193" s="198"/>
    </row>
    <row r="3194" spans="1:13" ht="15" customHeight="1" outlineLevel="1" x14ac:dyDescent="0.25">
      <c r="A3194" s="148"/>
      <c r="B3194" s="148"/>
      <c r="C3194" s="148"/>
      <c r="D3194" s="138"/>
      <c r="E3194" s="138"/>
      <c r="F3194" s="50">
        <v>43466</v>
      </c>
      <c r="G3194" s="50">
        <v>43646</v>
      </c>
      <c r="H3194" s="150"/>
      <c r="I3194" s="15" t="s">
        <v>23</v>
      </c>
      <c r="J3194" s="15" t="s">
        <v>23</v>
      </c>
      <c r="K3194" s="13">
        <v>36.620338983050743</v>
      </c>
      <c r="L3194" s="13">
        <v>1685.3014726312815</v>
      </c>
      <c r="M3194" s="196" t="s">
        <v>425</v>
      </c>
    </row>
    <row r="3195" spans="1:13" ht="15" customHeight="1" outlineLevel="1" x14ac:dyDescent="0.25">
      <c r="A3195" s="148"/>
      <c r="B3195" s="148"/>
      <c r="C3195" s="148"/>
      <c r="D3195" s="138"/>
      <c r="E3195" s="138"/>
      <c r="F3195" s="50">
        <v>43647</v>
      </c>
      <c r="G3195" s="50">
        <v>43830</v>
      </c>
      <c r="H3195" s="150"/>
      <c r="I3195" s="15" t="s">
        <v>23</v>
      </c>
      <c r="J3195" s="15" t="s">
        <v>23</v>
      </c>
      <c r="K3195" s="13">
        <v>37.352745762711756</v>
      </c>
      <c r="L3195" s="13">
        <v>1719.0075020839072</v>
      </c>
      <c r="M3195" s="198"/>
    </row>
    <row r="3196" spans="1:13" ht="15" customHeight="1" outlineLevel="1" x14ac:dyDescent="0.25">
      <c r="A3196" s="148"/>
      <c r="B3196" s="148"/>
      <c r="C3196" s="148"/>
      <c r="D3196" s="138"/>
      <c r="E3196" s="138"/>
      <c r="F3196" s="50">
        <v>43466</v>
      </c>
      <c r="G3196" s="50">
        <v>43646</v>
      </c>
      <c r="H3196" s="150"/>
      <c r="I3196" s="15" t="s">
        <v>23</v>
      </c>
      <c r="J3196" s="15" t="s">
        <v>23</v>
      </c>
      <c r="K3196" s="13">
        <v>36.620338983050743</v>
      </c>
      <c r="L3196" s="13">
        <v>1427.8248587570579</v>
      </c>
      <c r="M3196" s="196" t="s">
        <v>426</v>
      </c>
    </row>
    <row r="3197" spans="1:13" ht="15" customHeight="1" outlineLevel="1" x14ac:dyDescent="0.25">
      <c r="A3197" s="148"/>
      <c r="B3197" s="148"/>
      <c r="C3197" s="148"/>
      <c r="D3197" s="138"/>
      <c r="E3197" s="138"/>
      <c r="F3197" s="50">
        <v>43647</v>
      </c>
      <c r="G3197" s="50">
        <v>43830</v>
      </c>
      <c r="H3197" s="150"/>
      <c r="I3197" s="15" t="s">
        <v>23</v>
      </c>
      <c r="J3197" s="15" t="s">
        <v>23</v>
      </c>
      <c r="K3197" s="13">
        <v>37.352745762711756</v>
      </c>
      <c r="L3197" s="13">
        <v>1456.3813559321991</v>
      </c>
      <c r="M3197" s="198"/>
    </row>
    <row r="3198" spans="1:13" ht="15" customHeight="1" outlineLevel="1" x14ac:dyDescent="0.25">
      <c r="A3198" s="148"/>
      <c r="B3198" s="148"/>
      <c r="C3198" s="148"/>
      <c r="D3198" s="138"/>
      <c r="E3198" s="138"/>
      <c r="F3198" s="50">
        <v>43466</v>
      </c>
      <c r="G3198" s="50">
        <v>43646</v>
      </c>
      <c r="H3198" s="150"/>
      <c r="I3198" s="15" t="s">
        <v>23</v>
      </c>
      <c r="J3198" s="15" t="s">
        <v>23</v>
      </c>
      <c r="K3198" s="13">
        <v>36.620338983050743</v>
      </c>
      <c r="L3198" s="13">
        <v>1557.6271186440631</v>
      </c>
      <c r="M3198" s="196" t="s">
        <v>427</v>
      </c>
    </row>
    <row r="3199" spans="1:13" ht="15" customHeight="1" outlineLevel="1" x14ac:dyDescent="0.25">
      <c r="A3199" s="147"/>
      <c r="B3199" s="147"/>
      <c r="C3199" s="148"/>
      <c r="D3199" s="141"/>
      <c r="E3199" s="141"/>
      <c r="F3199" s="50">
        <v>43647</v>
      </c>
      <c r="G3199" s="50">
        <v>43830</v>
      </c>
      <c r="H3199" s="151"/>
      <c r="I3199" s="15" t="s">
        <v>23</v>
      </c>
      <c r="J3199" s="15" t="s">
        <v>23</v>
      </c>
      <c r="K3199" s="13">
        <v>37.352745762711756</v>
      </c>
      <c r="L3199" s="13">
        <v>1588.7796610169444</v>
      </c>
      <c r="M3199" s="198"/>
    </row>
    <row r="3200" spans="1:13" ht="15" customHeight="1" outlineLevel="1" x14ac:dyDescent="0.25">
      <c r="A3200" s="146" t="s">
        <v>53</v>
      </c>
      <c r="B3200" s="146" t="s">
        <v>591</v>
      </c>
      <c r="C3200" s="148"/>
      <c r="D3200" s="137">
        <v>42723</v>
      </c>
      <c r="E3200" s="137" t="s">
        <v>695</v>
      </c>
      <c r="F3200" s="12">
        <v>43466</v>
      </c>
      <c r="G3200" s="12">
        <v>43646</v>
      </c>
      <c r="H3200" s="149" t="s">
        <v>797</v>
      </c>
      <c r="I3200" s="66">
        <v>40.51</v>
      </c>
      <c r="J3200" s="13">
        <v>2019.3</v>
      </c>
      <c r="K3200" s="15" t="s">
        <v>23</v>
      </c>
      <c r="L3200" s="15" t="s">
        <v>23</v>
      </c>
      <c r="M3200" s="153"/>
    </row>
    <row r="3201" spans="1:13" ht="15" customHeight="1" outlineLevel="1" x14ac:dyDescent="0.25">
      <c r="A3201" s="148"/>
      <c r="B3201" s="148"/>
      <c r="C3201" s="148"/>
      <c r="D3201" s="141"/>
      <c r="E3201" s="141"/>
      <c r="F3201" s="12">
        <v>43647</v>
      </c>
      <c r="G3201" s="12">
        <v>43830</v>
      </c>
      <c r="H3201" s="151"/>
      <c r="I3201" s="66">
        <v>41.7</v>
      </c>
      <c r="J3201" s="13">
        <v>2069.86</v>
      </c>
      <c r="K3201" s="15" t="s">
        <v>23</v>
      </c>
      <c r="L3201" s="15" t="s">
        <v>23</v>
      </c>
      <c r="M3201" s="152"/>
    </row>
    <row r="3202" spans="1:13" ht="15" customHeight="1" outlineLevel="1" x14ac:dyDescent="0.25">
      <c r="A3202" s="148"/>
      <c r="B3202" s="148"/>
      <c r="C3202" s="148"/>
      <c r="D3202" s="137">
        <v>43454</v>
      </c>
      <c r="E3202" s="137" t="s">
        <v>796</v>
      </c>
      <c r="F3202" s="50">
        <v>43466</v>
      </c>
      <c r="G3202" s="50">
        <v>43646</v>
      </c>
      <c r="H3202" s="149"/>
      <c r="I3202" s="15" t="s">
        <v>23</v>
      </c>
      <c r="J3202" s="15" t="s">
        <v>23</v>
      </c>
      <c r="K3202" s="13">
        <v>41.410169491525302</v>
      </c>
      <c r="L3202" s="13">
        <v>1684.8931466470106</v>
      </c>
      <c r="M3202" s="196" t="s">
        <v>420</v>
      </c>
    </row>
    <row r="3203" spans="1:13" ht="15" customHeight="1" outlineLevel="1" x14ac:dyDescent="0.25">
      <c r="A3203" s="148"/>
      <c r="B3203" s="148"/>
      <c r="C3203" s="148"/>
      <c r="D3203" s="138"/>
      <c r="E3203" s="138"/>
      <c r="F3203" s="50">
        <v>43647</v>
      </c>
      <c r="G3203" s="50">
        <v>43830</v>
      </c>
      <c r="H3203" s="150"/>
      <c r="I3203" s="15" t="s">
        <v>23</v>
      </c>
      <c r="J3203" s="15" t="s">
        <v>23</v>
      </c>
      <c r="K3203" s="13">
        <v>42.238372881355808</v>
      </c>
      <c r="L3203" s="13">
        <v>1718.5910095799509</v>
      </c>
      <c r="M3203" s="198"/>
    </row>
    <row r="3204" spans="1:13" ht="15" customHeight="1" outlineLevel="1" x14ac:dyDescent="0.25">
      <c r="A3204" s="148"/>
      <c r="B3204" s="148"/>
      <c r="C3204" s="148"/>
      <c r="D3204" s="138"/>
      <c r="E3204" s="138"/>
      <c r="F3204" s="50">
        <v>43466</v>
      </c>
      <c r="G3204" s="50">
        <v>43646</v>
      </c>
      <c r="H3204" s="150"/>
      <c r="I3204" s="15" t="s">
        <v>23</v>
      </c>
      <c r="J3204" s="15" t="s">
        <v>23</v>
      </c>
      <c r="K3204" s="13">
        <v>41.410169491525302</v>
      </c>
      <c r="L3204" s="13">
        <v>1845.3591606133928</v>
      </c>
      <c r="M3204" s="196" t="s">
        <v>421</v>
      </c>
    </row>
    <row r="3205" spans="1:13" ht="15" customHeight="1" outlineLevel="1" x14ac:dyDescent="0.25">
      <c r="A3205" s="148"/>
      <c r="B3205" s="148"/>
      <c r="C3205" s="148"/>
      <c r="D3205" s="138"/>
      <c r="E3205" s="138"/>
      <c r="F3205" s="50">
        <v>43647</v>
      </c>
      <c r="G3205" s="50">
        <v>43830</v>
      </c>
      <c r="H3205" s="150"/>
      <c r="I3205" s="15" t="s">
        <v>23</v>
      </c>
      <c r="J3205" s="15" t="s">
        <v>23</v>
      </c>
      <c r="K3205" s="13">
        <v>42.238372881355808</v>
      </c>
      <c r="L3205" s="13">
        <v>1882.2663438256607</v>
      </c>
      <c r="M3205" s="198"/>
    </row>
    <row r="3206" spans="1:13" ht="15" customHeight="1" outlineLevel="1" x14ac:dyDescent="0.25">
      <c r="A3206" s="148"/>
      <c r="B3206" s="148"/>
      <c r="C3206" s="148"/>
      <c r="D3206" s="138"/>
      <c r="E3206" s="138"/>
      <c r="F3206" s="50">
        <v>43466</v>
      </c>
      <c r="G3206" s="50">
        <v>43646</v>
      </c>
      <c r="H3206" s="150"/>
      <c r="I3206" s="15" t="s">
        <v>23</v>
      </c>
      <c r="J3206" s="15" t="s">
        <v>23</v>
      </c>
      <c r="K3206" s="13">
        <v>41.410169491525302</v>
      </c>
      <c r="L3206" s="13">
        <v>1571.0490151168074</v>
      </c>
      <c r="M3206" s="196" t="s">
        <v>422</v>
      </c>
    </row>
    <row r="3207" spans="1:13" ht="15" customHeight="1" outlineLevel="1" x14ac:dyDescent="0.25">
      <c r="A3207" s="148"/>
      <c r="B3207" s="148"/>
      <c r="C3207" s="148"/>
      <c r="D3207" s="138"/>
      <c r="E3207" s="138"/>
      <c r="F3207" s="50">
        <v>43647</v>
      </c>
      <c r="G3207" s="50">
        <v>43830</v>
      </c>
      <c r="H3207" s="150"/>
      <c r="I3207" s="15" t="s">
        <v>23</v>
      </c>
      <c r="J3207" s="15" t="s">
        <v>23</v>
      </c>
      <c r="K3207" s="13">
        <v>42.238372881355808</v>
      </c>
      <c r="L3207" s="13">
        <v>1602.4699954191435</v>
      </c>
      <c r="M3207" s="198"/>
    </row>
    <row r="3208" spans="1:13" ht="15" customHeight="1" outlineLevel="1" x14ac:dyDescent="0.25">
      <c r="A3208" s="148"/>
      <c r="B3208" s="148"/>
      <c r="C3208" s="148"/>
      <c r="D3208" s="138"/>
      <c r="E3208" s="138"/>
      <c r="F3208" s="50">
        <v>43466</v>
      </c>
      <c r="G3208" s="50">
        <v>43646</v>
      </c>
      <c r="H3208" s="150"/>
      <c r="I3208" s="15" t="s">
        <v>23</v>
      </c>
      <c r="J3208" s="15" t="s">
        <v>23</v>
      </c>
      <c r="K3208" s="13">
        <v>41.410169491525302</v>
      </c>
      <c r="L3208" s="13">
        <v>1684.8931466470106</v>
      </c>
      <c r="M3208" s="196" t="s">
        <v>423</v>
      </c>
    </row>
    <row r="3209" spans="1:13" ht="15" customHeight="1" outlineLevel="1" x14ac:dyDescent="0.25">
      <c r="A3209" s="148"/>
      <c r="B3209" s="148"/>
      <c r="C3209" s="148"/>
      <c r="D3209" s="138"/>
      <c r="E3209" s="138"/>
      <c r="F3209" s="50">
        <v>43647</v>
      </c>
      <c r="G3209" s="50">
        <v>43830</v>
      </c>
      <c r="H3209" s="150"/>
      <c r="I3209" s="15" t="s">
        <v>23</v>
      </c>
      <c r="J3209" s="15" t="s">
        <v>23</v>
      </c>
      <c r="K3209" s="13">
        <v>42.238372881355808</v>
      </c>
      <c r="L3209" s="13">
        <v>1718.5910095799509</v>
      </c>
      <c r="M3209" s="198"/>
    </row>
    <row r="3210" spans="1:13" ht="15" customHeight="1" outlineLevel="1" x14ac:dyDescent="0.25">
      <c r="A3210" s="148"/>
      <c r="B3210" s="148"/>
      <c r="C3210" s="148"/>
      <c r="D3210" s="138"/>
      <c r="E3210" s="138"/>
      <c r="F3210" s="50">
        <v>43466</v>
      </c>
      <c r="G3210" s="50">
        <v>43646</v>
      </c>
      <c r="H3210" s="150"/>
      <c r="I3210" s="15" t="s">
        <v>23</v>
      </c>
      <c r="J3210" s="15" t="s">
        <v>23</v>
      </c>
      <c r="K3210" s="13">
        <v>41.410169491525302</v>
      </c>
      <c r="L3210" s="13">
        <v>1761.4791987673293</v>
      </c>
      <c r="M3210" s="196" t="s">
        <v>424</v>
      </c>
    </row>
    <row r="3211" spans="1:13" ht="15" customHeight="1" outlineLevel="1" x14ac:dyDescent="0.25">
      <c r="A3211" s="148"/>
      <c r="B3211" s="148"/>
      <c r="C3211" s="148"/>
      <c r="D3211" s="138"/>
      <c r="E3211" s="138"/>
      <c r="F3211" s="50">
        <v>43647</v>
      </c>
      <c r="G3211" s="50">
        <v>43830</v>
      </c>
      <c r="H3211" s="150"/>
      <c r="I3211" s="15" t="s">
        <v>23</v>
      </c>
      <c r="J3211" s="15" t="s">
        <v>23</v>
      </c>
      <c r="K3211" s="13">
        <v>42.238372881355808</v>
      </c>
      <c r="L3211" s="13">
        <v>1796.708782742676</v>
      </c>
      <c r="M3211" s="198"/>
    </row>
    <row r="3212" spans="1:13" ht="15" customHeight="1" outlineLevel="1" x14ac:dyDescent="0.25">
      <c r="A3212" s="148"/>
      <c r="B3212" s="148"/>
      <c r="C3212" s="148"/>
      <c r="D3212" s="138"/>
      <c r="E3212" s="138"/>
      <c r="F3212" s="50">
        <v>43466</v>
      </c>
      <c r="G3212" s="50">
        <v>43646</v>
      </c>
      <c r="H3212" s="150"/>
      <c r="I3212" s="15" t="s">
        <v>23</v>
      </c>
      <c r="J3212" s="15" t="s">
        <v>23</v>
      </c>
      <c r="K3212" s="13">
        <v>41.410169491525302</v>
      </c>
      <c r="L3212" s="13">
        <v>1905.8627396498973</v>
      </c>
      <c r="M3212" s="196" t="s">
        <v>425</v>
      </c>
    </row>
    <row r="3213" spans="1:13" ht="15" customHeight="1" outlineLevel="1" x14ac:dyDescent="0.25">
      <c r="A3213" s="148"/>
      <c r="B3213" s="148"/>
      <c r="C3213" s="148"/>
      <c r="D3213" s="138"/>
      <c r="E3213" s="138"/>
      <c r="F3213" s="50">
        <v>43647</v>
      </c>
      <c r="G3213" s="50">
        <v>43830</v>
      </c>
      <c r="H3213" s="150"/>
      <c r="I3213" s="15" t="s">
        <v>23</v>
      </c>
      <c r="J3213" s="15" t="s">
        <v>23</v>
      </c>
      <c r="K3213" s="13">
        <v>42.238372881355808</v>
      </c>
      <c r="L3213" s="13">
        <v>1943.9799944428953</v>
      </c>
      <c r="M3213" s="198"/>
    </row>
    <row r="3214" spans="1:13" ht="15" customHeight="1" outlineLevel="1" x14ac:dyDescent="0.25">
      <c r="A3214" s="148"/>
      <c r="B3214" s="148"/>
      <c r="C3214" s="148"/>
      <c r="D3214" s="138"/>
      <c r="E3214" s="138"/>
      <c r="F3214" s="50">
        <v>43466</v>
      </c>
      <c r="G3214" s="50">
        <v>43646</v>
      </c>
      <c r="H3214" s="150"/>
      <c r="I3214" s="15" t="s">
        <v>23</v>
      </c>
      <c r="J3214" s="15" t="s">
        <v>23</v>
      </c>
      <c r="K3214" s="13">
        <v>41.410169491525302</v>
      </c>
      <c r="L3214" s="13">
        <v>1614.6892655367187</v>
      </c>
      <c r="M3214" s="196" t="s">
        <v>426</v>
      </c>
    </row>
    <row r="3215" spans="1:13" ht="15" customHeight="1" outlineLevel="1" x14ac:dyDescent="0.25">
      <c r="A3215" s="148"/>
      <c r="B3215" s="148"/>
      <c r="C3215" s="148"/>
      <c r="D3215" s="138"/>
      <c r="E3215" s="138"/>
      <c r="F3215" s="50">
        <v>43647</v>
      </c>
      <c r="G3215" s="50">
        <v>43830</v>
      </c>
      <c r="H3215" s="150"/>
      <c r="I3215" s="15" t="s">
        <v>23</v>
      </c>
      <c r="J3215" s="15" t="s">
        <v>23</v>
      </c>
      <c r="K3215" s="13">
        <v>42.238372881355808</v>
      </c>
      <c r="L3215" s="13">
        <v>1646.9830508474531</v>
      </c>
      <c r="M3215" s="198"/>
    </row>
    <row r="3216" spans="1:13" ht="15" customHeight="1" outlineLevel="1" x14ac:dyDescent="0.25">
      <c r="A3216" s="148"/>
      <c r="B3216" s="148"/>
      <c r="C3216" s="148"/>
      <c r="D3216" s="138"/>
      <c r="E3216" s="138"/>
      <c r="F3216" s="50">
        <v>43466</v>
      </c>
      <c r="G3216" s="50">
        <v>43646</v>
      </c>
      <c r="H3216" s="150"/>
      <c r="I3216" s="15" t="s">
        <v>23</v>
      </c>
      <c r="J3216" s="15" t="s">
        <v>23</v>
      </c>
      <c r="K3216" s="13">
        <v>41.410169491525302</v>
      </c>
      <c r="L3216" s="13">
        <v>1761.4791987673293</v>
      </c>
      <c r="M3216" s="196" t="s">
        <v>427</v>
      </c>
    </row>
    <row r="3217" spans="1:13" ht="15" customHeight="1" outlineLevel="1" x14ac:dyDescent="0.25">
      <c r="A3217" s="147"/>
      <c r="B3217" s="147"/>
      <c r="C3217" s="147"/>
      <c r="D3217" s="141"/>
      <c r="E3217" s="141"/>
      <c r="F3217" s="50">
        <v>43647</v>
      </c>
      <c r="G3217" s="50">
        <v>43830</v>
      </c>
      <c r="H3217" s="151"/>
      <c r="I3217" s="15" t="s">
        <v>23</v>
      </c>
      <c r="J3217" s="15" t="s">
        <v>23</v>
      </c>
      <c r="K3217" s="13">
        <v>42.238372881355808</v>
      </c>
      <c r="L3217" s="13">
        <v>1796.708782742676</v>
      </c>
      <c r="M3217" s="198"/>
    </row>
    <row r="3218" spans="1:13" ht="15" customHeight="1" outlineLevel="1" x14ac:dyDescent="0.25">
      <c r="A3218" s="146" t="s">
        <v>53</v>
      </c>
      <c r="B3218" s="146" t="s">
        <v>592</v>
      </c>
      <c r="C3218" s="146" t="s">
        <v>285</v>
      </c>
      <c r="D3218" s="137">
        <v>43434</v>
      </c>
      <c r="E3218" s="137" t="s">
        <v>656</v>
      </c>
      <c r="F3218" s="12">
        <v>43466</v>
      </c>
      <c r="G3218" s="12">
        <v>43646</v>
      </c>
      <c r="H3218" s="149"/>
      <c r="I3218" s="66">
        <v>68.38</v>
      </c>
      <c r="J3218" s="13">
        <v>3003.07</v>
      </c>
      <c r="K3218" s="15" t="s">
        <v>23</v>
      </c>
      <c r="L3218" s="15" t="s">
        <v>23</v>
      </c>
      <c r="M3218" s="153"/>
    </row>
    <row r="3219" spans="1:13" ht="15" customHeight="1" outlineLevel="1" x14ac:dyDescent="0.25">
      <c r="A3219" s="148"/>
      <c r="B3219" s="148"/>
      <c r="C3219" s="148"/>
      <c r="D3219" s="141"/>
      <c r="E3219" s="141"/>
      <c r="F3219" s="12">
        <v>43647</v>
      </c>
      <c r="G3219" s="12">
        <v>43830</v>
      </c>
      <c r="H3219" s="151"/>
      <c r="I3219" s="66">
        <v>71.53</v>
      </c>
      <c r="J3219" s="13">
        <v>3096.96</v>
      </c>
      <c r="K3219" s="15" t="s">
        <v>23</v>
      </c>
      <c r="L3219" s="15" t="s">
        <v>23</v>
      </c>
      <c r="M3219" s="152"/>
    </row>
    <row r="3220" spans="1:13" ht="15" customHeight="1" outlineLevel="1" x14ac:dyDescent="0.25">
      <c r="A3220" s="148"/>
      <c r="B3220" s="148"/>
      <c r="C3220" s="148"/>
      <c r="D3220" s="137">
        <v>43454</v>
      </c>
      <c r="E3220" s="137" t="s">
        <v>654</v>
      </c>
      <c r="F3220" s="50">
        <v>43466</v>
      </c>
      <c r="G3220" s="50">
        <v>43646</v>
      </c>
      <c r="H3220" s="149"/>
      <c r="I3220" s="15" t="s">
        <v>23</v>
      </c>
      <c r="J3220" s="15" t="s">
        <v>23</v>
      </c>
      <c r="K3220" s="13">
        <v>47.8</v>
      </c>
      <c r="L3220" s="13">
        <v>1610.61</v>
      </c>
      <c r="M3220" s="196" t="s">
        <v>420</v>
      </c>
    </row>
    <row r="3221" spans="1:13" ht="15" customHeight="1" outlineLevel="1" x14ac:dyDescent="0.25">
      <c r="A3221" s="148"/>
      <c r="B3221" s="148"/>
      <c r="C3221" s="148"/>
      <c r="D3221" s="138"/>
      <c r="E3221" s="138"/>
      <c r="F3221" s="50">
        <v>43647</v>
      </c>
      <c r="G3221" s="50">
        <v>43830</v>
      </c>
      <c r="H3221" s="150"/>
      <c r="I3221" s="15" t="s">
        <v>23</v>
      </c>
      <c r="J3221" s="15" t="s">
        <v>23</v>
      </c>
      <c r="K3221" s="13">
        <v>48.76</v>
      </c>
      <c r="L3221" s="13">
        <v>1642.83</v>
      </c>
      <c r="M3221" s="198"/>
    </row>
    <row r="3222" spans="1:13" ht="15" customHeight="1" outlineLevel="1" x14ac:dyDescent="0.25">
      <c r="A3222" s="148"/>
      <c r="B3222" s="148"/>
      <c r="C3222" s="148"/>
      <c r="D3222" s="138"/>
      <c r="E3222" s="138"/>
      <c r="F3222" s="50">
        <v>43466</v>
      </c>
      <c r="G3222" s="50">
        <v>43646</v>
      </c>
      <c r="H3222" s="150"/>
      <c r="I3222" s="15" t="s">
        <v>23</v>
      </c>
      <c r="J3222" s="15" t="s">
        <v>23</v>
      </c>
      <c r="K3222" s="13">
        <v>47.8</v>
      </c>
      <c r="L3222" s="13">
        <v>1764</v>
      </c>
      <c r="M3222" s="196" t="s">
        <v>421</v>
      </c>
    </row>
    <row r="3223" spans="1:13" ht="15" customHeight="1" outlineLevel="1" x14ac:dyDescent="0.25">
      <c r="A3223" s="148"/>
      <c r="B3223" s="148"/>
      <c r="C3223" s="148"/>
      <c r="D3223" s="138"/>
      <c r="E3223" s="138"/>
      <c r="F3223" s="50">
        <v>43647</v>
      </c>
      <c r="G3223" s="50">
        <v>43830</v>
      </c>
      <c r="H3223" s="150"/>
      <c r="I3223" s="15" t="s">
        <v>23</v>
      </c>
      <c r="J3223" s="15" t="s">
        <v>23</v>
      </c>
      <c r="K3223" s="13">
        <v>48.76</v>
      </c>
      <c r="L3223" s="13">
        <v>1799.28</v>
      </c>
      <c r="M3223" s="198"/>
    </row>
    <row r="3224" spans="1:13" ht="15" customHeight="1" outlineLevel="1" x14ac:dyDescent="0.25">
      <c r="A3224" s="148"/>
      <c r="B3224" s="148"/>
      <c r="C3224" s="148"/>
      <c r="D3224" s="138"/>
      <c r="E3224" s="138"/>
      <c r="F3224" s="50">
        <v>43466</v>
      </c>
      <c r="G3224" s="50">
        <v>43646</v>
      </c>
      <c r="H3224" s="150"/>
      <c r="I3224" s="15" t="s">
        <v>23</v>
      </c>
      <c r="J3224" s="15" t="s">
        <v>23</v>
      </c>
      <c r="K3224" s="13">
        <v>47.8</v>
      </c>
      <c r="L3224" s="13">
        <v>1501.79</v>
      </c>
      <c r="M3224" s="196" t="s">
        <v>422</v>
      </c>
    </row>
    <row r="3225" spans="1:13" ht="15" customHeight="1" outlineLevel="1" x14ac:dyDescent="0.25">
      <c r="A3225" s="148"/>
      <c r="B3225" s="148"/>
      <c r="C3225" s="148"/>
      <c r="D3225" s="138"/>
      <c r="E3225" s="138"/>
      <c r="F3225" s="50">
        <v>43647</v>
      </c>
      <c r="G3225" s="50">
        <v>43830</v>
      </c>
      <c r="H3225" s="150"/>
      <c r="I3225" s="15" t="s">
        <v>23</v>
      </c>
      <c r="J3225" s="15" t="s">
        <v>23</v>
      </c>
      <c r="K3225" s="13">
        <v>48.76</v>
      </c>
      <c r="L3225" s="13">
        <v>1531.82</v>
      </c>
      <c r="M3225" s="198"/>
    </row>
    <row r="3226" spans="1:13" ht="15" customHeight="1" outlineLevel="1" x14ac:dyDescent="0.25">
      <c r="A3226" s="148"/>
      <c r="B3226" s="148"/>
      <c r="C3226" s="148"/>
      <c r="D3226" s="138"/>
      <c r="E3226" s="138"/>
      <c r="F3226" s="50">
        <v>43466</v>
      </c>
      <c r="G3226" s="50">
        <v>43646</v>
      </c>
      <c r="H3226" s="150"/>
      <c r="I3226" s="15" t="s">
        <v>23</v>
      </c>
      <c r="J3226" s="15" t="s">
        <v>23</v>
      </c>
      <c r="K3226" s="13">
        <v>47.8</v>
      </c>
      <c r="L3226" s="13">
        <v>1610.61</v>
      </c>
      <c r="M3226" s="196" t="s">
        <v>423</v>
      </c>
    </row>
    <row r="3227" spans="1:13" ht="15" customHeight="1" outlineLevel="1" x14ac:dyDescent="0.25">
      <c r="A3227" s="148"/>
      <c r="B3227" s="148"/>
      <c r="C3227" s="148"/>
      <c r="D3227" s="138"/>
      <c r="E3227" s="138"/>
      <c r="F3227" s="50">
        <v>43647</v>
      </c>
      <c r="G3227" s="50">
        <v>43830</v>
      </c>
      <c r="H3227" s="150"/>
      <c r="I3227" s="15" t="s">
        <v>23</v>
      </c>
      <c r="J3227" s="15" t="s">
        <v>23</v>
      </c>
      <c r="K3227" s="13">
        <v>48.76</v>
      </c>
      <c r="L3227" s="13">
        <v>1642.83</v>
      </c>
      <c r="M3227" s="198"/>
    </row>
    <row r="3228" spans="1:13" ht="15" customHeight="1" outlineLevel="1" x14ac:dyDescent="0.25">
      <c r="A3228" s="148"/>
      <c r="B3228" s="148"/>
      <c r="C3228" s="148"/>
      <c r="D3228" s="138"/>
      <c r="E3228" s="138"/>
      <c r="F3228" s="50">
        <v>43466</v>
      </c>
      <c r="G3228" s="50">
        <v>43646</v>
      </c>
      <c r="H3228" s="150"/>
      <c r="I3228" s="15" t="s">
        <v>23</v>
      </c>
      <c r="J3228" s="15" t="s">
        <v>23</v>
      </c>
      <c r="K3228" s="13">
        <v>47.8</v>
      </c>
      <c r="L3228" s="13">
        <v>1683.82</v>
      </c>
      <c r="M3228" s="196" t="s">
        <v>424</v>
      </c>
    </row>
    <row r="3229" spans="1:13" ht="15" customHeight="1" outlineLevel="1" x14ac:dyDescent="0.25">
      <c r="A3229" s="148"/>
      <c r="B3229" s="148"/>
      <c r="C3229" s="148"/>
      <c r="D3229" s="138"/>
      <c r="E3229" s="138"/>
      <c r="F3229" s="50">
        <v>43647</v>
      </c>
      <c r="G3229" s="50">
        <v>43830</v>
      </c>
      <c r="H3229" s="150"/>
      <c r="I3229" s="15" t="s">
        <v>23</v>
      </c>
      <c r="J3229" s="15" t="s">
        <v>23</v>
      </c>
      <c r="K3229" s="13">
        <v>48.76</v>
      </c>
      <c r="L3229" s="13">
        <v>1717.48</v>
      </c>
      <c r="M3229" s="198"/>
    </row>
    <row r="3230" spans="1:13" ht="15" customHeight="1" outlineLevel="1" x14ac:dyDescent="0.25">
      <c r="A3230" s="148"/>
      <c r="B3230" s="148"/>
      <c r="C3230" s="148"/>
      <c r="D3230" s="138"/>
      <c r="E3230" s="138"/>
      <c r="F3230" s="50">
        <v>43466</v>
      </c>
      <c r="G3230" s="50">
        <v>43646</v>
      </c>
      <c r="H3230" s="150"/>
      <c r="I3230" s="15" t="s">
        <v>23</v>
      </c>
      <c r="J3230" s="15" t="s">
        <v>23</v>
      </c>
      <c r="K3230" s="13">
        <v>47.8</v>
      </c>
      <c r="L3230" s="13">
        <v>1821.84</v>
      </c>
      <c r="M3230" s="196" t="s">
        <v>425</v>
      </c>
    </row>
    <row r="3231" spans="1:13" ht="15" customHeight="1" outlineLevel="1" x14ac:dyDescent="0.25">
      <c r="A3231" s="148"/>
      <c r="B3231" s="148"/>
      <c r="C3231" s="148"/>
      <c r="D3231" s="138"/>
      <c r="E3231" s="138"/>
      <c r="F3231" s="50">
        <v>43647</v>
      </c>
      <c r="G3231" s="50">
        <v>43830</v>
      </c>
      <c r="H3231" s="150"/>
      <c r="I3231" s="15" t="s">
        <v>23</v>
      </c>
      <c r="J3231" s="15" t="s">
        <v>23</v>
      </c>
      <c r="K3231" s="13">
        <v>48.76</v>
      </c>
      <c r="L3231" s="13">
        <v>1858.26</v>
      </c>
      <c r="M3231" s="198"/>
    </row>
    <row r="3232" spans="1:13" ht="15" customHeight="1" outlineLevel="1" x14ac:dyDescent="0.25">
      <c r="A3232" s="148"/>
      <c r="B3232" s="148"/>
      <c r="C3232" s="148"/>
      <c r="D3232" s="138"/>
      <c r="E3232" s="138"/>
      <c r="F3232" s="50">
        <v>43466</v>
      </c>
      <c r="G3232" s="50">
        <v>43646</v>
      </c>
      <c r="H3232" s="150"/>
      <c r="I3232" s="15" t="s">
        <v>23</v>
      </c>
      <c r="J3232" s="15" t="s">
        <v>23</v>
      </c>
      <c r="K3232" s="13">
        <v>47.8</v>
      </c>
      <c r="L3232" s="13">
        <v>1543.51</v>
      </c>
      <c r="M3232" s="196" t="s">
        <v>426</v>
      </c>
    </row>
    <row r="3233" spans="1:17" ht="15" customHeight="1" outlineLevel="1" x14ac:dyDescent="0.25">
      <c r="A3233" s="148"/>
      <c r="B3233" s="148"/>
      <c r="C3233" s="148"/>
      <c r="D3233" s="138"/>
      <c r="E3233" s="138"/>
      <c r="F3233" s="50">
        <v>43647</v>
      </c>
      <c r="G3233" s="50">
        <v>43830</v>
      </c>
      <c r="H3233" s="150"/>
      <c r="I3233" s="15" t="s">
        <v>23</v>
      </c>
      <c r="J3233" s="15" t="s">
        <v>23</v>
      </c>
      <c r="K3233" s="13">
        <v>48.76</v>
      </c>
      <c r="L3233" s="13">
        <v>1574.36</v>
      </c>
      <c r="M3233" s="198"/>
    </row>
    <row r="3234" spans="1:17" ht="15" customHeight="1" outlineLevel="1" x14ac:dyDescent="0.25">
      <c r="A3234" s="148"/>
      <c r="B3234" s="148"/>
      <c r="C3234" s="148"/>
      <c r="D3234" s="138"/>
      <c r="E3234" s="138"/>
      <c r="F3234" s="50">
        <v>43466</v>
      </c>
      <c r="G3234" s="50">
        <v>43646</v>
      </c>
      <c r="H3234" s="150"/>
      <c r="I3234" s="15" t="s">
        <v>23</v>
      </c>
      <c r="J3234" s="15" t="s">
        <v>23</v>
      </c>
      <c r="K3234" s="13">
        <v>47.8</v>
      </c>
      <c r="L3234" s="13">
        <v>1683.82</v>
      </c>
      <c r="M3234" s="196" t="s">
        <v>427</v>
      </c>
    </row>
    <row r="3235" spans="1:17" ht="15" customHeight="1" outlineLevel="1" x14ac:dyDescent="0.25">
      <c r="A3235" s="147"/>
      <c r="B3235" s="147"/>
      <c r="C3235" s="147"/>
      <c r="D3235" s="141"/>
      <c r="E3235" s="141"/>
      <c r="F3235" s="50">
        <v>43647</v>
      </c>
      <c r="G3235" s="50">
        <v>43830</v>
      </c>
      <c r="H3235" s="151"/>
      <c r="I3235" s="15" t="s">
        <v>23</v>
      </c>
      <c r="J3235" s="15" t="s">
        <v>23</v>
      </c>
      <c r="K3235" s="13">
        <v>48.76</v>
      </c>
      <c r="L3235" s="13">
        <v>1717.48</v>
      </c>
      <c r="M3235" s="198"/>
    </row>
    <row r="3236" spans="1:17" ht="15" customHeight="1" outlineLevel="1" x14ac:dyDescent="0.25">
      <c r="A3236" s="146" t="s">
        <v>53</v>
      </c>
      <c r="B3236" s="146" t="s">
        <v>593</v>
      </c>
      <c r="C3236" s="146" t="s">
        <v>288</v>
      </c>
      <c r="D3236" s="137">
        <v>43455</v>
      </c>
      <c r="E3236" s="137" t="s">
        <v>659</v>
      </c>
      <c r="F3236" s="12">
        <v>43466</v>
      </c>
      <c r="G3236" s="12">
        <v>43646</v>
      </c>
      <c r="H3236" s="149"/>
      <c r="I3236" s="66">
        <v>6.99</v>
      </c>
      <c r="J3236" s="13">
        <v>4530.5600000000004</v>
      </c>
      <c r="K3236" s="15" t="s">
        <v>23</v>
      </c>
      <c r="L3236" s="15" t="s">
        <v>23</v>
      </c>
      <c r="M3236" s="153"/>
    </row>
    <row r="3237" spans="1:17" ht="15" customHeight="1" outlineLevel="1" x14ac:dyDescent="0.25">
      <c r="A3237" s="148"/>
      <c r="B3237" s="148"/>
      <c r="C3237" s="148"/>
      <c r="D3237" s="141"/>
      <c r="E3237" s="141"/>
      <c r="F3237" s="12">
        <v>43647</v>
      </c>
      <c r="G3237" s="12">
        <v>43830</v>
      </c>
      <c r="H3237" s="151"/>
      <c r="I3237" s="66">
        <v>7.16</v>
      </c>
      <c r="J3237" s="13">
        <v>4530.5600000000004</v>
      </c>
      <c r="K3237" s="15" t="s">
        <v>23</v>
      </c>
      <c r="L3237" s="15" t="s">
        <v>23</v>
      </c>
      <c r="M3237" s="152"/>
    </row>
    <row r="3238" spans="1:17" ht="15" customHeight="1" outlineLevel="1" x14ac:dyDescent="0.25">
      <c r="A3238" s="148"/>
      <c r="B3238" s="148"/>
      <c r="C3238" s="148"/>
      <c r="D3238" s="137">
        <v>43454</v>
      </c>
      <c r="E3238" s="137" t="s">
        <v>654</v>
      </c>
      <c r="F3238" s="50">
        <v>43466</v>
      </c>
      <c r="G3238" s="50">
        <v>43646</v>
      </c>
      <c r="H3238" s="149"/>
      <c r="I3238" s="15" t="s">
        <v>23</v>
      </c>
      <c r="J3238" s="15" t="s">
        <v>23</v>
      </c>
      <c r="K3238" s="13">
        <v>8.39</v>
      </c>
      <c r="L3238" s="13">
        <v>2170.25</v>
      </c>
      <c r="M3238" s="196" t="s">
        <v>420</v>
      </c>
      <c r="N3238" s="55">
        <f>K3238/1.2</f>
        <v>6.9916666666666671</v>
      </c>
      <c r="O3238" s="55">
        <f>L3238/1.2</f>
        <v>1808.5416666666667</v>
      </c>
    </row>
    <row r="3239" spans="1:17" ht="15" customHeight="1" outlineLevel="1" x14ac:dyDescent="0.25">
      <c r="A3239" s="148"/>
      <c r="B3239" s="148"/>
      <c r="C3239" s="148"/>
      <c r="D3239" s="138"/>
      <c r="E3239" s="138"/>
      <c r="F3239" s="50">
        <v>43647</v>
      </c>
      <c r="G3239" s="50">
        <v>43830</v>
      </c>
      <c r="H3239" s="150"/>
      <c r="I3239" s="15" t="s">
        <v>23</v>
      </c>
      <c r="J3239" s="15" t="s">
        <v>23</v>
      </c>
      <c r="K3239" s="13">
        <v>8.56</v>
      </c>
      <c r="L3239" s="13">
        <v>2213.66</v>
      </c>
      <c r="M3239" s="198"/>
      <c r="N3239" s="55">
        <f t="shared" ref="N3239:N3253" si="241">K3239/1.2</f>
        <v>7.1333333333333337</v>
      </c>
      <c r="O3239" s="55">
        <f t="shared" ref="O3239:O3253" si="242">L3239/1.2</f>
        <v>1844.7166666666667</v>
      </c>
    </row>
    <row r="3240" spans="1:17" ht="15" customHeight="1" outlineLevel="1" x14ac:dyDescent="0.25">
      <c r="A3240" s="148"/>
      <c r="B3240" s="148"/>
      <c r="C3240" s="148"/>
      <c r="D3240" s="138"/>
      <c r="E3240" s="138"/>
      <c r="F3240" s="50">
        <v>43466</v>
      </c>
      <c r="G3240" s="50">
        <v>43646</v>
      </c>
      <c r="H3240" s="150"/>
      <c r="I3240" s="15" t="s">
        <v>23</v>
      </c>
      <c r="J3240" s="15" t="s">
        <v>23</v>
      </c>
      <c r="K3240" s="13">
        <v>8.39</v>
      </c>
      <c r="L3240" s="13">
        <v>2376.9499999999998</v>
      </c>
      <c r="M3240" s="196" t="s">
        <v>421</v>
      </c>
      <c r="N3240" s="55">
        <f t="shared" si="241"/>
        <v>6.9916666666666671</v>
      </c>
      <c r="O3240" s="55">
        <f t="shared" si="242"/>
        <v>1980.7916666666665</v>
      </c>
    </row>
    <row r="3241" spans="1:17" ht="15" customHeight="1" outlineLevel="1" x14ac:dyDescent="0.25">
      <c r="A3241" s="148"/>
      <c r="B3241" s="148"/>
      <c r="C3241" s="148"/>
      <c r="D3241" s="138"/>
      <c r="E3241" s="138"/>
      <c r="F3241" s="50">
        <v>43647</v>
      </c>
      <c r="G3241" s="50">
        <v>43830</v>
      </c>
      <c r="H3241" s="150"/>
      <c r="I3241" s="15" t="s">
        <v>23</v>
      </c>
      <c r="J3241" s="15" t="s">
        <v>23</v>
      </c>
      <c r="K3241" s="13">
        <v>8.56</v>
      </c>
      <c r="L3241" s="13">
        <v>2424.48</v>
      </c>
      <c r="M3241" s="198"/>
      <c r="N3241" s="55">
        <f t="shared" si="241"/>
        <v>7.1333333333333337</v>
      </c>
      <c r="O3241" s="55">
        <f t="shared" si="242"/>
        <v>2020.4</v>
      </c>
    </row>
    <row r="3242" spans="1:17" ht="15" customHeight="1" outlineLevel="1" x14ac:dyDescent="0.25">
      <c r="A3242" s="148"/>
      <c r="B3242" s="148"/>
      <c r="C3242" s="148"/>
      <c r="D3242" s="138"/>
      <c r="E3242" s="138"/>
      <c r="F3242" s="50">
        <v>43466</v>
      </c>
      <c r="G3242" s="50">
        <v>43646</v>
      </c>
      <c r="H3242" s="150"/>
      <c r="I3242" s="15" t="s">
        <v>23</v>
      </c>
      <c r="J3242" s="15" t="s">
        <v>23</v>
      </c>
      <c r="K3242" s="13">
        <v>8.39</v>
      </c>
      <c r="L3242" s="13">
        <v>2023.62</v>
      </c>
      <c r="M3242" s="196" t="s">
        <v>422</v>
      </c>
      <c r="N3242" s="55">
        <f t="shared" si="241"/>
        <v>6.9916666666666671</v>
      </c>
      <c r="O3242" s="55">
        <f t="shared" si="242"/>
        <v>1686.35</v>
      </c>
      <c r="P3242" s="122">
        <f>J3236-O3242</f>
        <v>2844.2100000000005</v>
      </c>
      <c r="Q3242" s="57">
        <f>P3242*2.768</f>
        <v>7872.7732800000003</v>
      </c>
    </row>
    <row r="3243" spans="1:17" ht="15" customHeight="1" outlineLevel="1" x14ac:dyDescent="0.25">
      <c r="A3243" s="148"/>
      <c r="B3243" s="148"/>
      <c r="C3243" s="148"/>
      <c r="D3243" s="138"/>
      <c r="E3243" s="138"/>
      <c r="F3243" s="50">
        <v>43647</v>
      </c>
      <c r="G3243" s="50">
        <v>43830</v>
      </c>
      <c r="H3243" s="150"/>
      <c r="I3243" s="15" t="s">
        <v>23</v>
      </c>
      <c r="J3243" s="15" t="s">
        <v>23</v>
      </c>
      <c r="K3243" s="13">
        <v>8.56</v>
      </c>
      <c r="L3243" s="13">
        <v>2064.09</v>
      </c>
      <c r="M3243" s="198"/>
      <c r="N3243" s="55">
        <f t="shared" si="241"/>
        <v>7.1333333333333337</v>
      </c>
      <c r="O3243" s="55">
        <f t="shared" si="242"/>
        <v>1720.0750000000003</v>
      </c>
      <c r="P3243" s="122">
        <f>J3236-O3243</f>
        <v>2810.4850000000001</v>
      </c>
    </row>
    <row r="3244" spans="1:17" ht="15" customHeight="1" outlineLevel="1" x14ac:dyDescent="0.25">
      <c r="A3244" s="148"/>
      <c r="B3244" s="148"/>
      <c r="C3244" s="148"/>
      <c r="D3244" s="138"/>
      <c r="E3244" s="138"/>
      <c r="F3244" s="50">
        <v>43466</v>
      </c>
      <c r="G3244" s="50">
        <v>43646</v>
      </c>
      <c r="H3244" s="150"/>
      <c r="I3244" s="15" t="s">
        <v>23</v>
      </c>
      <c r="J3244" s="15" t="s">
        <v>23</v>
      </c>
      <c r="K3244" s="13">
        <v>8.39</v>
      </c>
      <c r="L3244" s="13">
        <v>2170.25</v>
      </c>
      <c r="M3244" s="196" t="s">
        <v>423</v>
      </c>
      <c r="N3244" s="55">
        <f t="shared" si="241"/>
        <v>6.9916666666666671</v>
      </c>
      <c r="O3244" s="55">
        <f t="shared" si="242"/>
        <v>1808.5416666666667</v>
      </c>
    </row>
    <row r="3245" spans="1:17" ht="15" customHeight="1" outlineLevel="1" x14ac:dyDescent="0.25">
      <c r="A3245" s="148"/>
      <c r="B3245" s="148"/>
      <c r="C3245" s="148"/>
      <c r="D3245" s="138"/>
      <c r="E3245" s="138"/>
      <c r="F3245" s="50">
        <v>43647</v>
      </c>
      <c r="G3245" s="50">
        <v>43830</v>
      </c>
      <c r="H3245" s="150"/>
      <c r="I3245" s="15" t="s">
        <v>23</v>
      </c>
      <c r="J3245" s="15" t="s">
        <v>23</v>
      </c>
      <c r="K3245" s="13">
        <v>8.56</v>
      </c>
      <c r="L3245" s="13">
        <v>2213.66</v>
      </c>
      <c r="M3245" s="198"/>
      <c r="N3245" s="55">
        <f t="shared" si="241"/>
        <v>7.1333333333333337</v>
      </c>
      <c r="O3245" s="55">
        <f t="shared" si="242"/>
        <v>1844.7166666666667</v>
      </c>
    </row>
    <row r="3246" spans="1:17" ht="15" customHeight="1" outlineLevel="1" x14ac:dyDescent="0.25">
      <c r="A3246" s="148"/>
      <c r="B3246" s="148"/>
      <c r="C3246" s="148"/>
      <c r="D3246" s="138"/>
      <c r="E3246" s="138"/>
      <c r="F3246" s="50">
        <v>43466</v>
      </c>
      <c r="G3246" s="50">
        <v>43646</v>
      </c>
      <c r="H3246" s="150"/>
      <c r="I3246" s="15" t="s">
        <v>23</v>
      </c>
      <c r="J3246" s="15" t="s">
        <v>23</v>
      </c>
      <c r="K3246" s="13">
        <v>8.39</v>
      </c>
      <c r="L3246" s="13">
        <v>2268.91</v>
      </c>
      <c r="M3246" s="196" t="s">
        <v>424</v>
      </c>
      <c r="N3246" s="55">
        <f t="shared" si="241"/>
        <v>6.9916666666666671</v>
      </c>
      <c r="O3246" s="55">
        <f t="shared" si="242"/>
        <v>1890.7583333333332</v>
      </c>
      <c r="P3246" s="122">
        <f>J3236-O3246</f>
        <v>2639.8016666666672</v>
      </c>
    </row>
    <row r="3247" spans="1:17" ht="15" customHeight="1" outlineLevel="1" x14ac:dyDescent="0.25">
      <c r="A3247" s="148"/>
      <c r="B3247" s="148"/>
      <c r="C3247" s="148"/>
      <c r="D3247" s="138"/>
      <c r="E3247" s="138"/>
      <c r="F3247" s="50">
        <v>43647</v>
      </c>
      <c r="G3247" s="50">
        <v>43830</v>
      </c>
      <c r="H3247" s="150"/>
      <c r="I3247" s="15" t="s">
        <v>23</v>
      </c>
      <c r="J3247" s="15" t="s">
        <v>23</v>
      </c>
      <c r="K3247" s="13">
        <v>8.56</v>
      </c>
      <c r="L3247" s="13">
        <v>2314.29</v>
      </c>
      <c r="M3247" s="198"/>
      <c r="N3247" s="55">
        <f t="shared" si="241"/>
        <v>7.1333333333333337</v>
      </c>
      <c r="O3247" s="55">
        <f t="shared" si="242"/>
        <v>1928.575</v>
      </c>
    </row>
    <row r="3248" spans="1:17" ht="15" customHeight="1" outlineLevel="1" x14ac:dyDescent="0.25">
      <c r="A3248" s="148"/>
      <c r="B3248" s="148"/>
      <c r="C3248" s="148"/>
      <c r="D3248" s="138"/>
      <c r="E3248" s="138"/>
      <c r="F3248" s="50">
        <v>43466</v>
      </c>
      <c r="G3248" s="50">
        <v>43646</v>
      </c>
      <c r="H3248" s="150"/>
      <c r="I3248" s="15" t="s">
        <v>23</v>
      </c>
      <c r="J3248" s="15" t="s">
        <v>23</v>
      </c>
      <c r="K3248" s="13">
        <v>8.39</v>
      </c>
      <c r="L3248" s="13">
        <v>2454.87</v>
      </c>
      <c r="M3248" s="196" t="s">
        <v>425</v>
      </c>
      <c r="N3248" s="55">
        <f t="shared" si="241"/>
        <v>6.9916666666666671</v>
      </c>
      <c r="O3248" s="55">
        <f t="shared" si="242"/>
        <v>2045.7249999999999</v>
      </c>
      <c r="P3248" s="57">
        <f>J3236-O3248</f>
        <v>2484.8350000000005</v>
      </c>
      <c r="Q3248" s="57">
        <f>P3248*0.066</f>
        <v>163.99911000000003</v>
      </c>
    </row>
    <row r="3249" spans="1:17" ht="15" customHeight="1" outlineLevel="1" x14ac:dyDescent="0.25">
      <c r="A3249" s="148"/>
      <c r="B3249" s="148"/>
      <c r="C3249" s="148"/>
      <c r="D3249" s="138"/>
      <c r="E3249" s="138"/>
      <c r="F3249" s="50">
        <v>43647</v>
      </c>
      <c r="G3249" s="50">
        <v>43830</v>
      </c>
      <c r="H3249" s="150"/>
      <c r="I3249" s="15" t="s">
        <v>23</v>
      </c>
      <c r="J3249" s="15" t="s">
        <v>23</v>
      </c>
      <c r="K3249" s="13">
        <v>8.56</v>
      </c>
      <c r="L3249" s="13">
        <v>2503.9699999999998</v>
      </c>
      <c r="M3249" s="198"/>
      <c r="N3249" s="55">
        <f t="shared" si="241"/>
        <v>7.1333333333333337</v>
      </c>
      <c r="O3249" s="55">
        <f t="shared" si="242"/>
        <v>2086.6416666666664</v>
      </c>
    </row>
    <row r="3250" spans="1:17" ht="15" customHeight="1" outlineLevel="1" x14ac:dyDescent="0.25">
      <c r="A3250" s="148"/>
      <c r="B3250" s="148"/>
      <c r="C3250" s="148"/>
      <c r="D3250" s="138"/>
      <c r="E3250" s="138"/>
      <c r="F3250" s="50">
        <v>43466</v>
      </c>
      <c r="G3250" s="50">
        <v>43646</v>
      </c>
      <c r="H3250" s="150"/>
      <c r="I3250" s="15" t="s">
        <v>23</v>
      </c>
      <c r="J3250" s="15" t="s">
        <v>23</v>
      </c>
      <c r="K3250" s="13">
        <v>8.39</v>
      </c>
      <c r="L3250" s="13">
        <v>2079.8200000000002</v>
      </c>
      <c r="M3250" s="196" t="s">
        <v>426</v>
      </c>
      <c r="N3250" s="55">
        <f t="shared" si="241"/>
        <v>6.9916666666666671</v>
      </c>
      <c r="O3250" s="55">
        <f t="shared" si="242"/>
        <v>1733.1833333333336</v>
      </c>
      <c r="P3250" s="57">
        <f>J3236-O3250</f>
        <v>2797.376666666667</v>
      </c>
      <c r="Q3250" s="57">
        <f>P3250*229.337</f>
        <v>641541.97260333342</v>
      </c>
    </row>
    <row r="3251" spans="1:17" ht="15" customHeight="1" outlineLevel="1" x14ac:dyDescent="0.25">
      <c r="A3251" s="148"/>
      <c r="B3251" s="148"/>
      <c r="C3251" s="148"/>
      <c r="D3251" s="138"/>
      <c r="E3251" s="138"/>
      <c r="F3251" s="50">
        <v>43647</v>
      </c>
      <c r="G3251" s="50">
        <v>43830</v>
      </c>
      <c r="H3251" s="150"/>
      <c r="I3251" s="15" t="s">
        <v>23</v>
      </c>
      <c r="J3251" s="79" t="s">
        <v>23</v>
      </c>
      <c r="K3251" s="13">
        <v>8.56</v>
      </c>
      <c r="L3251" s="13">
        <v>2121.42</v>
      </c>
      <c r="M3251" s="198"/>
      <c r="N3251" s="55">
        <f t="shared" si="241"/>
        <v>7.1333333333333337</v>
      </c>
      <c r="O3251" s="55">
        <f t="shared" si="242"/>
        <v>1767.8500000000001</v>
      </c>
    </row>
    <row r="3252" spans="1:17" ht="15" customHeight="1" outlineLevel="1" x14ac:dyDescent="0.25">
      <c r="A3252" s="148"/>
      <c r="B3252" s="148"/>
      <c r="C3252" s="148"/>
      <c r="D3252" s="138"/>
      <c r="E3252" s="138"/>
      <c r="F3252" s="50">
        <v>43466</v>
      </c>
      <c r="G3252" s="50">
        <v>43646</v>
      </c>
      <c r="H3252" s="150"/>
      <c r="I3252" s="15" t="s">
        <v>23</v>
      </c>
      <c r="J3252" s="15" t="s">
        <v>23</v>
      </c>
      <c r="K3252" s="13">
        <v>8.39</v>
      </c>
      <c r="L3252" s="13">
        <v>2268.91</v>
      </c>
      <c r="M3252" s="196" t="s">
        <v>427</v>
      </c>
      <c r="N3252" s="55">
        <f t="shared" si="241"/>
        <v>6.9916666666666671</v>
      </c>
      <c r="O3252" s="55">
        <f t="shared" si="242"/>
        <v>1890.7583333333332</v>
      </c>
      <c r="P3252" s="57">
        <f>J3236-O3252</f>
        <v>2639.8016666666672</v>
      </c>
      <c r="Q3252" s="57">
        <f>P3252*53.985</f>
        <v>142509.69297500001</v>
      </c>
    </row>
    <row r="3253" spans="1:17" ht="15" customHeight="1" outlineLevel="1" x14ac:dyDescent="0.25">
      <c r="A3253" s="147"/>
      <c r="B3253" s="147"/>
      <c r="C3253" s="147"/>
      <c r="D3253" s="141"/>
      <c r="E3253" s="141"/>
      <c r="F3253" s="50">
        <v>43647</v>
      </c>
      <c r="G3253" s="50">
        <v>43830</v>
      </c>
      <c r="H3253" s="151"/>
      <c r="I3253" s="15" t="s">
        <v>23</v>
      </c>
      <c r="J3253" s="15" t="s">
        <v>23</v>
      </c>
      <c r="K3253" s="13">
        <v>8.56</v>
      </c>
      <c r="L3253" s="13">
        <v>2314.29</v>
      </c>
      <c r="M3253" s="198"/>
      <c r="N3253" s="55">
        <f t="shared" si="241"/>
        <v>7.1333333333333337</v>
      </c>
      <c r="O3253" s="55">
        <f t="shared" si="242"/>
        <v>1928.575</v>
      </c>
    </row>
    <row r="3254" spans="1:17" ht="15" customHeight="1" outlineLevel="1" x14ac:dyDescent="0.25">
      <c r="A3254" s="146" t="s">
        <v>53</v>
      </c>
      <c r="B3254" s="146" t="s">
        <v>544</v>
      </c>
      <c r="C3254" s="146" t="s">
        <v>329</v>
      </c>
      <c r="D3254" s="137">
        <v>42692</v>
      </c>
      <c r="E3254" s="137" t="s">
        <v>661</v>
      </c>
      <c r="F3254" s="12">
        <v>43466</v>
      </c>
      <c r="G3254" s="12">
        <v>43646</v>
      </c>
      <c r="H3254" s="149" t="s">
        <v>662</v>
      </c>
      <c r="I3254" s="66">
        <v>25.47</v>
      </c>
      <c r="J3254" s="13">
        <v>2481.81</v>
      </c>
      <c r="K3254" s="15" t="s">
        <v>23</v>
      </c>
      <c r="L3254" s="15" t="s">
        <v>23</v>
      </c>
      <c r="M3254" s="153" t="s">
        <v>69</v>
      </c>
    </row>
    <row r="3255" spans="1:17" ht="15" customHeight="1" outlineLevel="1" x14ac:dyDescent="0.25">
      <c r="A3255" s="148"/>
      <c r="B3255" s="148"/>
      <c r="C3255" s="148"/>
      <c r="D3255" s="141"/>
      <c r="E3255" s="141"/>
      <c r="F3255" s="12">
        <v>43647</v>
      </c>
      <c r="G3255" s="12">
        <v>43830</v>
      </c>
      <c r="H3255" s="151"/>
      <c r="I3255" s="66">
        <v>31</v>
      </c>
      <c r="J3255" s="13">
        <v>3172.99</v>
      </c>
      <c r="K3255" s="15" t="s">
        <v>23</v>
      </c>
      <c r="L3255" s="15" t="s">
        <v>23</v>
      </c>
      <c r="M3255" s="152"/>
    </row>
    <row r="3256" spans="1:17" ht="15" customHeight="1" outlineLevel="1" x14ac:dyDescent="0.25">
      <c r="A3256" s="148"/>
      <c r="B3256" s="148"/>
      <c r="C3256" s="148"/>
      <c r="D3256" s="137">
        <v>43454</v>
      </c>
      <c r="E3256" s="137" t="s">
        <v>654</v>
      </c>
      <c r="F3256" s="50">
        <v>43466</v>
      </c>
      <c r="G3256" s="50">
        <v>43646</v>
      </c>
      <c r="H3256" s="149"/>
      <c r="I3256" s="15" t="s">
        <v>23</v>
      </c>
      <c r="J3256" s="15" t="s">
        <v>23</v>
      </c>
      <c r="K3256" s="13">
        <v>20.16</v>
      </c>
      <c r="L3256" s="13">
        <v>1645.65</v>
      </c>
      <c r="M3256" s="196" t="s">
        <v>420</v>
      </c>
    </row>
    <row r="3257" spans="1:17" ht="15" customHeight="1" outlineLevel="1" x14ac:dyDescent="0.25">
      <c r="A3257" s="148"/>
      <c r="B3257" s="148"/>
      <c r="C3257" s="148"/>
      <c r="D3257" s="138"/>
      <c r="E3257" s="138"/>
      <c r="F3257" s="50">
        <v>43647</v>
      </c>
      <c r="G3257" s="50">
        <v>43830</v>
      </c>
      <c r="H3257" s="150"/>
      <c r="I3257" s="15" t="s">
        <v>23</v>
      </c>
      <c r="J3257" s="15" t="s">
        <v>23</v>
      </c>
      <c r="K3257" s="13">
        <v>20.56</v>
      </c>
      <c r="L3257" s="13">
        <v>1678.56</v>
      </c>
      <c r="M3257" s="198"/>
    </row>
    <row r="3258" spans="1:17" ht="15" customHeight="1" outlineLevel="1" x14ac:dyDescent="0.25">
      <c r="A3258" s="148"/>
      <c r="B3258" s="148"/>
      <c r="C3258" s="148"/>
      <c r="D3258" s="138"/>
      <c r="E3258" s="138"/>
      <c r="F3258" s="50">
        <v>43466</v>
      </c>
      <c r="G3258" s="50">
        <v>43646</v>
      </c>
      <c r="H3258" s="150"/>
      <c r="I3258" s="15" t="s">
        <v>23</v>
      </c>
      <c r="J3258" s="15" t="s">
        <v>23</v>
      </c>
      <c r="K3258" s="13">
        <v>20.16</v>
      </c>
      <c r="L3258" s="13">
        <v>1802.38</v>
      </c>
      <c r="M3258" s="196" t="s">
        <v>421</v>
      </c>
    </row>
    <row r="3259" spans="1:17" ht="15" customHeight="1" outlineLevel="1" x14ac:dyDescent="0.25">
      <c r="A3259" s="148"/>
      <c r="B3259" s="148"/>
      <c r="C3259" s="148"/>
      <c r="D3259" s="138"/>
      <c r="E3259" s="138"/>
      <c r="F3259" s="50">
        <v>43647</v>
      </c>
      <c r="G3259" s="50">
        <v>43830</v>
      </c>
      <c r="H3259" s="150"/>
      <c r="I3259" s="15" t="s">
        <v>23</v>
      </c>
      <c r="J3259" s="15" t="s">
        <v>23</v>
      </c>
      <c r="K3259" s="13">
        <v>20.56</v>
      </c>
      <c r="L3259" s="13">
        <v>1838.43</v>
      </c>
      <c r="M3259" s="198"/>
    </row>
    <row r="3260" spans="1:17" ht="15" customHeight="1" outlineLevel="1" x14ac:dyDescent="0.25">
      <c r="A3260" s="148"/>
      <c r="B3260" s="148"/>
      <c r="C3260" s="148"/>
      <c r="D3260" s="138"/>
      <c r="E3260" s="138"/>
      <c r="F3260" s="50">
        <v>43466</v>
      </c>
      <c r="G3260" s="50">
        <v>43646</v>
      </c>
      <c r="H3260" s="150"/>
      <c r="I3260" s="15" t="s">
        <v>23</v>
      </c>
      <c r="J3260" s="15" t="s">
        <v>23</v>
      </c>
      <c r="K3260" s="13">
        <v>20.16</v>
      </c>
      <c r="L3260" s="13">
        <v>1534.46</v>
      </c>
      <c r="M3260" s="196" t="s">
        <v>422</v>
      </c>
    </row>
    <row r="3261" spans="1:17" ht="15" customHeight="1" outlineLevel="1" x14ac:dyDescent="0.25">
      <c r="A3261" s="148"/>
      <c r="B3261" s="148"/>
      <c r="C3261" s="148"/>
      <c r="D3261" s="138"/>
      <c r="E3261" s="138"/>
      <c r="F3261" s="50">
        <v>43647</v>
      </c>
      <c r="G3261" s="50">
        <v>43830</v>
      </c>
      <c r="H3261" s="150"/>
      <c r="I3261" s="15" t="s">
        <v>23</v>
      </c>
      <c r="J3261" s="15" t="s">
        <v>23</v>
      </c>
      <c r="K3261" s="13">
        <v>20.56</v>
      </c>
      <c r="L3261" s="13">
        <v>1565.15</v>
      </c>
      <c r="M3261" s="198"/>
    </row>
    <row r="3262" spans="1:17" ht="15" customHeight="1" outlineLevel="1" x14ac:dyDescent="0.25">
      <c r="A3262" s="148"/>
      <c r="B3262" s="148"/>
      <c r="C3262" s="148"/>
      <c r="D3262" s="138"/>
      <c r="E3262" s="138"/>
      <c r="F3262" s="50">
        <v>43466</v>
      </c>
      <c r="G3262" s="50">
        <v>43646</v>
      </c>
      <c r="H3262" s="150"/>
      <c r="I3262" s="15" t="s">
        <v>23</v>
      </c>
      <c r="J3262" s="15" t="s">
        <v>23</v>
      </c>
      <c r="K3262" s="13">
        <v>20.16</v>
      </c>
      <c r="L3262" s="13">
        <v>1645.65</v>
      </c>
      <c r="M3262" s="196" t="s">
        <v>423</v>
      </c>
    </row>
    <row r="3263" spans="1:17" ht="15" customHeight="1" outlineLevel="1" x14ac:dyDescent="0.25">
      <c r="A3263" s="148"/>
      <c r="B3263" s="148"/>
      <c r="C3263" s="148"/>
      <c r="D3263" s="138"/>
      <c r="E3263" s="138"/>
      <c r="F3263" s="50">
        <v>43647</v>
      </c>
      <c r="G3263" s="50">
        <v>43830</v>
      </c>
      <c r="H3263" s="150"/>
      <c r="I3263" s="15" t="s">
        <v>23</v>
      </c>
      <c r="J3263" s="15" t="s">
        <v>23</v>
      </c>
      <c r="K3263" s="13">
        <v>20.56</v>
      </c>
      <c r="L3263" s="13">
        <v>1678.56</v>
      </c>
      <c r="M3263" s="198"/>
    </row>
    <row r="3264" spans="1:17" ht="15" customHeight="1" outlineLevel="1" x14ac:dyDescent="0.25">
      <c r="A3264" s="148"/>
      <c r="B3264" s="148"/>
      <c r="C3264" s="148"/>
      <c r="D3264" s="138"/>
      <c r="E3264" s="138"/>
      <c r="F3264" s="50">
        <v>43466</v>
      </c>
      <c r="G3264" s="50">
        <v>43646</v>
      </c>
      <c r="H3264" s="150"/>
      <c r="I3264" s="15" t="s">
        <v>23</v>
      </c>
      <c r="J3264" s="15" t="s">
        <v>23</v>
      </c>
      <c r="K3264" s="13">
        <v>20.16</v>
      </c>
      <c r="L3264" s="13">
        <v>1720.45</v>
      </c>
      <c r="M3264" s="196" t="s">
        <v>424</v>
      </c>
    </row>
    <row r="3265" spans="1:18" ht="15" customHeight="1" outlineLevel="1" x14ac:dyDescent="0.25">
      <c r="A3265" s="148"/>
      <c r="B3265" s="148"/>
      <c r="C3265" s="148"/>
      <c r="D3265" s="138"/>
      <c r="E3265" s="138"/>
      <c r="F3265" s="50">
        <v>43647</v>
      </c>
      <c r="G3265" s="50">
        <v>43830</v>
      </c>
      <c r="H3265" s="150"/>
      <c r="I3265" s="15" t="s">
        <v>23</v>
      </c>
      <c r="J3265" s="15" t="s">
        <v>23</v>
      </c>
      <c r="K3265" s="13">
        <v>20.56</v>
      </c>
      <c r="L3265" s="13">
        <v>1754.86</v>
      </c>
      <c r="M3265" s="198"/>
    </row>
    <row r="3266" spans="1:18" ht="15" customHeight="1" outlineLevel="1" x14ac:dyDescent="0.25">
      <c r="A3266" s="148"/>
      <c r="B3266" s="148"/>
      <c r="C3266" s="148"/>
      <c r="D3266" s="138"/>
      <c r="E3266" s="138"/>
      <c r="F3266" s="50">
        <v>43466</v>
      </c>
      <c r="G3266" s="50">
        <v>43646</v>
      </c>
      <c r="H3266" s="150"/>
      <c r="I3266" s="15" t="s">
        <v>23</v>
      </c>
      <c r="J3266" s="15" t="s">
        <v>23</v>
      </c>
      <c r="K3266" s="13">
        <v>20.16</v>
      </c>
      <c r="L3266" s="13">
        <v>1861.48</v>
      </c>
      <c r="M3266" s="196" t="s">
        <v>425</v>
      </c>
    </row>
    <row r="3267" spans="1:18" ht="15" customHeight="1" outlineLevel="1" x14ac:dyDescent="0.25">
      <c r="A3267" s="148"/>
      <c r="B3267" s="148"/>
      <c r="C3267" s="148"/>
      <c r="D3267" s="138"/>
      <c r="E3267" s="138"/>
      <c r="F3267" s="50">
        <v>43647</v>
      </c>
      <c r="G3267" s="50">
        <v>43830</v>
      </c>
      <c r="H3267" s="150"/>
      <c r="I3267" s="15" t="s">
        <v>23</v>
      </c>
      <c r="J3267" s="15" t="s">
        <v>23</v>
      </c>
      <c r="K3267" s="13">
        <v>20.56</v>
      </c>
      <c r="L3267" s="13">
        <v>1898.71</v>
      </c>
      <c r="M3267" s="198"/>
    </row>
    <row r="3268" spans="1:18" ht="15" customHeight="1" outlineLevel="1" x14ac:dyDescent="0.25">
      <c r="A3268" s="148"/>
      <c r="B3268" s="148"/>
      <c r="C3268" s="148"/>
      <c r="D3268" s="138"/>
      <c r="E3268" s="138"/>
      <c r="F3268" s="50">
        <v>43466</v>
      </c>
      <c r="G3268" s="50">
        <v>43646</v>
      </c>
      <c r="H3268" s="150"/>
      <c r="I3268" s="15" t="s">
        <v>23</v>
      </c>
      <c r="J3268" s="15" t="s">
        <v>23</v>
      </c>
      <c r="K3268" s="13">
        <v>20.16</v>
      </c>
      <c r="L3268" s="13">
        <v>1577.08</v>
      </c>
      <c r="M3268" s="196" t="s">
        <v>426</v>
      </c>
      <c r="N3268" s="55">
        <f>I3254-K3268</f>
        <v>5.3099999999999987</v>
      </c>
      <c r="O3268" s="55">
        <f>J3254-L3268</f>
        <v>904.73</v>
      </c>
      <c r="P3268" s="122">
        <f>N3268*877.047</f>
        <v>4657.1195699999989</v>
      </c>
      <c r="Q3268" s="57">
        <f>O3268*63.148</f>
        <v>57131.890040000006</v>
      </c>
      <c r="R3268" s="57">
        <f>P3268+Q3268</f>
        <v>61789.009610000008</v>
      </c>
    </row>
    <row r="3269" spans="1:18" ht="15" customHeight="1" outlineLevel="1" x14ac:dyDescent="0.25">
      <c r="A3269" s="148"/>
      <c r="B3269" s="148"/>
      <c r="C3269" s="148"/>
      <c r="D3269" s="138"/>
      <c r="E3269" s="138"/>
      <c r="F3269" s="50">
        <v>43647</v>
      </c>
      <c r="G3269" s="50">
        <v>43830</v>
      </c>
      <c r="H3269" s="150"/>
      <c r="I3269" s="15" t="s">
        <v>23</v>
      </c>
      <c r="J3269" s="15" t="s">
        <v>23</v>
      </c>
      <c r="K3269" s="13">
        <v>20.56</v>
      </c>
      <c r="L3269" s="13">
        <v>1608.62</v>
      </c>
      <c r="M3269" s="198"/>
    </row>
    <row r="3270" spans="1:18" ht="15" customHeight="1" outlineLevel="1" x14ac:dyDescent="0.25">
      <c r="A3270" s="148"/>
      <c r="B3270" s="148"/>
      <c r="C3270" s="148"/>
      <c r="D3270" s="138"/>
      <c r="E3270" s="138"/>
      <c r="F3270" s="50">
        <v>43466</v>
      </c>
      <c r="G3270" s="50">
        <v>43646</v>
      </c>
      <c r="H3270" s="150"/>
      <c r="I3270" s="15" t="s">
        <v>23</v>
      </c>
      <c r="J3270" s="15" t="s">
        <v>23</v>
      </c>
      <c r="K3270" s="13">
        <v>20.16</v>
      </c>
      <c r="L3270" s="13">
        <v>1720.45</v>
      </c>
      <c r="M3270" s="196" t="s">
        <v>427</v>
      </c>
    </row>
    <row r="3271" spans="1:18" ht="15" customHeight="1" outlineLevel="1" x14ac:dyDescent="0.25">
      <c r="A3271" s="147"/>
      <c r="B3271" s="147"/>
      <c r="C3271" s="147"/>
      <c r="D3271" s="141"/>
      <c r="E3271" s="141"/>
      <c r="F3271" s="50">
        <v>43647</v>
      </c>
      <c r="G3271" s="50">
        <v>43830</v>
      </c>
      <c r="H3271" s="151"/>
      <c r="I3271" s="15" t="s">
        <v>23</v>
      </c>
      <c r="J3271" s="15" t="s">
        <v>23</v>
      </c>
      <c r="K3271" s="13">
        <v>20.56</v>
      </c>
      <c r="L3271" s="13">
        <v>1754.86</v>
      </c>
      <c r="M3271" s="198"/>
    </row>
    <row r="3272" spans="1:18" ht="15" customHeight="1" outlineLevel="1" x14ac:dyDescent="0.25">
      <c r="A3272" s="146" t="s">
        <v>53</v>
      </c>
      <c r="B3272" s="146" t="s">
        <v>594</v>
      </c>
      <c r="C3272" s="146" t="s">
        <v>286</v>
      </c>
      <c r="D3272" s="137">
        <v>43447</v>
      </c>
      <c r="E3272" s="137" t="s">
        <v>665</v>
      </c>
      <c r="F3272" s="12">
        <v>43466</v>
      </c>
      <c r="G3272" s="12">
        <v>43646</v>
      </c>
      <c r="H3272" s="149"/>
      <c r="I3272" s="66">
        <v>30.41</v>
      </c>
      <c r="J3272" s="13">
        <v>3822.11</v>
      </c>
      <c r="K3272" s="15" t="s">
        <v>23</v>
      </c>
      <c r="L3272" s="15" t="s">
        <v>23</v>
      </c>
      <c r="M3272" s="153"/>
    </row>
    <row r="3273" spans="1:18" ht="15" customHeight="1" outlineLevel="1" x14ac:dyDescent="0.25">
      <c r="A3273" s="148"/>
      <c r="B3273" s="148"/>
      <c r="C3273" s="148"/>
      <c r="D3273" s="141"/>
      <c r="E3273" s="141"/>
      <c r="F3273" s="12">
        <v>43647</v>
      </c>
      <c r="G3273" s="12">
        <v>43830</v>
      </c>
      <c r="H3273" s="151"/>
      <c r="I3273" s="66">
        <v>31.63</v>
      </c>
      <c r="J3273" s="13">
        <v>3995.04</v>
      </c>
      <c r="K3273" s="15" t="s">
        <v>23</v>
      </c>
      <c r="L3273" s="15" t="s">
        <v>23</v>
      </c>
      <c r="M3273" s="152"/>
    </row>
    <row r="3274" spans="1:18" ht="15" customHeight="1" outlineLevel="1" x14ac:dyDescent="0.25">
      <c r="A3274" s="148"/>
      <c r="B3274" s="148"/>
      <c r="C3274" s="148"/>
      <c r="D3274" s="137">
        <v>43454</v>
      </c>
      <c r="E3274" s="137" t="s">
        <v>654</v>
      </c>
      <c r="F3274" s="50">
        <v>43466</v>
      </c>
      <c r="G3274" s="50">
        <v>43646</v>
      </c>
      <c r="H3274" s="149"/>
      <c r="I3274" s="15" t="s">
        <v>23</v>
      </c>
      <c r="J3274" s="15" t="s">
        <v>23</v>
      </c>
      <c r="K3274" s="13">
        <v>19.350000000000001</v>
      </c>
      <c r="L3274" s="13">
        <v>2022.84</v>
      </c>
      <c r="M3274" s="196" t="s">
        <v>420</v>
      </c>
      <c r="N3274" s="55">
        <f>K3274/1.2</f>
        <v>16.125000000000004</v>
      </c>
      <c r="O3274" s="55">
        <f>L3274/1.2</f>
        <v>1685.7</v>
      </c>
    </row>
    <row r="3275" spans="1:18" ht="15" customHeight="1" outlineLevel="1" x14ac:dyDescent="0.25">
      <c r="A3275" s="148"/>
      <c r="B3275" s="148"/>
      <c r="C3275" s="148"/>
      <c r="D3275" s="138"/>
      <c r="E3275" s="138"/>
      <c r="F3275" s="50">
        <v>43647</v>
      </c>
      <c r="G3275" s="50">
        <v>43830</v>
      </c>
      <c r="H3275" s="150"/>
      <c r="I3275" s="15" t="s">
        <v>23</v>
      </c>
      <c r="J3275" s="15" t="s">
        <v>23</v>
      </c>
      <c r="K3275" s="13">
        <v>19.739999999999998</v>
      </c>
      <c r="L3275" s="13">
        <v>2063.3000000000002</v>
      </c>
      <c r="M3275" s="198"/>
      <c r="N3275" s="55">
        <f t="shared" ref="N3275:N3289" si="243">K3275/1.2</f>
        <v>16.45</v>
      </c>
      <c r="O3275" s="55">
        <f t="shared" ref="O3275:O3289" si="244">L3275/1.2</f>
        <v>1719.416666666667</v>
      </c>
    </row>
    <row r="3276" spans="1:18" ht="15" customHeight="1" outlineLevel="1" x14ac:dyDescent="0.25">
      <c r="A3276" s="148"/>
      <c r="B3276" s="148"/>
      <c r="C3276" s="148"/>
      <c r="D3276" s="138"/>
      <c r="E3276" s="138"/>
      <c r="F3276" s="50">
        <v>43466</v>
      </c>
      <c r="G3276" s="50">
        <v>43646</v>
      </c>
      <c r="H3276" s="150"/>
      <c r="I3276" s="15" t="s">
        <v>23</v>
      </c>
      <c r="J3276" s="15" t="s">
        <v>23</v>
      </c>
      <c r="K3276" s="13">
        <v>19.350000000000001</v>
      </c>
      <c r="L3276" s="13">
        <v>2215.4899999999998</v>
      </c>
      <c r="M3276" s="196" t="s">
        <v>421</v>
      </c>
      <c r="N3276" s="55">
        <f t="shared" si="243"/>
        <v>16.125000000000004</v>
      </c>
      <c r="O3276" s="55">
        <f t="shared" si="244"/>
        <v>1846.2416666666666</v>
      </c>
    </row>
    <row r="3277" spans="1:18" ht="15" customHeight="1" outlineLevel="1" x14ac:dyDescent="0.25">
      <c r="A3277" s="148"/>
      <c r="B3277" s="148"/>
      <c r="C3277" s="148"/>
      <c r="D3277" s="138"/>
      <c r="E3277" s="138"/>
      <c r="F3277" s="50">
        <v>43647</v>
      </c>
      <c r="G3277" s="50">
        <v>43830</v>
      </c>
      <c r="H3277" s="150"/>
      <c r="I3277" s="15" t="s">
        <v>23</v>
      </c>
      <c r="J3277" s="15" t="s">
        <v>23</v>
      </c>
      <c r="K3277" s="13">
        <v>19.739999999999998</v>
      </c>
      <c r="L3277" s="13">
        <v>2259.8000000000002</v>
      </c>
      <c r="M3277" s="198"/>
      <c r="N3277" s="55">
        <f t="shared" si="243"/>
        <v>16.45</v>
      </c>
      <c r="O3277" s="55">
        <f t="shared" si="244"/>
        <v>1883.166666666667</v>
      </c>
    </row>
    <row r="3278" spans="1:18" ht="15" customHeight="1" outlineLevel="1" x14ac:dyDescent="0.25">
      <c r="A3278" s="148"/>
      <c r="B3278" s="148"/>
      <c r="C3278" s="148"/>
      <c r="D3278" s="138"/>
      <c r="E3278" s="138"/>
      <c r="F3278" s="50">
        <v>43466</v>
      </c>
      <c r="G3278" s="50">
        <v>43646</v>
      </c>
      <c r="H3278" s="150"/>
      <c r="I3278" s="15" t="s">
        <v>23</v>
      </c>
      <c r="J3278" s="15" t="s">
        <v>23</v>
      </c>
      <c r="K3278" s="13">
        <v>19.350000000000001</v>
      </c>
      <c r="L3278" s="13">
        <v>1886.17</v>
      </c>
      <c r="M3278" s="196" t="s">
        <v>422</v>
      </c>
      <c r="N3278" s="55">
        <f t="shared" si="243"/>
        <v>16.125000000000004</v>
      </c>
      <c r="O3278" s="55">
        <f t="shared" si="244"/>
        <v>1571.8083333333334</v>
      </c>
    </row>
    <row r="3279" spans="1:18" ht="15" customHeight="1" outlineLevel="1" x14ac:dyDescent="0.25">
      <c r="A3279" s="148"/>
      <c r="B3279" s="148"/>
      <c r="C3279" s="148"/>
      <c r="D3279" s="138"/>
      <c r="E3279" s="138"/>
      <c r="F3279" s="50">
        <v>43647</v>
      </c>
      <c r="G3279" s="50">
        <v>43830</v>
      </c>
      <c r="H3279" s="150"/>
      <c r="I3279" s="15" t="s">
        <v>23</v>
      </c>
      <c r="J3279" s="15" t="s">
        <v>23</v>
      </c>
      <c r="K3279" s="13">
        <v>19.739999999999998</v>
      </c>
      <c r="L3279" s="13">
        <v>1923.89</v>
      </c>
      <c r="M3279" s="198"/>
      <c r="N3279" s="55">
        <f t="shared" si="243"/>
        <v>16.45</v>
      </c>
      <c r="O3279" s="55">
        <f t="shared" si="244"/>
        <v>1603.2416666666668</v>
      </c>
    </row>
    <row r="3280" spans="1:18" ht="15" customHeight="1" outlineLevel="1" x14ac:dyDescent="0.25">
      <c r="A3280" s="148"/>
      <c r="B3280" s="148"/>
      <c r="C3280" s="148"/>
      <c r="D3280" s="138"/>
      <c r="E3280" s="138"/>
      <c r="F3280" s="50">
        <v>43466</v>
      </c>
      <c r="G3280" s="50">
        <v>43646</v>
      </c>
      <c r="H3280" s="150"/>
      <c r="I3280" s="15" t="s">
        <v>23</v>
      </c>
      <c r="J3280" s="15" t="s">
        <v>23</v>
      </c>
      <c r="K3280" s="13">
        <v>19.350000000000001</v>
      </c>
      <c r="L3280" s="13">
        <v>2022.84</v>
      </c>
      <c r="M3280" s="196" t="s">
        <v>423</v>
      </c>
      <c r="N3280" s="55">
        <f t="shared" si="243"/>
        <v>16.125000000000004</v>
      </c>
      <c r="O3280" s="55">
        <f t="shared" si="244"/>
        <v>1685.7</v>
      </c>
    </row>
    <row r="3281" spans="1:20" ht="15" customHeight="1" outlineLevel="1" x14ac:dyDescent="0.25">
      <c r="A3281" s="148"/>
      <c r="B3281" s="148"/>
      <c r="C3281" s="148"/>
      <c r="D3281" s="138"/>
      <c r="E3281" s="138"/>
      <c r="F3281" s="50">
        <v>43647</v>
      </c>
      <c r="G3281" s="50">
        <v>43830</v>
      </c>
      <c r="H3281" s="150"/>
      <c r="I3281" s="15" t="s">
        <v>23</v>
      </c>
      <c r="J3281" s="15" t="s">
        <v>23</v>
      </c>
      <c r="K3281" s="13">
        <v>19.739999999999998</v>
      </c>
      <c r="L3281" s="13">
        <v>2063.3000000000002</v>
      </c>
      <c r="M3281" s="198"/>
      <c r="N3281" s="55">
        <f t="shared" si="243"/>
        <v>16.45</v>
      </c>
      <c r="O3281" s="55">
        <f t="shared" si="244"/>
        <v>1719.416666666667</v>
      </c>
    </row>
    <row r="3282" spans="1:20" ht="15" customHeight="1" outlineLevel="1" x14ac:dyDescent="0.25">
      <c r="A3282" s="148"/>
      <c r="B3282" s="148"/>
      <c r="C3282" s="148"/>
      <c r="D3282" s="138"/>
      <c r="E3282" s="138"/>
      <c r="F3282" s="50">
        <v>43466</v>
      </c>
      <c r="G3282" s="50">
        <v>43646</v>
      </c>
      <c r="H3282" s="150"/>
      <c r="I3282" s="15" t="s">
        <v>23</v>
      </c>
      <c r="J3282" s="15" t="s">
        <v>23</v>
      </c>
      <c r="K3282" s="13">
        <v>19.350000000000001</v>
      </c>
      <c r="L3282" s="13">
        <v>2114.8000000000002</v>
      </c>
      <c r="M3282" s="196" t="s">
        <v>424</v>
      </c>
      <c r="N3282" s="55">
        <f t="shared" si="243"/>
        <v>16.125000000000004</v>
      </c>
      <c r="O3282" s="55">
        <f t="shared" si="244"/>
        <v>1762.3333333333335</v>
      </c>
    </row>
    <row r="3283" spans="1:20" ht="15" customHeight="1" outlineLevel="1" x14ac:dyDescent="0.25">
      <c r="A3283" s="148"/>
      <c r="B3283" s="148"/>
      <c r="C3283" s="148"/>
      <c r="D3283" s="138"/>
      <c r="E3283" s="138"/>
      <c r="F3283" s="50">
        <v>43647</v>
      </c>
      <c r="G3283" s="50">
        <v>43830</v>
      </c>
      <c r="H3283" s="150"/>
      <c r="I3283" s="15" t="s">
        <v>23</v>
      </c>
      <c r="J3283" s="15" t="s">
        <v>23</v>
      </c>
      <c r="K3283" s="13">
        <v>19.739999999999998</v>
      </c>
      <c r="L3283" s="13">
        <v>2157.09</v>
      </c>
      <c r="M3283" s="198"/>
      <c r="N3283" s="55">
        <f t="shared" si="243"/>
        <v>16.45</v>
      </c>
      <c r="O3283" s="55">
        <f t="shared" si="244"/>
        <v>1797.5750000000003</v>
      </c>
    </row>
    <row r="3284" spans="1:20" ht="15" customHeight="1" outlineLevel="1" x14ac:dyDescent="0.25">
      <c r="A3284" s="148"/>
      <c r="B3284" s="148"/>
      <c r="C3284" s="148"/>
      <c r="D3284" s="138"/>
      <c r="E3284" s="138"/>
      <c r="F3284" s="50">
        <v>43466</v>
      </c>
      <c r="G3284" s="50">
        <v>43646</v>
      </c>
      <c r="H3284" s="150"/>
      <c r="I3284" s="15" t="s">
        <v>23</v>
      </c>
      <c r="J3284" s="15" t="s">
        <v>23</v>
      </c>
      <c r="K3284" s="13">
        <v>19.350000000000001</v>
      </c>
      <c r="L3284" s="13">
        <v>2288.14</v>
      </c>
      <c r="M3284" s="196" t="s">
        <v>425</v>
      </c>
      <c r="N3284" s="55">
        <f t="shared" si="243"/>
        <v>16.125000000000004</v>
      </c>
      <c r="O3284" s="55">
        <f t="shared" si="244"/>
        <v>1906.7833333333333</v>
      </c>
    </row>
    <row r="3285" spans="1:20" ht="15" customHeight="1" outlineLevel="1" x14ac:dyDescent="0.25">
      <c r="A3285" s="148"/>
      <c r="B3285" s="148"/>
      <c r="C3285" s="148"/>
      <c r="D3285" s="138"/>
      <c r="E3285" s="138"/>
      <c r="F3285" s="50">
        <v>43647</v>
      </c>
      <c r="G3285" s="50">
        <v>43830</v>
      </c>
      <c r="H3285" s="150"/>
      <c r="I3285" s="15" t="s">
        <v>23</v>
      </c>
      <c r="J3285" s="15" t="s">
        <v>23</v>
      </c>
      <c r="K3285" s="13">
        <v>19.739999999999998</v>
      </c>
      <c r="L3285" s="13">
        <v>2333.9</v>
      </c>
      <c r="M3285" s="198"/>
      <c r="N3285" s="55">
        <f t="shared" si="243"/>
        <v>16.45</v>
      </c>
      <c r="O3285" s="55">
        <f t="shared" si="244"/>
        <v>1944.9166666666667</v>
      </c>
    </row>
    <row r="3286" spans="1:20" ht="15" customHeight="1" outlineLevel="1" x14ac:dyDescent="0.25">
      <c r="A3286" s="148"/>
      <c r="B3286" s="148"/>
      <c r="C3286" s="148"/>
      <c r="D3286" s="138"/>
      <c r="E3286" s="138"/>
      <c r="F3286" s="50">
        <v>43466</v>
      </c>
      <c r="G3286" s="50">
        <v>43646</v>
      </c>
      <c r="H3286" s="150"/>
      <c r="I3286" s="15" t="s">
        <v>23</v>
      </c>
      <c r="J3286" s="15" t="s">
        <v>23</v>
      </c>
      <c r="K3286" s="13">
        <v>19.350000000000001</v>
      </c>
      <c r="L3286" s="13">
        <v>1938.56</v>
      </c>
      <c r="M3286" s="196" t="s">
        <v>426</v>
      </c>
      <c r="N3286" s="55">
        <f t="shared" si="243"/>
        <v>16.125000000000004</v>
      </c>
      <c r="O3286" s="55">
        <f t="shared" si="244"/>
        <v>1615.4666666666667</v>
      </c>
      <c r="P3286" s="121">
        <f>I3272-N3286</f>
        <v>14.284999999999997</v>
      </c>
      <c r="Q3286" s="57">
        <f>J3272-O3286</f>
        <v>2206.6433333333334</v>
      </c>
      <c r="R3286" s="57">
        <f>P3286*1466.78</f>
        <v>20952.952299999994</v>
      </c>
      <c r="S3286" s="58">
        <f>Q3286*105.608</f>
        <v>233039.1891466667</v>
      </c>
      <c r="T3286" s="55">
        <f>R3286+S3286</f>
        <v>253992.1414466667</v>
      </c>
    </row>
    <row r="3287" spans="1:20" ht="15" customHeight="1" outlineLevel="1" x14ac:dyDescent="0.25">
      <c r="A3287" s="148"/>
      <c r="B3287" s="148"/>
      <c r="C3287" s="148"/>
      <c r="D3287" s="138"/>
      <c r="E3287" s="138"/>
      <c r="F3287" s="50">
        <v>43647</v>
      </c>
      <c r="G3287" s="50">
        <v>43830</v>
      </c>
      <c r="H3287" s="150"/>
      <c r="I3287" s="15" t="s">
        <v>23</v>
      </c>
      <c r="J3287" s="15" t="s">
        <v>23</v>
      </c>
      <c r="K3287" s="13">
        <v>19.739999999999998</v>
      </c>
      <c r="L3287" s="13">
        <v>1977.33</v>
      </c>
      <c r="M3287" s="198"/>
      <c r="N3287" s="55">
        <f t="shared" si="243"/>
        <v>16.45</v>
      </c>
      <c r="O3287" s="55">
        <f t="shared" si="244"/>
        <v>1647.7750000000001</v>
      </c>
    </row>
    <row r="3288" spans="1:20" ht="15" customHeight="1" outlineLevel="1" x14ac:dyDescent="0.25">
      <c r="A3288" s="148"/>
      <c r="B3288" s="148"/>
      <c r="C3288" s="148"/>
      <c r="D3288" s="138"/>
      <c r="E3288" s="138"/>
      <c r="F3288" s="50">
        <v>43466</v>
      </c>
      <c r="G3288" s="50">
        <v>43646</v>
      </c>
      <c r="H3288" s="150"/>
      <c r="I3288" s="15" t="s">
        <v>23</v>
      </c>
      <c r="J3288" s="15" t="s">
        <v>23</v>
      </c>
      <c r="K3288" s="13">
        <v>19.350000000000001</v>
      </c>
      <c r="L3288" s="13">
        <v>2114.8000000000002</v>
      </c>
      <c r="M3288" s="196" t="s">
        <v>427</v>
      </c>
      <c r="N3288" s="55">
        <f t="shared" si="243"/>
        <v>16.125000000000004</v>
      </c>
      <c r="O3288" s="55">
        <f t="shared" si="244"/>
        <v>1762.3333333333335</v>
      </c>
      <c r="P3288" s="122">
        <f>I3272-N3288</f>
        <v>14.284999999999997</v>
      </c>
      <c r="Q3288" s="57">
        <f>J3272-O3288</f>
        <v>2059.7766666666666</v>
      </c>
    </row>
    <row r="3289" spans="1:20" ht="15" customHeight="1" outlineLevel="1" x14ac:dyDescent="0.25">
      <c r="A3289" s="147"/>
      <c r="B3289" s="147"/>
      <c r="C3289" s="148"/>
      <c r="D3289" s="141"/>
      <c r="E3289" s="141"/>
      <c r="F3289" s="50">
        <v>43647</v>
      </c>
      <c r="G3289" s="50">
        <v>43830</v>
      </c>
      <c r="H3289" s="151"/>
      <c r="I3289" s="15" t="s">
        <v>23</v>
      </c>
      <c r="J3289" s="15" t="s">
        <v>23</v>
      </c>
      <c r="K3289" s="13">
        <v>19.739999999999998</v>
      </c>
      <c r="L3289" s="13">
        <v>2157.09</v>
      </c>
      <c r="M3289" s="198"/>
      <c r="N3289" s="55">
        <f t="shared" si="243"/>
        <v>16.45</v>
      </c>
      <c r="O3289" s="55">
        <f t="shared" si="244"/>
        <v>1797.5750000000003</v>
      </c>
    </row>
    <row r="3290" spans="1:20" ht="15" customHeight="1" outlineLevel="1" x14ac:dyDescent="0.25">
      <c r="A3290" s="146" t="s">
        <v>53</v>
      </c>
      <c r="B3290" s="146" t="s">
        <v>543</v>
      </c>
      <c r="C3290" s="148"/>
      <c r="D3290" s="137">
        <v>43447</v>
      </c>
      <c r="E3290" s="137" t="s">
        <v>665</v>
      </c>
      <c r="F3290" s="12">
        <v>43466</v>
      </c>
      <c r="G3290" s="12">
        <v>43646</v>
      </c>
      <c r="H3290" s="149"/>
      <c r="I3290" s="66">
        <v>30.41</v>
      </c>
      <c r="J3290" s="13">
        <v>3822.11</v>
      </c>
      <c r="K3290" s="15" t="s">
        <v>23</v>
      </c>
      <c r="L3290" s="15" t="s">
        <v>23</v>
      </c>
      <c r="M3290" s="153"/>
    </row>
    <row r="3291" spans="1:20" ht="15" customHeight="1" outlineLevel="1" x14ac:dyDescent="0.25">
      <c r="A3291" s="148"/>
      <c r="B3291" s="148"/>
      <c r="C3291" s="148"/>
      <c r="D3291" s="141"/>
      <c r="E3291" s="141"/>
      <c r="F3291" s="12">
        <v>43647</v>
      </c>
      <c r="G3291" s="12">
        <v>43830</v>
      </c>
      <c r="H3291" s="151"/>
      <c r="I3291" s="66">
        <v>31.63</v>
      </c>
      <c r="J3291" s="13">
        <v>3995.04</v>
      </c>
      <c r="K3291" s="15" t="s">
        <v>23</v>
      </c>
      <c r="L3291" s="15" t="s">
        <v>23</v>
      </c>
      <c r="M3291" s="152"/>
    </row>
    <row r="3292" spans="1:20" ht="15" customHeight="1" outlineLevel="1" x14ac:dyDescent="0.25">
      <c r="A3292" s="148"/>
      <c r="B3292" s="148"/>
      <c r="C3292" s="148"/>
      <c r="D3292" s="137">
        <v>43454</v>
      </c>
      <c r="E3292" s="137" t="s">
        <v>654</v>
      </c>
      <c r="F3292" s="50">
        <v>43466</v>
      </c>
      <c r="G3292" s="50">
        <v>43646</v>
      </c>
      <c r="H3292" s="149"/>
      <c r="I3292" s="15" t="s">
        <v>23</v>
      </c>
      <c r="J3292" s="15" t="s">
        <v>23</v>
      </c>
      <c r="K3292" s="13">
        <v>19.34</v>
      </c>
      <c r="L3292" s="13">
        <v>2020.82</v>
      </c>
      <c r="M3292" s="196" t="s">
        <v>420</v>
      </c>
      <c r="N3292" s="55">
        <f>K3292/1.2</f>
        <v>16.116666666666667</v>
      </c>
      <c r="O3292" s="55">
        <f>L3292/1.2</f>
        <v>1684.0166666666667</v>
      </c>
    </row>
    <row r="3293" spans="1:20" ht="15" customHeight="1" outlineLevel="1" x14ac:dyDescent="0.25">
      <c r="A3293" s="148"/>
      <c r="B3293" s="148"/>
      <c r="C3293" s="148"/>
      <c r="D3293" s="138"/>
      <c r="E3293" s="138"/>
      <c r="F3293" s="50">
        <v>43647</v>
      </c>
      <c r="G3293" s="50">
        <v>43830</v>
      </c>
      <c r="H3293" s="150"/>
      <c r="I3293" s="15" t="s">
        <v>23</v>
      </c>
      <c r="J3293" s="15" t="s">
        <v>23</v>
      </c>
      <c r="K3293" s="13">
        <v>19.73</v>
      </c>
      <c r="L3293" s="13">
        <v>2061.2399999999998</v>
      </c>
      <c r="M3293" s="198"/>
      <c r="N3293" s="55">
        <f t="shared" ref="N3293:N3307" si="245">K3293/1.2</f>
        <v>16.441666666666666</v>
      </c>
      <c r="O3293" s="55">
        <f t="shared" ref="O3293:O3307" si="246">L3293/1.2</f>
        <v>1717.6999999999998</v>
      </c>
    </row>
    <row r="3294" spans="1:20" ht="15" customHeight="1" outlineLevel="1" x14ac:dyDescent="0.25">
      <c r="A3294" s="148"/>
      <c r="B3294" s="148"/>
      <c r="C3294" s="148"/>
      <c r="D3294" s="138"/>
      <c r="E3294" s="138"/>
      <c r="F3294" s="50">
        <v>43466</v>
      </c>
      <c r="G3294" s="50">
        <v>43646</v>
      </c>
      <c r="H3294" s="150"/>
      <c r="I3294" s="15" t="s">
        <v>23</v>
      </c>
      <c r="J3294" s="15" t="s">
        <v>23</v>
      </c>
      <c r="K3294" s="13">
        <v>19.34</v>
      </c>
      <c r="L3294" s="13">
        <v>2213.2800000000002</v>
      </c>
      <c r="M3294" s="196" t="s">
        <v>421</v>
      </c>
      <c r="N3294" s="55">
        <f t="shared" si="245"/>
        <v>16.116666666666667</v>
      </c>
      <c r="O3294" s="55">
        <f t="shared" si="246"/>
        <v>1844.4000000000003</v>
      </c>
    </row>
    <row r="3295" spans="1:20" ht="15" customHeight="1" outlineLevel="1" x14ac:dyDescent="0.25">
      <c r="A3295" s="148"/>
      <c r="B3295" s="148"/>
      <c r="C3295" s="148"/>
      <c r="D3295" s="138"/>
      <c r="E3295" s="138"/>
      <c r="F3295" s="50">
        <v>43647</v>
      </c>
      <c r="G3295" s="50">
        <v>43830</v>
      </c>
      <c r="H3295" s="150"/>
      <c r="I3295" s="15" t="s">
        <v>23</v>
      </c>
      <c r="J3295" s="15" t="s">
        <v>23</v>
      </c>
      <c r="K3295" s="13">
        <v>19.73</v>
      </c>
      <c r="L3295" s="13">
        <v>2257.54</v>
      </c>
      <c r="M3295" s="198"/>
      <c r="N3295" s="55">
        <f t="shared" si="245"/>
        <v>16.441666666666666</v>
      </c>
      <c r="O3295" s="55">
        <f t="shared" si="246"/>
        <v>1881.2833333333333</v>
      </c>
    </row>
    <row r="3296" spans="1:20" ht="15" customHeight="1" outlineLevel="1" x14ac:dyDescent="0.25">
      <c r="A3296" s="148"/>
      <c r="B3296" s="148"/>
      <c r="C3296" s="148"/>
      <c r="D3296" s="138"/>
      <c r="E3296" s="138"/>
      <c r="F3296" s="50">
        <v>43466</v>
      </c>
      <c r="G3296" s="50">
        <v>43646</v>
      </c>
      <c r="H3296" s="150"/>
      <c r="I3296" s="15" t="s">
        <v>23</v>
      </c>
      <c r="J3296" s="15" t="s">
        <v>23</v>
      </c>
      <c r="K3296" s="13">
        <v>19.34</v>
      </c>
      <c r="L3296" s="13">
        <v>1884.27</v>
      </c>
      <c r="M3296" s="196" t="s">
        <v>422</v>
      </c>
      <c r="N3296" s="55">
        <f t="shared" si="245"/>
        <v>16.116666666666667</v>
      </c>
      <c r="O3296" s="55">
        <f t="shared" si="246"/>
        <v>1570.2250000000001</v>
      </c>
    </row>
    <row r="3297" spans="1:17" ht="15" customHeight="1" outlineLevel="1" x14ac:dyDescent="0.25">
      <c r="A3297" s="148"/>
      <c r="B3297" s="148"/>
      <c r="C3297" s="148"/>
      <c r="D3297" s="138"/>
      <c r="E3297" s="138"/>
      <c r="F3297" s="50">
        <v>43647</v>
      </c>
      <c r="G3297" s="50">
        <v>43830</v>
      </c>
      <c r="H3297" s="150"/>
      <c r="I3297" s="15" t="s">
        <v>23</v>
      </c>
      <c r="J3297" s="15" t="s">
        <v>23</v>
      </c>
      <c r="K3297" s="13">
        <v>19.73</v>
      </c>
      <c r="L3297" s="13">
        <v>1921.96</v>
      </c>
      <c r="M3297" s="198"/>
      <c r="N3297" s="55">
        <f t="shared" si="245"/>
        <v>16.441666666666666</v>
      </c>
      <c r="O3297" s="55">
        <f t="shared" si="246"/>
        <v>1601.6333333333334</v>
      </c>
    </row>
    <row r="3298" spans="1:17" ht="15" customHeight="1" outlineLevel="1" x14ac:dyDescent="0.25">
      <c r="A3298" s="148"/>
      <c r="B3298" s="148"/>
      <c r="C3298" s="148"/>
      <c r="D3298" s="138"/>
      <c r="E3298" s="138"/>
      <c r="F3298" s="50">
        <v>43466</v>
      </c>
      <c r="G3298" s="50">
        <v>43646</v>
      </c>
      <c r="H3298" s="150"/>
      <c r="I3298" s="15" t="s">
        <v>23</v>
      </c>
      <c r="J3298" s="15" t="s">
        <v>23</v>
      </c>
      <c r="K3298" s="13">
        <v>19.34</v>
      </c>
      <c r="L3298" s="13">
        <v>2020.82</v>
      </c>
      <c r="M3298" s="196" t="s">
        <v>423</v>
      </c>
      <c r="N3298" s="55">
        <f t="shared" si="245"/>
        <v>16.116666666666667</v>
      </c>
      <c r="O3298" s="55">
        <f t="shared" si="246"/>
        <v>1684.0166666666667</v>
      </c>
    </row>
    <row r="3299" spans="1:17" ht="15" customHeight="1" outlineLevel="1" x14ac:dyDescent="0.25">
      <c r="A3299" s="148"/>
      <c r="B3299" s="148"/>
      <c r="C3299" s="148"/>
      <c r="D3299" s="138"/>
      <c r="E3299" s="138"/>
      <c r="F3299" s="50">
        <v>43647</v>
      </c>
      <c r="G3299" s="50">
        <v>43830</v>
      </c>
      <c r="H3299" s="150"/>
      <c r="I3299" s="15" t="s">
        <v>23</v>
      </c>
      <c r="J3299" s="15" t="s">
        <v>23</v>
      </c>
      <c r="K3299" s="13">
        <v>19.73</v>
      </c>
      <c r="L3299" s="13">
        <v>2061.2399999999998</v>
      </c>
      <c r="M3299" s="198"/>
      <c r="N3299" s="55">
        <f t="shared" si="245"/>
        <v>16.441666666666666</v>
      </c>
      <c r="O3299" s="55">
        <f t="shared" si="246"/>
        <v>1717.6999999999998</v>
      </c>
    </row>
    <row r="3300" spans="1:17" ht="15" customHeight="1" outlineLevel="1" x14ac:dyDescent="0.25">
      <c r="A3300" s="148"/>
      <c r="B3300" s="148"/>
      <c r="C3300" s="148"/>
      <c r="D3300" s="138"/>
      <c r="E3300" s="138"/>
      <c r="F3300" s="50">
        <v>43466</v>
      </c>
      <c r="G3300" s="50">
        <v>43646</v>
      </c>
      <c r="H3300" s="150"/>
      <c r="I3300" s="15" t="s">
        <v>23</v>
      </c>
      <c r="J3300" s="15" t="s">
        <v>23</v>
      </c>
      <c r="K3300" s="13">
        <v>19.34</v>
      </c>
      <c r="L3300" s="13">
        <v>2112.67</v>
      </c>
      <c r="M3300" s="196" t="s">
        <v>424</v>
      </c>
      <c r="N3300" s="55">
        <f t="shared" si="245"/>
        <v>16.116666666666667</v>
      </c>
      <c r="O3300" s="55">
        <f t="shared" si="246"/>
        <v>1760.5583333333334</v>
      </c>
    </row>
    <row r="3301" spans="1:17" ht="15" customHeight="1" outlineLevel="1" x14ac:dyDescent="0.25">
      <c r="A3301" s="148"/>
      <c r="B3301" s="148"/>
      <c r="C3301" s="148"/>
      <c r="D3301" s="138"/>
      <c r="E3301" s="138"/>
      <c r="F3301" s="50">
        <v>43647</v>
      </c>
      <c r="G3301" s="50">
        <v>43830</v>
      </c>
      <c r="H3301" s="150"/>
      <c r="I3301" s="15" t="s">
        <v>23</v>
      </c>
      <c r="J3301" s="15" t="s">
        <v>23</v>
      </c>
      <c r="K3301" s="13">
        <v>19.73</v>
      </c>
      <c r="L3301" s="13">
        <v>2154.92</v>
      </c>
      <c r="M3301" s="198"/>
      <c r="N3301" s="55">
        <f t="shared" si="245"/>
        <v>16.441666666666666</v>
      </c>
      <c r="O3301" s="55">
        <f t="shared" si="246"/>
        <v>1795.7666666666669</v>
      </c>
    </row>
    <row r="3302" spans="1:17" ht="15" customHeight="1" outlineLevel="1" x14ac:dyDescent="0.25">
      <c r="A3302" s="148"/>
      <c r="B3302" s="148"/>
      <c r="C3302" s="148"/>
      <c r="D3302" s="138"/>
      <c r="E3302" s="138"/>
      <c r="F3302" s="50">
        <v>43466</v>
      </c>
      <c r="G3302" s="50">
        <v>43646</v>
      </c>
      <c r="H3302" s="150"/>
      <c r="I3302" s="15" t="s">
        <v>23</v>
      </c>
      <c r="J3302" s="15" t="s">
        <v>23</v>
      </c>
      <c r="K3302" s="13">
        <v>19.34</v>
      </c>
      <c r="L3302" s="13">
        <v>2285.85</v>
      </c>
      <c r="M3302" s="196" t="s">
        <v>425</v>
      </c>
      <c r="N3302" s="55">
        <f t="shared" si="245"/>
        <v>16.116666666666667</v>
      </c>
      <c r="O3302" s="55">
        <f t="shared" si="246"/>
        <v>1904.875</v>
      </c>
    </row>
    <row r="3303" spans="1:17" ht="15" customHeight="1" outlineLevel="1" x14ac:dyDescent="0.25">
      <c r="A3303" s="148"/>
      <c r="B3303" s="148"/>
      <c r="C3303" s="148"/>
      <c r="D3303" s="138"/>
      <c r="E3303" s="138"/>
      <c r="F3303" s="50">
        <v>43647</v>
      </c>
      <c r="G3303" s="50">
        <v>43830</v>
      </c>
      <c r="H3303" s="150"/>
      <c r="I3303" s="15" t="s">
        <v>23</v>
      </c>
      <c r="J3303" s="15" t="s">
        <v>23</v>
      </c>
      <c r="K3303" s="13">
        <v>19.73</v>
      </c>
      <c r="L3303" s="13">
        <v>2331.56</v>
      </c>
      <c r="M3303" s="198"/>
      <c r="N3303" s="55">
        <f t="shared" si="245"/>
        <v>16.441666666666666</v>
      </c>
      <c r="O3303" s="55">
        <f t="shared" si="246"/>
        <v>1942.9666666666667</v>
      </c>
    </row>
    <row r="3304" spans="1:17" ht="15" customHeight="1" outlineLevel="1" x14ac:dyDescent="0.25">
      <c r="A3304" s="148"/>
      <c r="B3304" s="148"/>
      <c r="C3304" s="148"/>
      <c r="D3304" s="138"/>
      <c r="E3304" s="138"/>
      <c r="F3304" s="50">
        <v>43466</v>
      </c>
      <c r="G3304" s="50">
        <v>43646</v>
      </c>
      <c r="H3304" s="150"/>
      <c r="I3304" s="15" t="s">
        <v>23</v>
      </c>
      <c r="J3304" s="15" t="s">
        <v>23</v>
      </c>
      <c r="K3304" s="13">
        <v>19.34</v>
      </c>
      <c r="L3304" s="13">
        <v>1936.62</v>
      </c>
      <c r="M3304" s="196" t="s">
        <v>426</v>
      </c>
      <c r="N3304" s="55">
        <f t="shared" si="245"/>
        <v>16.116666666666667</v>
      </c>
      <c r="O3304" s="55">
        <f t="shared" si="246"/>
        <v>1613.85</v>
      </c>
      <c r="P3304" s="122">
        <f>I3290-N3304</f>
        <v>14.293333333333333</v>
      </c>
      <c r="Q3304" s="57">
        <f>J3290-O3304</f>
        <v>2208.2600000000002</v>
      </c>
    </row>
    <row r="3305" spans="1:17" ht="15" customHeight="1" outlineLevel="1" x14ac:dyDescent="0.25">
      <c r="A3305" s="148"/>
      <c r="B3305" s="148"/>
      <c r="C3305" s="148"/>
      <c r="D3305" s="138"/>
      <c r="E3305" s="138"/>
      <c r="F3305" s="50">
        <v>43647</v>
      </c>
      <c r="G3305" s="50">
        <v>43830</v>
      </c>
      <c r="H3305" s="150"/>
      <c r="I3305" s="15" t="s">
        <v>23</v>
      </c>
      <c r="J3305" s="15" t="s">
        <v>23</v>
      </c>
      <c r="K3305" s="13">
        <v>19.73</v>
      </c>
      <c r="L3305" s="13">
        <v>1975.35</v>
      </c>
      <c r="M3305" s="198"/>
      <c r="N3305" s="55">
        <f t="shared" si="245"/>
        <v>16.441666666666666</v>
      </c>
      <c r="O3305" s="55">
        <f t="shared" si="246"/>
        <v>1646.125</v>
      </c>
    </row>
    <row r="3306" spans="1:17" ht="15" customHeight="1" outlineLevel="1" x14ac:dyDescent="0.25">
      <c r="A3306" s="148"/>
      <c r="B3306" s="148"/>
      <c r="C3306" s="148"/>
      <c r="D3306" s="138"/>
      <c r="E3306" s="138"/>
      <c r="F3306" s="50">
        <v>43466</v>
      </c>
      <c r="G3306" s="50">
        <v>43646</v>
      </c>
      <c r="H3306" s="150"/>
      <c r="I3306" s="15" t="s">
        <v>23</v>
      </c>
      <c r="J3306" s="15" t="s">
        <v>23</v>
      </c>
      <c r="K3306" s="13">
        <v>19.34</v>
      </c>
      <c r="L3306" s="13">
        <v>2112.67</v>
      </c>
      <c r="M3306" s="196" t="s">
        <v>427</v>
      </c>
      <c r="N3306" s="55">
        <f t="shared" si="245"/>
        <v>16.116666666666667</v>
      </c>
      <c r="O3306" s="55">
        <f t="shared" si="246"/>
        <v>1760.5583333333334</v>
      </c>
      <c r="P3306" s="122">
        <f>I3290-N3306</f>
        <v>14.293333333333333</v>
      </c>
      <c r="Q3306" s="57">
        <f>J3290-O3306</f>
        <v>2061.5516666666667</v>
      </c>
    </row>
    <row r="3307" spans="1:17" ht="15" customHeight="1" outlineLevel="1" x14ac:dyDescent="0.25">
      <c r="A3307" s="147"/>
      <c r="B3307" s="147"/>
      <c r="C3307" s="147"/>
      <c r="D3307" s="141"/>
      <c r="E3307" s="141"/>
      <c r="F3307" s="50">
        <v>43647</v>
      </c>
      <c r="G3307" s="50">
        <v>43830</v>
      </c>
      <c r="H3307" s="151"/>
      <c r="I3307" s="15" t="s">
        <v>23</v>
      </c>
      <c r="J3307" s="15" t="s">
        <v>23</v>
      </c>
      <c r="K3307" s="13">
        <v>19.73</v>
      </c>
      <c r="L3307" s="13">
        <v>2154.92</v>
      </c>
      <c r="M3307" s="198"/>
      <c r="N3307" s="55">
        <f t="shared" si="245"/>
        <v>16.441666666666666</v>
      </c>
      <c r="O3307" s="55">
        <f t="shared" si="246"/>
        <v>1795.7666666666669</v>
      </c>
    </row>
    <row r="3308" spans="1:17" ht="15" customHeight="1" outlineLevel="1" x14ac:dyDescent="0.25">
      <c r="A3308" s="146" t="s">
        <v>53</v>
      </c>
      <c r="B3308" s="146" t="s">
        <v>510</v>
      </c>
      <c r="C3308" s="146" t="s">
        <v>472</v>
      </c>
      <c r="D3308" s="137">
        <v>43454</v>
      </c>
      <c r="E3308" s="137" t="s">
        <v>655</v>
      </c>
      <c r="F3308" s="12">
        <v>43466</v>
      </c>
      <c r="G3308" s="12">
        <v>43646</v>
      </c>
      <c r="H3308" s="149"/>
      <c r="I3308" s="66">
        <v>40.630000000000003</v>
      </c>
      <c r="J3308" s="13">
        <v>5773.13</v>
      </c>
      <c r="K3308" s="15" t="s">
        <v>23</v>
      </c>
      <c r="L3308" s="15" t="s">
        <v>23</v>
      </c>
      <c r="M3308" s="153"/>
    </row>
    <row r="3309" spans="1:17" ht="15" customHeight="1" outlineLevel="1" x14ac:dyDescent="0.25">
      <c r="A3309" s="148"/>
      <c r="B3309" s="148"/>
      <c r="C3309" s="148"/>
      <c r="D3309" s="141"/>
      <c r="E3309" s="141"/>
      <c r="F3309" s="12">
        <v>43647</v>
      </c>
      <c r="G3309" s="12">
        <v>43830</v>
      </c>
      <c r="H3309" s="151"/>
      <c r="I3309" s="66">
        <v>49.17</v>
      </c>
      <c r="J3309" s="13">
        <v>5773.13</v>
      </c>
      <c r="K3309" s="15" t="s">
        <v>23</v>
      </c>
      <c r="L3309" s="15" t="s">
        <v>23</v>
      </c>
      <c r="M3309" s="152"/>
    </row>
    <row r="3310" spans="1:17" ht="15" customHeight="1" outlineLevel="1" x14ac:dyDescent="0.25">
      <c r="A3310" s="148"/>
      <c r="B3310" s="148"/>
      <c r="C3310" s="148"/>
      <c r="D3310" s="137">
        <v>43454</v>
      </c>
      <c r="E3310" s="137" t="s">
        <v>654</v>
      </c>
      <c r="F3310" s="50">
        <v>43466</v>
      </c>
      <c r="G3310" s="50">
        <v>43646</v>
      </c>
      <c r="H3310" s="149"/>
      <c r="I3310" s="15" t="s">
        <v>23</v>
      </c>
      <c r="J3310" s="15" t="s">
        <v>23</v>
      </c>
      <c r="K3310" s="13">
        <v>26.71</v>
      </c>
      <c r="L3310" s="13">
        <v>1944.58</v>
      </c>
      <c r="M3310" s="196" t="s">
        <v>420</v>
      </c>
    </row>
    <row r="3311" spans="1:17" ht="15" customHeight="1" outlineLevel="1" x14ac:dyDescent="0.25">
      <c r="A3311" s="148"/>
      <c r="B3311" s="148"/>
      <c r="C3311" s="148"/>
      <c r="D3311" s="138"/>
      <c r="E3311" s="138"/>
      <c r="F3311" s="50">
        <v>43647</v>
      </c>
      <c r="G3311" s="50">
        <v>43830</v>
      </c>
      <c r="H3311" s="150"/>
      <c r="I3311" s="15" t="s">
        <v>23</v>
      </c>
      <c r="J3311" s="15" t="s">
        <v>23</v>
      </c>
      <c r="K3311" s="13">
        <v>27.24</v>
      </c>
      <c r="L3311" s="13">
        <v>1983.47</v>
      </c>
      <c r="M3311" s="198"/>
    </row>
    <row r="3312" spans="1:17" ht="15" customHeight="1" outlineLevel="1" x14ac:dyDescent="0.25">
      <c r="A3312" s="148"/>
      <c r="B3312" s="148"/>
      <c r="C3312" s="148"/>
      <c r="D3312" s="138"/>
      <c r="E3312" s="138"/>
      <c r="F3312" s="50">
        <v>43466</v>
      </c>
      <c r="G3312" s="50">
        <v>43646</v>
      </c>
      <c r="H3312" s="150"/>
      <c r="I3312" s="15" t="s">
        <v>23</v>
      </c>
      <c r="J3312" s="15" t="s">
        <v>23</v>
      </c>
      <c r="K3312" s="13">
        <v>26.71</v>
      </c>
      <c r="L3312" s="13">
        <v>2129.79</v>
      </c>
      <c r="M3312" s="196" t="s">
        <v>421</v>
      </c>
    </row>
    <row r="3313" spans="1:20" ht="15" customHeight="1" outlineLevel="1" x14ac:dyDescent="0.25">
      <c r="A3313" s="148"/>
      <c r="B3313" s="148"/>
      <c r="C3313" s="148"/>
      <c r="D3313" s="138"/>
      <c r="E3313" s="138"/>
      <c r="F3313" s="50">
        <v>43647</v>
      </c>
      <c r="G3313" s="50">
        <v>43830</v>
      </c>
      <c r="H3313" s="150"/>
      <c r="I3313" s="15" t="s">
        <v>23</v>
      </c>
      <c r="J3313" s="15" t="s">
        <v>23</v>
      </c>
      <c r="K3313" s="13">
        <v>27.24</v>
      </c>
      <c r="L3313" s="13">
        <v>2172.38</v>
      </c>
      <c r="M3313" s="198"/>
    </row>
    <row r="3314" spans="1:20" ht="15" customHeight="1" outlineLevel="1" x14ac:dyDescent="0.25">
      <c r="A3314" s="148"/>
      <c r="B3314" s="148"/>
      <c r="C3314" s="148"/>
      <c r="D3314" s="138"/>
      <c r="E3314" s="138"/>
      <c r="F3314" s="50">
        <v>43466</v>
      </c>
      <c r="G3314" s="50">
        <v>43646</v>
      </c>
      <c r="H3314" s="150"/>
      <c r="I3314" s="15" t="s">
        <v>23</v>
      </c>
      <c r="J3314" s="15" t="s">
        <v>23</v>
      </c>
      <c r="K3314" s="13">
        <v>26.71</v>
      </c>
      <c r="L3314" s="13">
        <v>1813.19</v>
      </c>
      <c r="M3314" s="196" t="s">
        <v>422</v>
      </c>
    </row>
    <row r="3315" spans="1:20" ht="15" customHeight="1" outlineLevel="1" x14ac:dyDescent="0.25">
      <c r="A3315" s="148"/>
      <c r="B3315" s="148"/>
      <c r="C3315" s="148"/>
      <c r="D3315" s="138"/>
      <c r="E3315" s="138"/>
      <c r="F3315" s="50">
        <v>43647</v>
      </c>
      <c r="G3315" s="50">
        <v>43830</v>
      </c>
      <c r="H3315" s="150"/>
      <c r="I3315" s="15" t="s">
        <v>23</v>
      </c>
      <c r="J3315" s="15" t="s">
        <v>23</v>
      </c>
      <c r="K3315" s="13">
        <v>27.24</v>
      </c>
      <c r="L3315" s="13">
        <v>1849.45</v>
      </c>
      <c r="M3315" s="198"/>
    </row>
    <row r="3316" spans="1:20" ht="15" customHeight="1" outlineLevel="1" x14ac:dyDescent="0.25">
      <c r="A3316" s="148"/>
      <c r="B3316" s="148"/>
      <c r="C3316" s="148"/>
      <c r="D3316" s="138"/>
      <c r="E3316" s="138"/>
      <c r="F3316" s="50">
        <v>43466</v>
      </c>
      <c r="G3316" s="50">
        <v>43646</v>
      </c>
      <c r="H3316" s="150"/>
      <c r="I3316" s="15" t="s">
        <v>23</v>
      </c>
      <c r="J3316" s="15" t="s">
        <v>23</v>
      </c>
      <c r="K3316" s="13">
        <v>26.71</v>
      </c>
      <c r="L3316" s="13">
        <v>1944.58</v>
      </c>
      <c r="M3316" s="196" t="s">
        <v>423</v>
      </c>
    </row>
    <row r="3317" spans="1:20" ht="15" customHeight="1" outlineLevel="1" x14ac:dyDescent="0.25">
      <c r="A3317" s="148"/>
      <c r="B3317" s="148"/>
      <c r="C3317" s="148"/>
      <c r="D3317" s="138"/>
      <c r="E3317" s="138"/>
      <c r="F3317" s="50">
        <v>43647</v>
      </c>
      <c r="G3317" s="50">
        <v>43830</v>
      </c>
      <c r="H3317" s="150"/>
      <c r="I3317" s="15" t="s">
        <v>23</v>
      </c>
      <c r="J3317" s="15" t="s">
        <v>23</v>
      </c>
      <c r="K3317" s="13">
        <v>27.24</v>
      </c>
      <c r="L3317" s="13">
        <v>1983.47</v>
      </c>
      <c r="M3317" s="198"/>
    </row>
    <row r="3318" spans="1:20" ht="15" customHeight="1" outlineLevel="1" x14ac:dyDescent="0.25">
      <c r="A3318" s="148"/>
      <c r="B3318" s="148"/>
      <c r="C3318" s="148"/>
      <c r="D3318" s="138"/>
      <c r="E3318" s="138"/>
      <c r="F3318" s="50">
        <v>43466</v>
      </c>
      <c r="G3318" s="50">
        <v>43646</v>
      </c>
      <c r="H3318" s="150"/>
      <c r="I3318" s="15" t="s">
        <v>23</v>
      </c>
      <c r="J3318" s="15" t="s">
        <v>23</v>
      </c>
      <c r="K3318" s="13">
        <v>26.71</v>
      </c>
      <c r="L3318" s="13">
        <v>2032.97</v>
      </c>
      <c r="M3318" s="196" t="s">
        <v>424</v>
      </c>
    </row>
    <row r="3319" spans="1:20" ht="15" customHeight="1" outlineLevel="1" x14ac:dyDescent="0.25">
      <c r="A3319" s="148"/>
      <c r="B3319" s="148"/>
      <c r="C3319" s="148"/>
      <c r="D3319" s="138"/>
      <c r="E3319" s="138"/>
      <c r="F3319" s="50">
        <v>43647</v>
      </c>
      <c r="G3319" s="50">
        <v>43830</v>
      </c>
      <c r="H3319" s="150"/>
      <c r="I3319" s="15" t="s">
        <v>23</v>
      </c>
      <c r="J3319" s="15" t="s">
        <v>23</v>
      </c>
      <c r="K3319" s="13">
        <v>27.24</v>
      </c>
      <c r="L3319" s="13">
        <v>2073.63</v>
      </c>
      <c r="M3319" s="198"/>
    </row>
    <row r="3320" spans="1:20" ht="15" customHeight="1" outlineLevel="1" x14ac:dyDescent="0.25">
      <c r="A3320" s="148"/>
      <c r="B3320" s="148"/>
      <c r="C3320" s="148"/>
      <c r="D3320" s="138"/>
      <c r="E3320" s="138"/>
      <c r="F3320" s="50">
        <v>43466</v>
      </c>
      <c r="G3320" s="50">
        <v>43646</v>
      </c>
      <c r="H3320" s="150"/>
      <c r="I3320" s="15" t="s">
        <v>23</v>
      </c>
      <c r="J3320" s="15" t="s">
        <v>23</v>
      </c>
      <c r="K3320" s="13">
        <v>26.71</v>
      </c>
      <c r="L3320" s="13">
        <v>2199.61</v>
      </c>
      <c r="M3320" s="196" t="s">
        <v>425</v>
      </c>
    </row>
    <row r="3321" spans="1:20" ht="15" customHeight="1" outlineLevel="1" x14ac:dyDescent="0.25">
      <c r="A3321" s="148"/>
      <c r="B3321" s="148"/>
      <c r="C3321" s="148"/>
      <c r="D3321" s="138"/>
      <c r="E3321" s="138"/>
      <c r="F3321" s="50">
        <v>43647</v>
      </c>
      <c r="G3321" s="50">
        <v>43830</v>
      </c>
      <c r="H3321" s="150"/>
      <c r="I3321" s="15" t="s">
        <v>23</v>
      </c>
      <c r="J3321" s="15" t="s">
        <v>23</v>
      </c>
      <c r="K3321" s="13">
        <v>27.24</v>
      </c>
      <c r="L3321" s="13">
        <v>2243.6</v>
      </c>
      <c r="M3321" s="198"/>
    </row>
    <row r="3322" spans="1:20" ht="15" customHeight="1" outlineLevel="1" x14ac:dyDescent="0.25">
      <c r="A3322" s="148"/>
      <c r="B3322" s="148"/>
      <c r="C3322" s="148"/>
      <c r="D3322" s="138"/>
      <c r="E3322" s="138"/>
      <c r="F3322" s="50">
        <v>43466</v>
      </c>
      <c r="G3322" s="50">
        <v>43646</v>
      </c>
      <c r="H3322" s="150"/>
      <c r="I3322" s="15" t="s">
        <v>23</v>
      </c>
      <c r="J3322" s="15" t="s">
        <v>23</v>
      </c>
      <c r="K3322" s="13">
        <v>26.71</v>
      </c>
      <c r="L3322" s="13">
        <v>1863.56</v>
      </c>
      <c r="M3322" s="196" t="s">
        <v>426</v>
      </c>
    </row>
    <row r="3323" spans="1:20" s="10" customFormat="1" ht="28.5" customHeight="1" x14ac:dyDescent="0.25">
      <c r="A3323" s="148"/>
      <c r="B3323" s="148"/>
      <c r="C3323" s="148"/>
      <c r="D3323" s="138"/>
      <c r="E3323" s="138"/>
      <c r="F3323" s="50">
        <v>43647</v>
      </c>
      <c r="G3323" s="50">
        <v>43830</v>
      </c>
      <c r="H3323" s="150"/>
      <c r="I3323" s="15" t="s">
        <v>23</v>
      </c>
      <c r="J3323" s="15" t="s">
        <v>23</v>
      </c>
      <c r="K3323" s="13">
        <v>27.24</v>
      </c>
      <c r="L3323" s="13">
        <v>1900.83</v>
      </c>
      <c r="M3323" s="198"/>
      <c r="N3323" s="69"/>
      <c r="O3323" s="11"/>
      <c r="Q3323" s="64"/>
      <c r="R3323" s="64"/>
      <c r="S3323" s="65"/>
      <c r="T3323" s="11"/>
    </row>
    <row r="3324" spans="1:20" ht="15" customHeight="1" outlineLevel="1" x14ac:dyDescent="0.25">
      <c r="A3324" s="148"/>
      <c r="B3324" s="148"/>
      <c r="C3324" s="148"/>
      <c r="D3324" s="138"/>
      <c r="E3324" s="138"/>
      <c r="F3324" s="50">
        <v>43466</v>
      </c>
      <c r="G3324" s="50">
        <v>43646</v>
      </c>
      <c r="H3324" s="150"/>
      <c r="I3324" s="15" t="s">
        <v>23</v>
      </c>
      <c r="J3324" s="15" t="s">
        <v>23</v>
      </c>
      <c r="K3324" s="13">
        <v>26.71</v>
      </c>
      <c r="L3324" s="13">
        <v>2032.97</v>
      </c>
      <c r="M3324" s="196" t="s">
        <v>427</v>
      </c>
    </row>
    <row r="3325" spans="1:20" ht="15" customHeight="1" outlineLevel="1" x14ac:dyDescent="0.25">
      <c r="A3325" s="147"/>
      <c r="B3325" s="147"/>
      <c r="C3325" s="147"/>
      <c r="D3325" s="141"/>
      <c r="E3325" s="141"/>
      <c r="F3325" s="50">
        <v>43647</v>
      </c>
      <c r="G3325" s="50">
        <v>43830</v>
      </c>
      <c r="H3325" s="151"/>
      <c r="I3325" s="15" t="s">
        <v>23</v>
      </c>
      <c r="J3325" s="15" t="s">
        <v>23</v>
      </c>
      <c r="K3325" s="13">
        <v>27.24</v>
      </c>
      <c r="L3325" s="13">
        <v>2073.63</v>
      </c>
      <c r="M3325" s="198"/>
    </row>
    <row r="3326" spans="1:20" ht="15" customHeight="1" outlineLevel="1" x14ac:dyDescent="0.25">
      <c r="A3326" s="146" t="s">
        <v>53</v>
      </c>
      <c r="B3326" s="146" t="s">
        <v>539</v>
      </c>
      <c r="C3326" s="146" t="s">
        <v>502</v>
      </c>
      <c r="D3326" s="137">
        <v>43451</v>
      </c>
      <c r="E3326" s="137" t="s">
        <v>667</v>
      </c>
      <c r="F3326" s="12">
        <v>43466</v>
      </c>
      <c r="G3326" s="12">
        <v>43646</v>
      </c>
      <c r="H3326" s="149" t="s">
        <v>668</v>
      </c>
      <c r="I3326" s="66">
        <v>44.69</v>
      </c>
      <c r="J3326" s="13">
        <v>3267.95</v>
      </c>
      <c r="K3326" s="15" t="s">
        <v>23</v>
      </c>
      <c r="L3326" s="15" t="s">
        <v>23</v>
      </c>
      <c r="M3326" s="153" t="s">
        <v>69</v>
      </c>
    </row>
    <row r="3327" spans="1:20" ht="15" customHeight="1" outlineLevel="1" x14ac:dyDescent="0.25">
      <c r="A3327" s="148"/>
      <c r="B3327" s="148"/>
      <c r="C3327" s="148"/>
      <c r="D3327" s="141"/>
      <c r="E3327" s="141"/>
      <c r="F3327" s="12">
        <v>43647</v>
      </c>
      <c r="G3327" s="12">
        <v>43830</v>
      </c>
      <c r="H3327" s="151"/>
      <c r="I3327" s="66">
        <v>62.24</v>
      </c>
      <c r="J3327" s="13">
        <v>3267.95</v>
      </c>
      <c r="K3327" s="15" t="s">
        <v>23</v>
      </c>
      <c r="L3327" s="15" t="s">
        <v>23</v>
      </c>
      <c r="M3327" s="152"/>
    </row>
    <row r="3328" spans="1:20" ht="15" customHeight="1" outlineLevel="1" x14ac:dyDescent="0.25">
      <c r="A3328" s="148"/>
      <c r="B3328" s="148"/>
      <c r="C3328" s="148"/>
      <c r="D3328" s="137">
        <v>43454</v>
      </c>
      <c r="E3328" s="137" t="s">
        <v>654</v>
      </c>
      <c r="F3328" s="50">
        <v>43466</v>
      </c>
      <c r="G3328" s="50">
        <v>43646</v>
      </c>
      <c r="H3328" s="149"/>
      <c r="I3328" s="15" t="s">
        <v>23</v>
      </c>
      <c r="J3328" s="15" t="s">
        <v>23</v>
      </c>
      <c r="K3328" s="13">
        <v>40.200000000000003</v>
      </c>
      <c r="L3328" s="13">
        <v>1682.32</v>
      </c>
      <c r="M3328" s="196" t="s">
        <v>420</v>
      </c>
    </row>
    <row r="3329" spans="1:18" ht="15" customHeight="1" outlineLevel="1" x14ac:dyDescent="0.25">
      <c r="A3329" s="148"/>
      <c r="B3329" s="148"/>
      <c r="C3329" s="148"/>
      <c r="D3329" s="138"/>
      <c r="E3329" s="138"/>
      <c r="F3329" s="50">
        <v>43647</v>
      </c>
      <c r="G3329" s="50">
        <v>43830</v>
      </c>
      <c r="H3329" s="150"/>
      <c r="I3329" s="15" t="s">
        <v>23</v>
      </c>
      <c r="J3329" s="15" t="s">
        <v>23</v>
      </c>
      <c r="K3329" s="13">
        <v>41</v>
      </c>
      <c r="L3329" s="13">
        <v>1715.97</v>
      </c>
      <c r="M3329" s="198"/>
    </row>
    <row r="3330" spans="1:18" ht="15" customHeight="1" outlineLevel="1" x14ac:dyDescent="0.25">
      <c r="A3330" s="148"/>
      <c r="B3330" s="148"/>
      <c r="C3330" s="148"/>
      <c r="D3330" s="138"/>
      <c r="E3330" s="138"/>
      <c r="F3330" s="50">
        <v>43466</v>
      </c>
      <c r="G3330" s="50">
        <v>43646</v>
      </c>
      <c r="H3330" s="150"/>
      <c r="I3330" s="15" t="s">
        <v>23</v>
      </c>
      <c r="J3330" s="15" t="s">
        <v>23</v>
      </c>
      <c r="K3330" s="13">
        <v>40.200000000000003</v>
      </c>
      <c r="L3330" s="13">
        <v>1842.54</v>
      </c>
      <c r="M3330" s="196" t="s">
        <v>421</v>
      </c>
    </row>
    <row r="3331" spans="1:18" ht="15" customHeight="1" outlineLevel="1" x14ac:dyDescent="0.25">
      <c r="A3331" s="148"/>
      <c r="B3331" s="148"/>
      <c r="C3331" s="148"/>
      <c r="D3331" s="138"/>
      <c r="E3331" s="138"/>
      <c r="F3331" s="50">
        <v>43647</v>
      </c>
      <c r="G3331" s="50">
        <v>43830</v>
      </c>
      <c r="H3331" s="150"/>
      <c r="I3331" s="15" t="s">
        <v>23</v>
      </c>
      <c r="J3331" s="15" t="s">
        <v>23</v>
      </c>
      <c r="K3331" s="13">
        <v>41</v>
      </c>
      <c r="L3331" s="13">
        <v>1879.39</v>
      </c>
      <c r="M3331" s="198"/>
    </row>
    <row r="3332" spans="1:18" ht="15" customHeight="1" outlineLevel="1" x14ac:dyDescent="0.25">
      <c r="A3332" s="148"/>
      <c r="B3332" s="148"/>
      <c r="C3332" s="148"/>
      <c r="D3332" s="138"/>
      <c r="E3332" s="138"/>
      <c r="F3332" s="50">
        <v>43466</v>
      </c>
      <c r="G3332" s="50">
        <v>43646</v>
      </c>
      <c r="H3332" s="150"/>
      <c r="I3332" s="15" t="s">
        <v>23</v>
      </c>
      <c r="J3332" s="15" t="s">
        <v>23</v>
      </c>
      <c r="K3332" s="13">
        <v>40.200000000000003</v>
      </c>
      <c r="L3332" s="13">
        <v>1568.65</v>
      </c>
      <c r="M3332" s="196" t="s">
        <v>422</v>
      </c>
    </row>
    <row r="3333" spans="1:18" ht="15" customHeight="1" outlineLevel="1" x14ac:dyDescent="0.25">
      <c r="A3333" s="148"/>
      <c r="B3333" s="148"/>
      <c r="C3333" s="148"/>
      <c r="D3333" s="138"/>
      <c r="E3333" s="138"/>
      <c r="F3333" s="50">
        <v>43647</v>
      </c>
      <c r="G3333" s="50">
        <v>43830</v>
      </c>
      <c r="H3333" s="150"/>
      <c r="I3333" s="15" t="s">
        <v>23</v>
      </c>
      <c r="J3333" s="15" t="s">
        <v>23</v>
      </c>
      <c r="K3333" s="13">
        <v>41</v>
      </c>
      <c r="L3333" s="13">
        <v>1600.02</v>
      </c>
      <c r="M3333" s="198"/>
    </row>
    <row r="3334" spans="1:18" ht="15" customHeight="1" outlineLevel="1" x14ac:dyDescent="0.25">
      <c r="A3334" s="148"/>
      <c r="B3334" s="148"/>
      <c r="C3334" s="148"/>
      <c r="D3334" s="138"/>
      <c r="E3334" s="138"/>
      <c r="F3334" s="50">
        <v>43466</v>
      </c>
      <c r="G3334" s="50">
        <v>43646</v>
      </c>
      <c r="H3334" s="150"/>
      <c r="I3334" s="15" t="s">
        <v>23</v>
      </c>
      <c r="J3334" s="15" t="s">
        <v>23</v>
      </c>
      <c r="K3334" s="13">
        <v>40.200000000000003</v>
      </c>
      <c r="L3334" s="13">
        <v>1682.32</v>
      </c>
      <c r="M3334" s="196" t="s">
        <v>423</v>
      </c>
    </row>
    <row r="3335" spans="1:18" ht="15" customHeight="1" outlineLevel="1" x14ac:dyDescent="0.25">
      <c r="A3335" s="148"/>
      <c r="B3335" s="148"/>
      <c r="C3335" s="148"/>
      <c r="D3335" s="138"/>
      <c r="E3335" s="138"/>
      <c r="F3335" s="50">
        <v>43647</v>
      </c>
      <c r="G3335" s="50">
        <v>43830</v>
      </c>
      <c r="H3335" s="150"/>
      <c r="I3335" s="15" t="s">
        <v>23</v>
      </c>
      <c r="J3335" s="15" t="s">
        <v>23</v>
      </c>
      <c r="K3335" s="13">
        <v>41</v>
      </c>
      <c r="L3335" s="13">
        <v>1715.97</v>
      </c>
      <c r="M3335" s="198"/>
    </row>
    <row r="3336" spans="1:18" ht="15" customHeight="1" outlineLevel="1" x14ac:dyDescent="0.25">
      <c r="A3336" s="148"/>
      <c r="B3336" s="148"/>
      <c r="C3336" s="148"/>
      <c r="D3336" s="138"/>
      <c r="E3336" s="138"/>
      <c r="F3336" s="50">
        <v>43466</v>
      </c>
      <c r="G3336" s="50">
        <v>43646</v>
      </c>
      <c r="H3336" s="150"/>
      <c r="I3336" s="15" t="s">
        <v>23</v>
      </c>
      <c r="J3336" s="15" t="s">
        <v>23</v>
      </c>
      <c r="K3336" s="13">
        <v>40.200000000000003</v>
      </c>
      <c r="L3336" s="13">
        <v>1758.79</v>
      </c>
      <c r="M3336" s="196" t="s">
        <v>424</v>
      </c>
    </row>
    <row r="3337" spans="1:18" ht="15" customHeight="1" outlineLevel="1" x14ac:dyDescent="0.25">
      <c r="A3337" s="148"/>
      <c r="B3337" s="148"/>
      <c r="C3337" s="148"/>
      <c r="D3337" s="138"/>
      <c r="E3337" s="138"/>
      <c r="F3337" s="50">
        <v>43647</v>
      </c>
      <c r="G3337" s="50">
        <v>43830</v>
      </c>
      <c r="H3337" s="150"/>
      <c r="I3337" s="15" t="s">
        <v>23</v>
      </c>
      <c r="J3337" s="15" t="s">
        <v>23</v>
      </c>
      <c r="K3337" s="13">
        <v>41</v>
      </c>
      <c r="L3337" s="13">
        <v>1793.97</v>
      </c>
      <c r="M3337" s="198"/>
    </row>
    <row r="3338" spans="1:18" ht="15" customHeight="1" outlineLevel="1" x14ac:dyDescent="0.25">
      <c r="A3338" s="148"/>
      <c r="B3338" s="148"/>
      <c r="C3338" s="148"/>
      <c r="D3338" s="138"/>
      <c r="E3338" s="138"/>
      <c r="F3338" s="50">
        <v>43466</v>
      </c>
      <c r="G3338" s="50">
        <v>43646</v>
      </c>
      <c r="H3338" s="150"/>
      <c r="I3338" s="15" t="s">
        <v>23</v>
      </c>
      <c r="J3338" s="15" t="s">
        <v>23</v>
      </c>
      <c r="K3338" s="13">
        <v>40.200000000000003</v>
      </c>
      <c r="L3338" s="13">
        <v>1902.95</v>
      </c>
      <c r="M3338" s="196" t="s">
        <v>425</v>
      </c>
    </row>
    <row r="3339" spans="1:18" ht="15" customHeight="1" outlineLevel="1" x14ac:dyDescent="0.25">
      <c r="A3339" s="148"/>
      <c r="B3339" s="148"/>
      <c r="C3339" s="148"/>
      <c r="D3339" s="138"/>
      <c r="E3339" s="138"/>
      <c r="F3339" s="50">
        <v>43647</v>
      </c>
      <c r="G3339" s="50">
        <v>43830</v>
      </c>
      <c r="H3339" s="150"/>
      <c r="I3339" s="15" t="s">
        <v>23</v>
      </c>
      <c r="J3339" s="15" t="s">
        <v>23</v>
      </c>
      <c r="K3339" s="13">
        <v>41</v>
      </c>
      <c r="L3339" s="13">
        <v>1941.01</v>
      </c>
      <c r="M3339" s="198"/>
    </row>
    <row r="3340" spans="1:18" ht="15" customHeight="1" outlineLevel="1" x14ac:dyDescent="0.25">
      <c r="A3340" s="148"/>
      <c r="B3340" s="148"/>
      <c r="C3340" s="148"/>
      <c r="D3340" s="138"/>
      <c r="E3340" s="138"/>
      <c r="F3340" s="50">
        <v>43466</v>
      </c>
      <c r="G3340" s="50">
        <v>43646</v>
      </c>
      <c r="H3340" s="150"/>
      <c r="I3340" s="15" t="s">
        <v>23</v>
      </c>
      <c r="J3340" s="15" t="s">
        <v>23</v>
      </c>
      <c r="K3340" s="13">
        <v>40.200000000000003</v>
      </c>
      <c r="L3340" s="13">
        <v>1612.22</v>
      </c>
      <c r="M3340" s="196" t="s">
        <v>426</v>
      </c>
      <c r="N3340" s="55">
        <f>I3326-K3340</f>
        <v>4.4899999999999949</v>
      </c>
      <c r="O3340" s="55">
        <f>J3326-L3340</f>
        <v>1655.7299999999998</v>
      </c>
      <c r="P3340" s="56">
        <f>N3340*1226.708</f>
        <v>5507.9189199999937</v>
      </c>
      <c r="Q3340" s="57">
        <f>O3340*88.322</f>
        <v>146237.38506</v>
      </c>
      <c r="R3340" s="57">
        <f>P3340+Q3340</f>
        <v>151745.30398</v>
      </c>
    </row>
    <row r="3341" spans="1:18" ht="15" customHeight="1" outlineLevel="1" x14ac:dyDescent="0.25">
      <c r="A3341" s="148"/>
      <c r="B3341" s="148"/>
      <c r="C3341" s="148"/>
      <c r="D3341" s="138"/>
      <c r="E3341" s="138"/>
      <c r="F3341" s="50">
        <v>43647</v>
      </c>
      <c r="G3341" s="50">
        <v>43830</v>
      </c>
      <c r="H3341" s="150"/>
      <c r="I3341" s="15" t="s">
        <v>23</v>
      </c>
      <c r="J3341" s="15" t="s">
        <v>23</v>
      </c>
      <c r="K3341" s="13">
        <v>41</v>
      </c>
      <c r="L3341" s="13">
        <v>1644.46</v>
      </c>
      <c r="M3341" s="198"/>
    </row>
    <row r="3342" spans="1:18" ht="15" customHeight="1" outlineLevel="1" x14ac:dyDescent="0.25">
      <c r="A3342" s="148"/>
      <c r="B3342" s="148"/>
      <c r="C3342" s="148"/>
      <c r="D3342" s="138"/>
      <c r="E3342" s="138"/>
      <c r="F3342" s="50">
        <v>43466</v>
      </c>
      <c r="G3342" s="50">
        <v>43646</v>
      </c>
      <c r="H3342" s="150"/>
      <c r="I3342" s="15" t="s">
        <v>23</v>
      </c>
      <c r="J3342" s="15" t="s">
        <v>23</v>
      </c>
      <c r="K3342" s="13">
        <v>40.200000000000003</v>
      </c>
      <c r="L3342" s="13">
        <v>1758.79</v>
      </c>
      <c r="M3342" s="196" t="s">
        <v>427</v>
      </c>
      <c r="N3342" s="55">
        <f>I3326-K3342</f>
        <v>4.4899999999999949</v>
      </c>
      <c r="O3342" s="55">
        <f>J3326-L3342</f>
        <v>1509.1599999999999</v>
      </c>
      <c r="P3342" s="56">
        <f>N3342*540.049</f>
        <v>2424.8200099999972</v>
      </c>
      <c r="Q3342" s="57">
        <f>O3342*35.641</f>
        <v>53787.971559999991</v>
      </c>
      <c r="R3342" s="57">
        <f>P3342+Q3342</f>
        <v>56212.791569999987</v>
      </c>
    </row>
    <row r="3343" spans="1:18" ht="15" customHeight="1" outlineLevel="1" x14ac:dyDescent="0.25">
      <c r="A3343" s="147"/>
      <c r="B3343" s="147"/>
      <c r="C3343" s="147"/>
      <c r="D3343" s="141"/>
      <c r="E3343" s="141"/>
      <c r="F3343" s="50">
        <v>43647</v>
      </c>
      <c r="G3343" s="50">
        <v>43830</v>
      </c>
      <c r="H3343" s="151"/>
      <c r="I3343" s="15" t="s">
        <v>23</v>
      </c>
      <c r="J3343" s="15" t="s">
        <v>23</v>
      </c>
      <c r="K3343" s="13">
        <v>41</v>
      </c>
      <c r="L3343" s="13">
        <v>1793.97</v>
      </c>
      <c r="M3343" s="198"/>
    </row>
    <row r="3344" spans="1:18" ht="15" customHeight="1" outlineLevel="1" x14ac:dyDescent="0.25">
      <c r="A3344" s="146" t="s">
        <v>53</v>
      </c>
      <c r="B3344" s="146" t="s">
        <v>595</v>
      </c>
      <c r="C3344" s="146" t="s">
        <v>503</v>
      </c>
      <c r="D3344" s="137">
        <v>43451</v>
      </c>
      <c r="E3344" s="137" t="s">
        <v>666</v>
      </c>
      <c r="F3344" s="12">
        <v>43466</v>
      </c>
      <c r="G3344" s="12">
        <v>43646</v>
      </c>
      <c r="H3344" s="149"/>
      <c r="I3344" s="66">
        <v>46.14</v>
      </c>
      <c r="J3344" s="13">
        <v>4375.71</v>
      </c>
      <c r="K3344" s="15" t="s">
        <v>23</v>
      </c>
      <c r="L3344" s="15" t="s">
        <v>23</v>
      </c>
      <c r="M3344" s="153" t="s">
        <v>69</v>
      </c>
    </row>
    <row r="3345" spans="1:20" ht="15" customHeight="1" outlineLevel="1" x14ac:dyDescent="0.25">
      <c r="A3345" s="148"/>
      <c r="B3345" s="148"/>
      <c r="C3345" s="148"/>
      <c r="D3345" s="141"/>
      <c r="E3345" s="141"/>
      <c r="F3345" s="12">
        <v>43647</v>
      </c>
      <c r="G3345" s="12">
        <v>43830</v>
      </c>
      <c r="H3345" s="151"/>
      <c r="I3345" s="66">
        <v>67.61</v>
      </c>
      <c r="J3345" s="13">
        <v>4675.57</v>
      </c>
      <c r="K3345" s="15" t="s">
        <v>23</v>
      </c>
      <c r="L3345" s="15" t="s">
        <v>23</v>
      </c>
      <c r="M3345" s="152"/>
    </row>
    <row r="3346" spans="1:20" s="10" customFormat="1" ht="28.5" customHeight="1" x14ac:dyDescent="0.25">
      <c r="A3346" s="148"/>
      <c r="B3346" s="148"/>
      <c r="C3346" s="148"/>
      <c r="D3346" s="137">
        <v>43454</v>
      </c>
      <c r="E3346" s="137" t="s">
        <v>654</v>
      </c>
      <c r="F3346" s="50">
        <v>43466</v>
      </c>
      <c r="G3346" s="50">
        <v>43646</v>
      </c>
      <c r="H3346" s="149"/>
      <c r="I3346" s="15" t="s">
        <v>23</v>
      </c>
      <c r="J3346" s="15" t="s">
        <v>23</v>
      </c>
      <c r="K3346" s="13">
        <v>40.200000000000003</v>
      </c>
      <c r="L3346" s="13">
        <v>1682.32</v>
      </c>
      <c r="M3346" s="196" t="s">
        <v>420</v>
      </c>
      <c r="N3346" s="69"/>
      <c r="O3346" s="11"/>
      <c r="Q3346" s="64"/>
      <c r="R3346" s="64"/>
      <c r="S3346" s="65"/>
      <c r="T3346" s="11"/>
    </row>
    <row r="3347" spans="1:20" ht="15" customHeight="1" outlineLevel="1" x14ac:dyDescent="0.25">
      <c r="A3347" s="148"/>
      <c r="B3347" s="148"/>
      <c r="C3347" s="148"/>
      <c r="D3347" s="138"/>
      <c r="E3347" s="138"/>
      <c r="F3347" s="50">
        <v>43647</v>
      </c>
      <c r="G3347" s="50">
        <v>43830</v>
      </c>
      <c r="H3347" s="150"/>
      <c r="I3347" s="15" t="s">
        <v>23</v>
      </c>
      <c r="J3347" s="15" t="s">
        <v>23</v>
      </c>
      <c r="K3347" s="13">
        <v>41</v>
      </c>
      <c r="L3347" s="13">
        <v>1715.97</v>
      </c>
      <c r="M3347" s="198"/>
    </row>
    <row r="3348" spans="1:20" ht="15" customHeight="1" outlineLevel="1" x14ac:dyDescent="0.25">
      <c r="A3348" s="148"/>
      <c r="B3348" s="148"/>
      <c r="C3348" s="148"/>
      <c r="D3348" s="138"/>
      <c r="E3348" s="138"/>
      <c r="F3348" s="50">
        <v>43466</v>
      </c>
      <c r="G3348" s="50">
        <v>43646</v>
      </c>
      <c r="H3348" s="150"/>
      <c r="I3348" s="15" t="s">
        <v>23</v>
      </c>
      <c r="J3348" s="15" t="s">
        <v>23</v>
      </c>
      <c r="K3348" s="13">
        <v>40.200000000000003</v>
      </c>
      <c r="L3348" s="13">
        <v>1842.54</v>
      </c>
      <c r="M3348" s="196" t="s">
        <v>421</v>
      </c>
    </row>
    <row r="3349" spans="1:20" ht="15" customHeight="1" outlineLevel="1" x14ac:dyDescent="0.25">
      <c r="A3349" s="148"/>
      <c r="B3349" s="148"/>
      <c r="C3349" s="148"/>
      <c r="D3349" s="138"/>
      <c r="E3349" s="138"/>
      <c r="F3349" s="50">
        <v>43647</v>
      </c>
      <c r="G3349" s="50">
        <v>43830</v>
      </c>
      <c r="H3349" s="150"/>
      <c r="I3349" s="15" t="s">
        <v>23</v>
      </c>
      <c r="J3349" s="15" t="s">
        <v>23</v>
      </c>
      <c r="K3349" s="13">
        <v>41</v>
      </c>
      <c r="L3349" s="13">
        <v>1879.39</v>
      </c>
      <c r="M3349" s="198"/>
    </row>
    <row r="3350" spans="1:20" ht="15" customHeight="1" outlineLevel="1" x14ac:dyDescent="0.25">
      <c r="A3350" s="148"/>
      <c r="B3350" s="148"/>
      <c r="C3350" s="148"/>
      <c r="D3350" s="138"/>
      <c r="E3350" s="138"/>
      <c r="F3350" s="50">
        <v>43466</v>
      </c>
      <c r="G3350" s="50">
        <v>43646</v>
      </c>
      <c r="H3350" s="150"/>
      <c r="I3350" s="15" t="s">
        <v>23</v>
      </c>
      <c r="J3350" s="15" t="s">
        <v>23</v>
      </c>
      <c r="K3350" s="13">
        <v>40.200000000000003</v>
      </c>
      <c r="L3350" s="13">
        <v>1568.65</v>
      </c>
      <c r="M3350" s="196" t="s">
        <v>422</v>
      </c>
    </row>
    <row r="3351" spans="1:20" ht="15" customHeight="1" outlineLevel="1" x14ac:dyDescent="0.25">
      <c r="A3351" s="148"/>
      <c r="B3351" s="148"/>
      <c r="C3351" s="148"/>
      <c r="D3351" s="138"/>
      <c r="E3351" s="138"/>
      <c r="F3351" s="50">
        <v>43647</v>
      </c>
      <c r="G3351" s="50">
        <v>43830</v>
      </c>
      <c r="H3351" s="150"/>
      <c r="I3351" s="15" t="s">
        <v>23</v>
      </c>
      <c r="J3351" s="15" t="s">
        <v>23</v>
      </c>
      <c r="K3351" s="13">
        <v>41</v>
      </c>
      <c r="L3351" s="13">
        <v>1600.02</v>
      </c>
      <c r="M3351" s="198"/>
    </row>
    <row r="3352" spans="1:20" ht="15" customHeight="1" outlineLevel="1" x14ac:dyDescent="0.25">
      <c r="A3352" s="148"/>
      <c r="B3352" s="148"/>
      <c r="C3352" s="148"/>
      <c r="D3352" s="138"/>
      <c r="E3352" s="138"/>
      <c r="F3352" s="50">
        <v>43466</v>
      </c>
      <c r="G3352" s="50">
        <v>43646</v>
      </c>
      <c r="H3352" s="150"/>
      <c r="I3352" s="15" t="s">
        <v>23</v>
      </c>
      <c r="J3352" s="15" t="s">
        <v>23</v>
      </c>
      <c r="K3352" s="13">
        <v>40.200000000000003</v>
      </c>
      <c r="L3352" s="13">
        <v>1682.32</v>
      </c>
      <c r="M3352" s="196" t="s">
        <v>423</v>
      </c>
    </row>
    <row r="3353" spans="1:20" ht="15" customHeight="1" outlineLevel="1" x14ac:dyDescent="0.25">
      <c r="A3353" s="148"/>
      <c r="B3353" s="148"/>
      <c r="C3353" s="148"/>
      <c r="D3353" s="138"/>
      <c r="E3353" s="138"/>
      <c r="F3353" s="50">
        <v>43647</v>
      </c>
      <c r="G3353" s="50">
        <v>43830</v>
      </c>
      <c r="H3353" s="150"/>
      <c r="I3353" s="15" t="s">
        <v>23</v>
      </c>
      <c r="J3353" s="15" t="s">
        <v>23</v>
      </c>
      <c r="K3353" s="13">
        <v>41</v>
      </c>
      <c r="L3353" s="13">
        <v>1715.97</v>
      </c>
      <c r="M3353" s="198"/>
    </row>
    <row r="3354" spans="1:20" ht="15" customHeight="1" outlineLevel="1" x14ac:dyDescent="0.25">
      <c r="A3354" s="148"/>
      <c r="B3354" s="148"/>
      <c r="C3354" s="148"/>
      <c r="D3354" s="138"/>
      <c r="E3354" s="138"/>
      <c r="F3354" s="50">
        <v>43466</v>
      </c>
      <c r="G3354" s="50">
        <v>43646</v>
      </c>
      <c r="H3354" s="150"/>
      <c r="I3354" s="15" t="s">
        <v>23</v>
      </c>
      <c r="J3354" s="15" t="s">
        <v>23</v>
      </c>
      <c r="K3354" s="13">
        <v>40.200000000000003</v>
      </c>
      <c r="L3354" s="13">
        <v>1758.79</v>
      </c>
      <c r="M3354" s="196" t="s">
        <v>424</v>
      </c>
    </row>
    <row r="3355" spans="1:20" ht="15" customHeight="1" outlineLevel="1" x14ac:dyDescent="0.25">
      <c r="A3355" s="148"/>
      <c r="B3355" s="148"/>
      <c r="C3355" s="148"/>
      <c r="D3355" s="138"/>
      <c r="E3355" s="138"/>
      <c r="F3355" s="50">
        <v>43647</v>
      </c>
      <c r="G3355" s="50">
        <v>43830</v>
      </c>
      <c r="H3355" s="150"/>
      <c r="I3355" s="15" t="s">
        <v>23</v>
      </c>
      <c r="J3355" s="15" t="s">
        <v>23</v>
      </c>
      <c r="K3355" s="13">
        <v>41</v>
      </c>
      <c r="L3355" s="13">
        <v>1793.97</v>
      </c>
      <c r="M3355" s="198"/>
    </row>
    <row r="3356" spans="1:20" ht="15" customHeight="1" outlineLevel="1" x14ac:dyDescent="0.25">
      <c r="A3356" s="148"/>
      <c r="B3356" s="148"/>
      <c r="C3356" s="148"/>
      <c r="D3356" s="138"/>
      <c r="E3356" s="138"/>
      <c r="F3356" s="50">
        <v>43466</v>
      </c>
      <c r="G3356" s="50">
        <v>43646</v>
      </c>
      <c r="H3356" s="150"/>
      <c r="I3356" s="15" t="s">
        <v>23</v>
      </c>
      <c r="J3356" s="15" t="s">
        <v>23</v>
      </c>
      <c r="K3356" s="13">
        <v>40.200000000000003</v>
      </c>
      <c r="L3356" s="13">
        <v>1902.95</v>
      </c>
      <c r="M3356" s="196" t="s">
        <v>425</v>
      </c>
    </row>
    <row r="3357" spans="1:20" ht="15" customHeight="1" outlineLevel="1" x14ac:dyDescent="0.25">
      <c r="A3357" s="148"/>
      <c r="B3357" s="148"/>
      <c r="C3357" s="148"/>
      <c r="D3357" s="138"/>
      <c r="E3357" s="138"/>
      <c r="F3357" s="50">
        <v>43647</v>
      </c>
      <c r="G3357" s="50">
        <v>43830</v>
      </c>
      <c r="H3357" s="150"/>
      <c r="I3357" s="15" t="s">
        <v>23</v>
      </c>
      <c r="J3357" s="15" t="s">
        <v>23</v>
      </c>
      <c r="K3357" s="13">
        <v>41</v>
      </c>
      <c r="L3357" s="13">
        <v>1941.01</v>
      </c>
      <c r="M3357" s="198"/>
    </row>
    <row r="3358" spans="1:20" ht="15" customHeight="1" outlineLevel="1" x14ac:dyDescent="0.25">
      <c r="A3358" s="148"/>
      <c r="B3358" s="148"/>
      <c r="C3358" s="148"/>
      <c r="D3358" s="138"/>
      <c r="E3358" s="138"/>
      <c r="F3358" s="50">
        <v>43466</v>
      </c>
      <c r="G3358" s="50">
        <v>43646</v>
      </c>
      <c r="H3358" s="150"/>
      <c r="I3358" s="15" t="s">
        <v>23</v>
      </c>
      <c r="J3358" s="15" t="s">
        <v>23</v>
      </c>
      <c r="K3358" s="13">
        <v>40.200000000000003</v>
      </c>
      <c r="L3358" s="13">
        <v>1612.22</v>
      </c>
      <c r="M3358" s="196" t="s">
        <v>426</v>
      </c>
      <c r="N3358" s="55">
        <f>I3344-K3358</f>
        <v>5.9399999999999977</v>
      </c>
      <c r="O3358" s="55">
        <f>J3344-L3358</f>
        <v>2763.49</v>
      </c>
      <c r="P3358" s="56">
        <f>N3358*1759.67</f>
        <v>10452.439799999996</v>
      </c>
      <c r="Q3358" s="57">
        <f>O3358*126.693</f>
        <v>350114.83856999996</v>
      </c>
      <c r="R3358" s="57">
        <f>P3358+Q3358</f>
        <v>360567.27836999996</v>
      </c>
    </row>
    <row r="3359" spans="1:20" ht="15" customHeight="1" outlineLevel="1" x14ac:dyDescent="0.25">
      <c r="A3359" s="148"/>
      <c r="B3359" s="148"/>
      <c r="C3359" s="148"/>
      <c r="D3359" s="138"/>
      <c r="E3359" s="138"/>
      <c r="F3359" s="50">
        <v>43647</v>
      </c>
      <c r="G3359" s="50">
        <v>43830</v>
      </c>
      <c r="H3359" s="150"/>
      <c r="I3359" s="15" t="s">
        <v>23</v>
      </c>
      <c r="J3359" s="15" t="s">
        <v>23</v>
      </c>
      <c r="K3359" s="13">
        <v>41</v>
      </c>
      <c r="L3359" s="13">
        <v>1644.46</v>
      </c>
      <c r="M3359" s="198"/>
    </row>
    <row r="3360" spans="1:20" ht="15" customHeight="1" outlineLevel="1" x14ac:dyDescent="0.25">
      <c r="A3360" s="148"/>
      <c r="B3360" s="148"/>
      <c r="C3360" s="148"/>
      <c r="D3360" s="138"/>
      <c r="E3360" s="138"/>
      <c r="F3360" s="50">
        <v>43466</v>
      </c>
      <c r="G3360" s="50">
        <v>43646</v>
      </c>
      <c r="H3360" s="150"/>
      <c r="I3360" s="15" t="s">
        <v>23</v>
      </c>
      <c r="J3360" s="15" t="s">
        <v>23</v>
      </c>
      <c r="K3360" s="13">
        <v>40.200000000000003</v>
      </c>
      <c r="L3360" s="13">
        <v>1758.79</v>
      </c>
      <c r="M3360" s="196" t="s">
        <v>427</v>
      </c>
      <c r="N3360" s="55">
        <f>I3344-K3360</f>
        <v>5.9399999999999977</v>
      </c>
      <c r="O3360" s="55">
        <f>J3344-L3360</f>
        <v>2616.92</v>
      </c>
      <c r="P3360" s="56">
        <f>N3360*7</f>
        <v>41.579999999999984</v>
      </c>
      <c r="Q3360" s="57">
        <f>O3360*0.462</f>
        <v>1209.0170400000002</v>
      </c>
      <c r="R3360" s="57">
        <f>P3360+Q3360</f>
        <v>1250.5970400000001</v>
      </c>
    </row>
    <row r="3361" spans="1:20" ht="15" customHeight="1" outlineLevel="1" x14ac:dyDescent="0.25">
      <c r="A3361" s="147"/>
      <c r="B3361" s="147"/>
      <c r="C3361" s="147"/>
      <c r="D3361" s="141"/>
      <c r="E3361" s="141"/>
      <c r="F3361" s="50">
        <v>43647</v>
      </c>
      <c r="G3361" s="50">
        <v>43830</v>
      </c>
      <c r="H3361" s="151"/>
      <c r="I3361" s="15" t="s">
        <v>23</v>
      </c>
      <c r="J3361" s="15" t="s">
        <v>23</v>
      </c>
      <c r="K3361" s="13">
        <v>41</v>
      </c>
      <c r="L3361" s="13">
        <v>1793.97</v>
      </c>
      <c r="M3361" s="198"/>
    </row>
    <row r="3362" spans="1:20" ht="15" customHeight="1" outlineLevel="1" x14ac:dyDescent="0.25">
      <c r="A3362" s="59">
        <v>15</v>
      </c>
      <c r="B3362" s="7" t="s">
        <v>159</v>
      </c>
      <c r="C3362" s="60"/>
      <c r="D3362" s="61"/>
      <c r="E3362" s="61"/>
      <c r="F3362" s="61"/>
      <c r="G3362" s="61"/>
      <c r="H3362" s="61"/>
      <c r="I3362" s="61"/>
      <c r="J3362" s="61"/>
      <c r="K3362" s="62"/>
      <c r="L3362" s="62"/>
      <c r="M3362" s="63"/>
    </row>
    <row r="3363" spans="1:20" ht="15" customHeight="1" outlineLevel="1" x14ac:dyDescent="0.25">
      <c r="A3363" s="146" t="s">
        <v>40</v>
      </c>
      <c r="B3363" s="146" t="s">
        <v>42</v>
      </c>
      <c r="C3363" s="146" t="s">
        <v>598</v>
      </c>
      <c r="D3363" s="137">
        <v>42713</v>
      </c>
      <c r="E3363" s="137" t="s">
        <v>804</v>
      </c>
      <c r="F3363" s="12">
        <v>43466</v>
      </c>
      <c r="G3363" s="12">
        <v>43646</v>
      </c>
      <c r="H3363" s="149" t="s">
        <v>805</v>
      </c>
      <c r="I3363" s="66">
        <v>40.96</v>
      </c>
      <c r="J3363" s="13">
        <v>7153.29</v>
      </c>
      <c r="K3363" s="15" t="s">
        <v>23</v>
      </c>
      <c r="L3363" s="15" t="s">
        <v>23</v>
      </c>
      <c r="M3363" s="153"/>
    </row>
    <row r="3364" spans="1:20" ht="15" customHeight="1" outlineLevel="1" x14ac:dyDescent="0.25">
      <c r="A3364" s="148"/>
      <c r="B3364" s="148"/>
      <c r="C3364" s="148"/>
      <c r="D3364" s="141"/>
      <c r="E3364" s="141"/>
      <c r="F3364" s="12">
        <v>43647</v>
      </c>
      <c r="G3364" s="12">
        <v>43830</v>
      </c>
      <c r="H3364" s="151"/>
      <c r="I3364" s="66">
        <v>42.6</v>
      </c>
      <c r="J3364" s="13">
        <v>9428.98</v>
      </c>
      <c r="K3364" s="15" t="s">
        <v>23</v>
      </c>
      <c r="L3364" s="15" t="s">
        <v>23</v>
      </c>
      <c r="M3364" s="152"/>
    </row>
    <row r="3365" spans="1:20" s="10" customFormat="1" ht="28.5" customHeight="1" x14ac:dyDescent="0.25">
      <c r="A3365" s="148"/>
      <c r="B3365" s="148"/>
      <c r="C3365" s="148"/>
      <c r="D3365" s="137">
        <v>43454</v>
      </c>
      <c r="E3365" s="137" t="s">
        <v>806</v>
      </c>
      <c r="F3365" s="50">
        <v>43466</v>
      </c>
      <c r="G3365" s="50">
        <v>43646</v>
      </c>
      <c r="H3365" s="149"/>
      <c r="I3365" s="15" t="s">
        <v>23</v>
      </c>
      <c r="J3365" s="15" t="s">
        <v>23</v>
      </c>
      <c r="K3365" s="13">
        <v>12.6</v>
      </c>
      <c r="L3365" s="13">
        <v>1913.1884057971015</v>
      </c>
      <c r="M3365" s="196" t="s">
        <v>420</v>
      </c>
      <c r="N3365" s="69"/>
      <c r="O3365" s="11"/>
      <c r="Q3365" s="64"/>
      <c r="R3365" s="64"/>
      <c r="S3365" s="65"/>
      <c r="T3365" s="11"/>
    </row>
    <row r="3366" spans="1:20" ht="15" customHeight="1" outlineLevel="1" x14ac:dyDescent="0.25">
      <c r="A3366" s="148"/>
      <c r="B3366" s="148"/>
      <c r="C3366" s="148"/>
      <c r="D3366" s="138"/>
      <c r="E3366" s="138"/>
      <c r="F3366" s="50">
        <v>43647</v>
      </c>
      <c r="G3366" s="50">
        <v>43830</v>
      </c>
      <c r="H3366" s="150"/>
      <c r="I3366" s="15" t="s">
        <v>23</v>
      </c>
      <c r="J3366" s="15" t="s">
        <v>23</v>
      </c>
      <c r="K3366" s="13">
        <v>12.852</v>
      </c>
      <c r="L3366" s="13">
        <v>1951.4521739130435</v>
      </c>
      <c r="M3366" s="198"/>
    </row>
    <row r="3367" spans="1:20" ht="15" customHeight="1" outlineLevel="1" x14ac:dyDescent="0.25">
      <c r="A3367" s="148"/>
      <c r="B3367" s="148"/>
      <c r="C3367" s="148"/>
      <c r="D3367" s="138"/>
      <c r="E3367" s="138"/>
      <c r="F3367" s="50">
        <v>43466</v>
      </c>
      <c r="G3367" s="50">
        <v>43646</v>
      </c>
      <c r="H3367" s="150"/>
      <c r="I3367" s="15" t="s">
        <v>23</v>
      </c>
      <c r="J3367" s="15" t="s">
        <v>23</v>
      </c>
      <c r="K3367" s="13">
        <v>12.6</v>
      </c>
      <c r="L3367" s="13">
        <v>2095.3968253968255</v>
      </c>
      <c r="M3367" s="196" t="s">
        <v>421</v>
      </c>
    </row>
    <row r="3368" spans="1:20" ht="15" customHeight="1" outlineLevel="1" x14ac:dyDescent="0.25">
      <c r="A3368" s="148"/>
      <c r="B3368" s="148"/>
      <c r="C3368" s="148"/>
      <c r="D3368" s="138"/>
      <c r="E3368" s="138"/>
      <c r="F3368" s="50">
        <v>43647</v>
      </c>
      <c r="G3368" s="50">
        <v>43830</v>
      </c>
      <c r="H3368" s="150"/>
      <c r="I3368" s="15" t="s">
        <v>23</v>
      </c>
      <c r="J3368" s="15" t="s">
        <v>23</v>
      </c>
      <c r="K3368" s="13">
        <v>12.852</v>
      </c>
      <c r="L3368" s="13">
        <v>2137.304761904762</v>
      </c>
      <c r="M3368" s="198"/>
    </row>
    <row r="3369" spans="1:20" ht="15" customHeight="1" outlineLevel="1" x14ac:dyDescent="0.25">
      <c r="A3369" s="148"/>
      <c r="B3369" s="148"/>
      <c r="C3369" s="148"/>
      <c r="D3369" s="138"/>
      <c r="E3369" s="138"/>
      <c r="F3369" s="50">
        <v>43466</v>
      </c>
      <c r="G3369" s="50">
        <v>43646</v>
      </c>
      <c r="H3369" s="150"/>
      <c r="I3369" s="15" t="s">
        <v>23</v>
      </c>
      <c r="J3369" s="15" t="s">
        <v>23</v>
      </c>
      <c r="K3369" s="13">
        <v>12.6</v>
      </c>
      <c r="L3369" s="13">
        <v>1783.9189189189192</v>
      </c>
      <c r="M3369" s="196" t="s">
        <v>422</v>
      </c>
    </row>
    <row r="3370" spans="1:20" ht="15" customHeight="1" outlineLevel="1" x14ac:dyDescent="0.25">
      <c r="A3370" s="148"/>
      <c r="B3370" s="148"/>
      <c r="C3370" s="148"/>
      <c r="D3370" s="138"/>
      <c r="E3370" s="138"/>
      <c r="F3370" s="50">
        <v>43647</v>
      </c>
      <c r="G3370" s="50">
        <v>43830</v>
      </c>
      <c r="H3370" s="150"/>
      <c r="I3370" s="15" t="s">
        <v>23</v>
      </c>
      <c r="J3370" s="15" t="s">
        <v>23</v>
      </c>
      <c r="K3370" s="13">
        <v>12.852</v>
      </c>
      <c r="L3370" s="13">
        <v>1819.5972972972975</v>
      </c>
      <c r="M3370" s="198"/>
    </row>
    <row r="3371" spans="1:20" ht="15" customHeight="1" outlineLevel="1" x14ac:dyDescent="0.25">
      <c r="A3371" s="148"/>
      <c r="B3371" s="148"/>
      <c r="C3371" s="148"/>
      <c r="D3371" s="138"/>
      <c r="E3371" s="138"/>
      <c r="F3371" s="50">
        <v>43466</v>
      </c>
      <c r="G3371" s="50">
        <v>43646</v>
      </c>
      <c r="H3371" s="150"/>
      <c r="I3371" s="15" t="s">
        <v>23</v>
      </c>
      <c r="J3371" s="15" t="s">
        <v>23</v>
      </c>
      <c r="K3371" s="13">
        <v>12.6</v>
      </c>
      <c r="L3371" s="13">
        <v>1913.1884057971015</v>
      </c>
      <c r="M3371" s="196" t="s">
        <v>423</v>
      </c>
    </row>
    <row r="3372" spans="1:20" ht="15" customHeight="1" outlineLevel="1" x14ac:dyDescent="0.25">
      <c r="A3372" s="148"/>
      <c r="B3372" s="148"/>
      <c r="C3372" s="148"/>
      <c r="D3372" s="138"/>
      <c r="E3372" s="138"/>
      <c r="F3372" s="50">
        <v>43647</v>
      </c>
      <c r="G3372" s="50">
        <v>43830</v>
      </c>
      <c r="H3372" s="150"/>
      <c r="I3372" s="15" t="s">
        <v>23</v>
      </c>
      <c r="J3372" s="15" t="s">
        <v>23</v>
      </c>
      <c r="K3372" s="13">
        <v>12.852</v>
      </c>
      <c r="L3372" s="13">
        <v>1951.4521739130435</v>
      </c>
      <c r="M3372" s="198"/>
    </row>
    <row r="3373" spans="1:20" ht="15" customHeight="1" outlineLevel="1" x14ac:dyDescent="0.25">
      <c r="A3373" s="148"/>
      <c r="B3373" s="148"/>
      <c r="C3373" s="148"/>
      <c r="D3373" s="138"/>
      <c r="E3373" s="138"/>
      <c r="F3373" s="50">
        <v>43466</v>
      </c>
      <c r="G3373" s="50">
        <v>43646</v>
      </c>
      <c r="H3373" s="150"/>
      <c r="I3373" s="15" t="s">
        <v>23</v>
      </c>
      <c r="J3373" s="15" t="s">
        <v>23</v>
      </c>
      <c r="K3373" s="13">
        <v>12.6</v>
      </c>
      <c r="L3373" s="13">
        <v>2000.1515151515152</v>
      </c>
      <c r="M3373" s="196" t="s">
        <v>424</v>
      </c>
    </row>
    <row r="3374" spans="1:20" ht="15" customHeight="1" outlineLevel="1" x14ac:dyDescent="0.25">
      <c r="A3374" s="148"/>
      <c r="B3374" s="148"/>
      <c r="C3374" s="148"/>
      <c r="D3374" s="138"/>
      <c r="E3374" s="138"/>
      <c r="F3374" s="50">
        <v>43647</v>
      </c>
      <c r="G3374" s="50">
        <v>43830</v>
      </c>
      <c r="H3374" s="150"/>
      <c r="I3374" s="15" t="s">
        <v>23</v>
      </c>
      <c r="J3374" s="15" t="s">
        <v>23</v>
      </c>
      <c r="K3374" s="13">
        <v>12.852</v>
      </c>
      <c r="L3374" s="13">
        <v>2040.1545454545455</v>
      </c>
      <c r="M3374" s="198"/>
    </row>
    <row r="3375" spans="1:20" ht="15" customHeight="1" outlineLevel="1" x14ac:dyDescent="0.25">
      <c r="A3375" s="148"/>
      <c r="B3375" s="148"/>
      <c r="C3375" s="148"/>
      <c r="D3375" s="138"/>
      <c r="E3375" s="138"/>
      <c r="F3375" s="50">
        <v>43466</v>
      </c>
      <c r="G3375" s="50">
        <v>43646</v>
      </c>
      <c r="H3375" s="150"/>
      <c r="I3375" s="15" t="s">
        <v>23</v>
      </c>
      <c r="J3375" s="15" t="s">
        <v>23</v>
      </c>
      <c r="K3375" s="13">
        <v>12.6</v>
      </c>
      <c r="L3375" s="13">
        <v>2164.0983606557379</v>
      </c>
      <c r="M3375" s="196" t="s">
        <v>425</v>
      </c>
    </row>
    <row r="3376" spans="1:20" ht="15" customHeight="1" outlineLevel="1" x14ac:dyDescent="0.25">
      <c r="A3376" s="148"/>
      <c r="B3376" s="148"/>
      <c r="C3376" s="148"/>
      <c r="D3376" s="138"/>
      <c r="E3376" s="138"/>
      <c r="F3376" s="50">
        <v>43647</v>
      </c>
      <c r="G3376" s="50">
        <v>43830</v>
      </c>
      <c r="H3376" s="150"/>
      <c r="I3376" s="15" t="s">
        <v>23</v>
      </c>
      <c r="J3376" s="15" t="s">
        <v>23</v>
      </c>
      <c r="K3376" s="13">
        <v>12.852</v>
      </c>
      <c r="L3376" s="13">
        <v>2207.3803278688529</v>
      </c>
      <c r="M3376" s="198"/>
    </row>
    <row r="3377" spans="1:13" ht="15" customHeight="1" outlineLevel="1" x14ac:dyDescent="0.25">
      <c r="A3377" s="148"/>
      <c r="B3377" s="148"/>
      <c r="C3377" s="148"/>
      <c r="D3377" s="138"/>
      <c r="E3377" s="138"/>
      <c r="F3377" s="50">
        <v>43466</v>
      </c>
      <c r="G3377" s="50">
        <v>43646</v>
      </c>
      <c r="H3377" s="150"/>
      <c r="I3377" s="15" t="s">
        <v>23</v>
      </c>
      <c r="J3377" s="15" t="s">
        <v>23</v>
      </c>
      <c r="K3377" s="13">
        <v>12.6</v>
      </c>
      <c r="L3377" s="13">
        <v>1833.4722222222226</v>
      </c>
      <c r="M3377" s="196" t="s">
        <v>426</v>
      </c>
    </row>
    <row r="3378" spans="1:13" ht="15" customHeight="1" outlineLevel="1" x14ac:dyDescent="0.25">
      <c r="A3378" s="148"/>
      <c r="B3378" s="148"/>
      <c r="C3378" s="148"/>
      <c r="D3378" s="138"/>
      <c r="E3378" s="138"/>
      <c r="F3378" s="50">
        <v>43647</v>
      </c>
      <c r="G3378" s="50">
        <v>43830</v>
      </c>
      <c r="H3378" s="150"/>
      <c r="I3378" s="15" t="s">
        <v>23</v>
      </c>
      <c r="J3378" s="15" t="s">
        <v>23</v>
      </c>
      <c r="K3378" s="13">
        <v>12.852</v>
      </c>
      <c r="L3378" s="13">
        <v>1870.1416666666669</v>
      </c>
      <c r="M3378" s="198"/>
    </row>
    <row r="3379" spans="1:13" ht="15" customHeight="1" outlineLevel="1" x14ac:dyDescent="0.25">
      <c r="A3379" s="148"/>
      <c r="B3379" s="148"/>
      <c r="C3379" s="148"/>
      <c r="D3379" s="138"/>
      <c r="E3379" s="138"/>
      <c r="F3379" s="50">
        <v>43466</v>
      </c>
      <c r="G3379" s="50">
        <v>43646</v>
      </c>
      <c r="H3379" s="150"/>
      <c r="I3379" s="15" t="s">
        <v>23</v>
      </c>
      <c r="J3379" s="15" t="s">
        <v>23</v>
      </c>
      <c r="K3379" s="13">
        <v>12.6</v>
      </c>
      <c r="L3379" s="13">
        <v>2000.1515151515152</v>
      </c>
      <c r="M3379" s="196" t="s">
        <v>427</v>
      </c>
    </row>
    <row r="3380" spans="1:13" ht="15" customHeight="1" outlineLevel="1" x14ac:dyDescent="0.25">
      <c r="A3380" s="147"/>
      <c r="B3380" s="147"/>
      <c r="C3380" s="147"/>
      <c r="D3380" s="141"/>
      <c r="E3380" s="141"/>
      <c r="F3380" s="50">
        <v>43647</v>
      </c>
      <c r="G3380" s="50">
        <v>43830</v>
      </c>
      <c r="H3380" s="151"/>
      <c r="I3380" s="15" t="s">
        <v>23</v>
      </c>
      <c r="J3380" s="15" t="s">
        <v>23</v>
      </c>
      <c r="K3380" s="13">
        <v>12.852</v>
      </c>
      <c r="L3380" s="13">
        <v>2040.1545454545455</v>
      </c>
      <c r="M3380" s="198"/>
    </row>
    <row r="3381" spans="1:13" ht="15" customHeight="1" outlineLevel="1" x14ac:dyDescent="0.25">
      <c r="A3381" s="146" t="s">
        <v>40</v>
      </c>
      <c r="B3381" s="146" t="s">
        <v>596</v>
      </c>
      <c r="C3381" s="146" t="s">
        <v>290</v>
      </c>
      <c r="D3381" s="156">
        <v>42723</v>
      </c>
      <c r="E3381" s="156" t="s">
        <v>695</v>
      </c>
      <c r="F3381" s="51">
        <v>43466</v>
      </c>
      <c r="G3381" s="51">
        <v>43646</v>
      </c>
      <c r="H3381" s="168" t="s">
        <v>797</v>
      </c>
      <c r="I3381" s="66">
        <v>40.51</v>
      </c>
      <c r="J3381" s="13">
        <v>2019.3</v>
      </c>
      <c r="K3381" s="15" t="s">
        <v>23</v>
      </c>
      <c r="L3381" s="15" t="s">
        <v>23</v>
      </c>
      <c r="M3381" s="183"/>
    </row>
    <row r="3382" spans="1:13" ht="15" customHeight="1" outlineLevel="1" x14ac:dyDescent="0.25">
      <c r="A3382" s="147"/>
      <c r="B3382" s="147"/>
      <c r="C3382" s="148"/>
      <c r="D3382" s="156"/>
      <c r="E3382" s="156"/>
      <c r="F3382" s="51">
        <v>43647</v>
      </c>
      <c r="G3382" s="51">
        <v>43830</v>
      </c>
      <c r="H3382" s="168"/>
      <c r="I3382" s="66">
        <v>41.7</v>
      </c>
      <c r="J3382" s="13">
        <v>2069.86</v>
      </c>
      <c r="K3382" s="15" t="s">
        <v>23</v>
      </c>
      <c r="L3382" s="15" t="s">
        <v>23</v>
      </c>
      <c r="M3382" s="183"/>
    </row>
    <row r="3383" spans="1:13" ht="15" customHeight="1" outlineLevel="1" x14ac:dyDescent="0.25">
      <c r="A3383" s="146" t="s">
        <v>40</v>
      </c>
      <c r="B3383" s="146" t="s">
        <v>597</v>
      </c>
      <c r="C3383" s="148"/>
      <c r="D3383" s="156">
        <v>42723</v>
      </c>
      <c r="E3383" s="156" t="s">
        <v>695</v>
      </c>
      <c r="F3383" s="51">
        <v>43466</v>
      </c>
      <c r="G3383" s="51">
        <v>43646</v>
      </c>
      <c r="H3383" s="168" t="s">
        <v>797</v>
      </c>
      <c r="I3383" s="66">
        <v>40.51</v>
      </c>
      <c r="J3383" s="13">
        <v>2019.3</v>
      </c>
      <c r="K3383" s="15" t="s">
        <v>23</v>
      </c>
      <c r="L3383" s="15" t="s">
        <v>23</v>
      </c>
      <c r="M3383" s="183"/>
    </row>
    <row r="3384" spans="1:13" ht="15" customHeight="1" outlineLevel="1" x14ac:dyDescent="0.25">
      <c r="A3384" s="147"/>
      <c r="B3384" s="147"/>
      <c r="C3384" s="147"/>
      <c r="D3384" s="156"/>
      <c r="E3384" s="156"/>
      <c r="F3384" s="51">
        <v>43647</v>
      </c>
      <c r="G3384" s="51">
        <v>43830</v>
      </c>
      <c r="H3384" s="168"/>
      <c r="I3384" s="66">
        <v>41.7</v>
      </c>
      <c r="J3384" s="13">
        <v>2069.86</v>
      </c>
      <c r="K3384" s="15" t="s">
        <v>23</v>
      </c>
      <c r="L3384" s="15" t="s">
        <v>23</v>
      </c>
      <c r="M3384" s="183"/>
    </row>
    <row r="3385" spans="1:13" ht="37.5" customHeight="1" outlineLevel="1" x14ac:dyDescent="0.25">
      <c r="A3385" s="59">
        <v>16</v>
      </c>
      <c r="B3385" s="7" t="s">
        <v>119</v>
      </c>
      <c r="C3385" s="60"/>
      <c r="D3385" s="61"/>
      <c r="E3385" s="61"/>
      <c r="F3385" s="61"/>
      <c r="G3385" s="61"/>
      <c r="H3385" s="61"/>
      <c r="I3385" s="61"/>
      <c r="J3385" s="61"/>
      <c r="K3385" s="62"/>
      <c r="L3385" s="62"/>
      <c r="M3385" s="63"/>
    </row>
    <row r="3386" spans="1:13" ht="15" customHeight="1" outlineLevel="1" x14ac:dyDescent="0.25">
      <c r="A3386" s="146" t="s">
        <v>119</v>
      </c>
      <c r="B3386" s="146" t="s">
        <v>119</v>
      </c>
      <c r="C3386" s="146" t="s">
        <v>184</v>
      </c>
      <c r="D3386" s="137">
        <v>43453</v>
      </c>
      <c r="E3386" s="137" t="s">
        <v>761</v>
      </c>
      <c r="F3386" s="12">
        <v>43466</v>
      </c>
      <c r="G3386" s="12">
        <v>43646</v>
      </c>
      <c r="H3386" s="149"/>
      <c r="I3386" s="66">
        <v>30.12</v>
      </c>
      <c r="J3386" s="13">
        <v>631.11</v>
      </c>
      <c r="K3386" s="15" t="s">
        <v>23</v>
      </c>
      <c r="L3386" s="15" t="s">
        <v>23</v>
      </c>
      <c r="M3386" s="153"/>
    </row>
    <row r="3387" spans="1:13" ht="15" customHeight="1" outlineLevel="1" x14ac:dyDescent="0.25">
      <c r="A3387" s="148"/>
      <c r="B3387" s="148"/>
      <c r="C3387" s="148"/>
      <c r="D3387" s="141"/>
      <c r="E3387" s="141"/>
      <c r="F3387" s="12">
        <v>43647</v>
      </c>
      <c r="G3387" s="12">
        <v>43830</v>
      </c>
      <c r="H3387" s="151"/>
      <c r="I3387" s="66">
        <v>33.33</v>
      </c>
      <c r="J3387" s="13">
        <v>638.91</v>
      </c>
      <c r="K3387" s="15" t="s">
        <v>23</v>
      </c>
      <c r="L3387" s="15" t="s">
        <v>23</v>
      </c>
      <c r="M3387" s="152"/>
    </row>
    <row r="3388" spans="1:13" ht="15" customHeight="1" outlineLevel="1" x14ac:dyDescent="0.25">
      <c r="A3388" s="148"/>
      <c r="B3388" s="148"/>
      <c r="C3388" s="148"/>
      <c r="D3388" s="137">
        <v>43454</v>
      </c>
      <c r="E3388" s="137" t="s">
        <v>760</v>
      </c>
      <c r="F3388" s="50">
        <v>43466</v>
      </c>
      <c r="G3388" s="50">
        <v>43646</v>
      </c>
      <c r="H3388" s="149"/>
      <c r="I3388" s="15" t="s">
        <v>23</v>
      </c>
      <c r="J3388" s="15" t="s">
        <v>23</v>
      </c>
      <c r="K3388" s="13">
        <v>26.08</v>
      </c>
      <c r="L3388" s="13">
        <v>607.41</v>
      </c>
      <c r="M3388" s="196" t="s">
        <v>420</v>
      </c>
    </row>
    <row r="3389" spans="1:13" ht="15" customHeight="1" outlineLevel="1" x14ac:dyDescent="0.25">
      <c r="A3389" s="148"/>
      <c r="B3389" s="148"/>
      <c r="C3389" s="148"/>
      <c r="D3389" s="138"/>
      <c r="E3389" s="138"/>
      <c r="F3389" s="50">
        <v>43647</v>
      </c>
      <c r="G3389" s="50">
        <v>43830</v>
      </c>
      <c r="H3389" s="150"/>
      <c r="I3389" s="15" t="s">
        <v>23</v>
      </c>
      <c r="J3389" s="15" t="s">
        <v>23</v>
      </c>
      <c r="K3389" s="13">
        <v>26.61</v>
      </c>
      <c r="L3389" s="13">
        <v>619.55999999999995</v>
      </c>
      <c r="M3389" s="198"/>
    </row>
    <row r="3390" spans="1:13" ht="15" customHeight="1" outlineLevel="1" x14ac:dyDescent="0.25">
      <c r="A3390" s="148"/>
      <c r="B3390" s="148"/>
      <c r="C3390" s="148"/>
      <c r="D3390" s="138"/>
      <c r="E3390" s="138"/>
      <c r="F3390" s="50">
        <v>43466</v>
      </c>
      <c r="G3390" s="50">
        <v>43646</v>
      </c>
      <c r="H3390" s="150"/>
      <c r="I3390" s="15" t="s">
        <v>23</v>
      </c>
      <c r="J3390" s="15" t="s">
        <v>23</v>
      </c>
      <c r="K3390" s="13">
        <v>26.08</v>
      </c>
      <c r="L3390" s="13">
        <v>665.26</v>
      </c>
      <c r="M3390" s="196" t="s">
        <v>421</v>
      </c>
    </row>
    <row r="3391" spans="1:13" ht="15" customHeight="1" outlineLevel="1" x14ac:dyDescent="0.25">
      <c r="A3391" s="148"/>
      <c r="B3391" s="148"/>
      <c r="C3391" s="148"/>
      <c r="D3391" s="138"/>
      <c r="E3391" s="138"/>
      <c r="F3391" s="50">
        <v>43647</v>
      </c>
      <c r="G3391" s="50">
        <v>43830</v>
      </c>
      <c r="H3391" s="150"/>
      <c r="I3391" s="15" t="s">
        <v>23</v>
      </c>
      <c r="J3391" s="15" t="s">
        <v>23</v>
      </c>
      <c r="K3391" s="13">
        <v>26.61</v>
      </c>
      <c r="L3391" s="13">
        <v>678.56</v>
      </c>
      <c r="M3391" s="198"/>
    </row>
    <row r="3392" spans="1:13" ht="15" customHeight="1" outlineLevel="1" x14ac:dyDescent="0.25">
      <c r="A3392" s="148"/>
      <c r="B3392" s="148"/>
      <c r="C3392" s="148"/>
      <c r="D3392" s="138"/>
      <c r="E3392" s="138"/>
      <c r="F3392" s="50">
        <v>43466</v>
      </c>
      <c r="G3392" s="50">
        <v>43646</v>
      </c>
      <c r="H3392" s="150"/>
      <c r="I3392" s="15" t="s">
        <v>23</v>
      </c>
      <c r="J3392" s="15" t="s">
        <v>23</v>
      </c>
      <c r="K3392" s="13">
        <v>26.08</v>
      </c>
      <c r="L3392" s="13">
        <v>566.37</v>
      </c>
      <c r="M3392" s="196" t="s">
        <v>422</v>
      </c>
    </row>
    <row r="3393" spans="1:13" ht="15" customHeight="1" outlineLevel="1" x14ac:dyDescent="0.25">
      <c r="A3393" s="148"/>
      <c r="B3393" s="148"/>
      <c r="C3393" s="148"/>
      <c r="D3393" s="138"/>
      <c r="E3393" s="138"/>
      <c r="F3393" s="50">
        <v>43647</v>
      </c>
      <c r="G3393" s="50">
        <v>43830</v>
      </c>
      <c r="H3393" s="150"/>
      <c r="I3393" s="15" t="s">
        <v>23</v>
      </c>
      <c r="J3393" s="15" t="s">
        <v>23</v>
      </c>
      <c r="K3393" s="13">
        <v>26.61</v>
      </c>
      <c r="L3393" s="13">
        <v>577.70000000000005</v>
      </c>
      <c r="M3393" s="198"/>
    </row>
    <row r="3394" spans="1:13" ht="15" customHeight="1" outlineLevel="1" x14ac:dyDescent="0.25">
      <c r="A3394" s="148"/>
      <c r="B3394" s="148"/>
      <c r="C3394" s="148"/>
      <c r="D3394" s="138"/>
      <c r="E3394" s="138"/>
      <c r="F3394" s="50">
        <v>43466</v>
      </c>
      <c r="G3394" s="50">
        <v>43646</v>
      </c>
      <c r="H3394" s="150"/>
      <c r="I3394" s="15" t="s">
        <v>23</v>
      </c>
      <c r="J3394" s="15" t="s">
        <v>23</v>
      </c>
      <c r="K3394" s="13">
        <v>26.08</v>
      </c>
      <c r="L3394" s="13">
        <v>607.41</v>
      </c>
      <c r="M3394" s="196" t="s">
        <v>423</v>
      </c>
    </row>
    <row r="3395" spans="1:13" ht="15" customHeight="1" outlineLevel="1" x14ac:dyDescent="0.25">
      <c r="A3395" s="148"/>
      <c r="B3395" s="148"/>
      <c r="C3395" s="148"/>
      <c r="D3395" s="138"/>
      <c r="E3395" s="138"/>
      <c r="F3395" s="50">
        <v>43647</v>
      </c>
      <c r="G3395" s="50">
        <v>43830</v>
      </c>
      <c r="H3395" s="150"/>
      <c r="I3395" s="15" t="s">
        <v>23</v>
      </c>
      <c r="J3395" s="15" t="s">
        <v>23</v>
      </c>
      <c r="K3395" s="13">
        <v>26.61</v>
      </c>
      <c r="L3395" s="13">
        <v>619.55999999999995</v>
      </c>
      <c r="M3395" s="198"/>
    </row>
    <row r="3396" spans="1:13" ht="15" customHeight="1" outlineLevel="1" x14ac:dyDescent="0.25">
      <c r="A3396" s="148"/>
      <c r="B3396" s="148"/>
      <c r="C3396" s="148"/>
      <c r="D3396" s="138"/>
      <c r="E3396" s="138"/>
      <c r="F3396" s="50">
        <v>43466</v>
      </c>
      <c r="G3396" s="50">
        <v>43646</v>
      </c>
      <c r="H3396" s="150"/>
      <c r="I3396" s="15" t="s">
        <v>23</v>
      </c>
      <c r="J3396" s="15" t="s">
        <v>23</v>
      </c>
      <c r="K3396" s="13">
        <v>26.08</v>
      </c>
      <c r="L3396" s="13">
        <v>635.02</v>
      </c>
      <c r="M3396" s="196" t="s">
        <v>424</v>
      </c>
    </row>
    <row r="3397" spans="1:13" ht="15" customHeight="1" outlineLevel="1" x14ac:dyDescent="0.25">
      <c r="A3397" s="148"/>
      <c r="B3397" s="148"/>
      <c r="C3397" s="148"/>
      <c r="D3397" s="138"/>
      <c r="E3397" s="138"/>
      <c r="F3397" s="50">
        <v>43647</v>
      </c>
      <c r="G3397" s="50">
        <v>43830</v>
      </c>
      <c r="H3397" s="150"/>
      <c r="I3397" s="15" t="s">
        <v>23</v>
      </c>
      <c r="J3397" s="15" t="s">
        <v>23</v>
      </c>
      <c r="K3397" s="13">
        <v>26.61</v>
      </c>
      <c r="L3397" s="13">
        <v>647.72</v>
      </c>
      <c r="M3397" s="198"/>
    </row>
    <row r="3398" spans="1:13" ht="15" customHeight="1" outlineLevel="1" x14ac:dyDescent="0.25">
      <c r="A3398" s="148"/>
      <c r="B3398" s="148"/>
      <c r="C3398" s="148"/>
      <c r="D3398" s="138"/>
      <c r="E3398" s="138"/>
      <c r="F3398" s="50">
        <v>43466</v>
      </c>
      <c r="G3398" s="50">
        <v>43646</v>
      </c>
      <c r="H3398" s="150"/>
      <c r="I3398" s="15" t="s">
        <v>23</v>
      </c>
      <c r="J3398" s="15" t="s">
        <v>23</v>
      </c>
      <c r="K3398" s="13">
        <v>26.08</v>
      </c>
      <c r="L3398" s="13">
        <v>687.07</v>
      </c>
      <c r="M3398" s="196" t="s">
        <v>425</v>
      </c>
    </row>
    <row r="3399" spans="1:13" ht="15" customHeight="1" outlineLevel="1" x14ac:dyDescent="0.25">
      <c r="A3399" s="148"/>
      <c r="B3399" s="148"/>
      <c r="C3399" s="148"/>
      <c r="D3399" s="138"/>
      <c r="E3399" s="138"/>
      <c r="F3399" s="50">
        <v>43647</v>
      </c>
      <c r="G3399" s="50">
        <v>43830</v>
      </c>
      <c r="H3399" s="150"/>
      <c r="I3399" s="15" t="s">
        <v>23</v>
      </c>
      <c r="J3399" s="15" t="s">
        <v>23</v>
      </c>
      <c r="K3399" s="13">
        <v>26.61</v>
      </c>
      <c r="L3399" s="13">
        <v>700.81</v>
      </c>
      <c r="M3399" s="198"/>
    </row>
    <row r="3400" spans="1:13" ht="15" customHeight="1" outlineLevel="1" x14ac:dyDescent="0.25">
      <c r="A3400" s="148"/>
      <c r="B3400" s="148"/>
      <c r="C3400" s="148"/>
      <c r="D3400" s="138"/>
      <c r="E3400" s="138"/>
      <c r="F3400" s="50">
        <v>43466</v>
      </c>
      <c r="G3400" s="50">
        <v>43646</v>
      </c>
      <c r="H3400" s="150"/>
      <c r="I3400" s="15" t="s">
        <v>23</v>
      </c>
      <c r="J3400" s="15" t="s">
        <v>23</v>
      </c>
      <c r="K3400" s="13">
        <v>26.08</v>
      </c>
      <c r="L3400" s="13">
        <v>582.1</v>
      </c>
      <c r="M3400" s="196" t="s">
        <v>426</v>
      </c>
    </row>
    <row r="3401" spans="1:13" ht="15" customHeight="1" outlineLevel="1" x14ac:dyDescent="0.25">
      <c r="A3401" s="148"/>
      <c r="B3401" s="148"/>
      <c r="C3401" s="148"/>
      <c r="D3401" s="138"/>
      <c r="E3401" s="138"/>
      <c r="F3401" s="50">
        <v>43647</v>
      </c>
      <c r="G3401" s="50">
        <v>43830</v>
      </c>
      <c r="H3401" s="150"/>
      <c r="I3401" s="15" t="s">
        <v>23</v>
      </c>
      <c r="J3401" s="15" t="s">
        <v>23</v>
      </c>
      <c r="K3401" s="13">
        <v>26.61</v>
      </c>
      <c r="L3401" s="13">
        <v>593.74</v>
      </c>
      <c r="M3401" s="198"/>
    </row>
    <row r="3402" spans="1:13" ht="15" customHeight="1" outlineLevel="1" x14ac:dyDescent="0.25">
      <c r="A3402" s="148"/>
      <c r="B3402" s="148"/>
      <c r="C3402" s="148"/>
      <c r="D3402" s="138"/>
      <c r="E3402" s="138"/>
      <c r="F3402" s="50">
        <v>43466</v>
      </c>
      <c r="G3402" s="50">
        <v>43646</v>
      </c>
      <c r="H3402" s="150"/>
      <c r="I3402" s="15" t="s">
        <v>23</v>
      </c>
      <c r="J3402" s="15" t="s">
        <v>23</v>
      </c>
      <c r="K3402" s="13">
        <v>26.08</v>
      </c>
      <c r="L3402" s="13">
        <v>635.02</v>
      </c>
      <c r="M3402" s="196" t="s">
        <v>427</v>
      </c>
    </row>
    <row r="3403" spans="1:13" ht="15" customHeight="1" outlineLevel="1" x14ac:dyDescent="0.25">
      <c r="A3403" s="147"/>
      <c r="B3403" s="147"/>
      <c r="C3403" s="147"/>
      <c r="D3403" s="141"/>
      <c r="E3403" s="141"/>
      <c r="F3403" s="50">
        <v>43647</v>
      </c>
      <c r="G3403" s="50">
        <v>43830</v>
      </c>
      <c r="H3403" s="151"/>
      <c r="I3403" s="15" t="s">
        <v>23</v>
      </c>
      <c r="J3403" s="15" t="s">
        <v>23</v>
      </c>
      <c r="K3403" s="13">
        <v>26.61</v>
      </c>
      <c r="L3403" s="13">
        <v>647.72</v>
      </c>
      <c r="M3403" s="198"/>
    </row>
    <row r="3404" spans="1:13" ht="15" customHeight="1" outlineLevel="1" x14ac:dyDescent="0.25">
      <c r="A3404" s="59">
        <v>17</v>
      </c>
      <c r="B3404" s="7" t="s">
        <v>547</v>
      </c>
      <c r="C3404" s="60"/>
      <c r="D3404" s="61"/>
      <c r="E3404" s="61"/>
      <c r="F3404" s="61"/>
      <c r="G3404" s="61"/>
      <c r="H3404" s="61"/>
      <c r="I3404" s="61"/>
      <c r="J3404" s="61"/>
      <c r="K3404" s="62"/>
      <c r="L3404" s="62"/>
      <c r="M3404" s="63"/>
    </row>
    <row r="3405" spans="1:13" ht="15" customHeight="1" outlineLevel="1" x14ac:dyDescent="0.25">
      <c r="A3405" s="146" t="s">
        <v>61</v>
      </c>
      <c r="B3405" s="146" t="s">
        <v>599</v>
      </c>
      <c r="C3405" s="146" t="s">
        <v>295</v>
      </c>
      <c r="D3405" s="137">
        <v>43453</v>
      </c>
      <c r="E3405" s="137" t="s">
        <v>800</v>
      </c>
      <c r="F3405" s="12">
        <v>43466</v>
      </c>
      <c r="G3405" s="12">
        <v>43646</v>
      </c>
      <c r="H3405" s="149"/>
      <c r="I3405" s="66">
        <v>30.35</v>
      </c>
      <c r="J3405" s="13">
        <v>1951.23</v>
      </c>
      <c r="K3405" s="15" t="s">
        <v>23</v>
      </c>
      <c r="L3405" s="15" t="s">
        <v>23</v>
      </c>
      <c r="M3405" s="153"/>
    </row>
    <row r="3406" spans="1:13" ht="15" customHeight="1" outlineLevel="1" x14ac:dyDescent="0.25">
      <c r="A3406" s="148"/>
      <c r="B3406" s="148"/>
      <c r="C3406" s="148"/>
      <c r="D3406" s="141"/>
      <c r="E3406" s="141"/>
      <c r="F3406" s="12">
        <v>43647</v>
      </c>
      <c r="G3406" s="12">
        <v>43830</v>
      </c>
      <c r="H3406" s="151"/>
      <c r="I3406" s="66">
        <v>31.61</v>
      </c>
      <c r="J3406" s="13">
        <v>2148.6799999999998</v>
      </c>
      <c r="K3406" s="15" t="s">
        <v>23</v>
      </c>
      <c r="L3406" s="15" t="s">
        <v>23</v>
      </c>
      <c r="M3406" s="152"/>
    </row>
    <row r="3407" spans="1:13" ht="15" customHeight="1" outlineLevel="1" x14ac:dyDescent="0.25">
      <c r="A3407" s="148"/>
      <c r="B3407" s="148"/>
      <c r="C3407" s="148"/>
      <c r="D3407" s="137">
        <v>43454</v>
      </c>
      <c r="E3407" s="137" t="s">
        <v>796</v>
      </c>
      <c r="F3407" s="50">
        <v>43466</v>
      </c>
      <c r="G3407" s="50">
        <v>43646</v>
      </c>
      <c r="H3407" s="149"/>
      <c r="I3407" s="15" t="s">
        <v>23</v>
      </c>
      <c r="J3407" s="15" t="s">
        <v>23</v>
      </c>
      <c r="K3407" s="13">
        <v>36.294915254237182</v>
      </c>
      <c r="L3407" s="13">
        <v>1476.7870302137019</v>
      </c>
      <c r="M3407" s="196" t="s">
        <v>420</v>
      </c>
    </row>
    <row r="3408" spans="1:13" ht="15" customHeight="1" outlineLevel="1" x14ac:dyDescent="0.25">
      <c r="A3408" s="148"/>
      <c r="B3408" s="148"/>
      <c r="C3408" s="148"/>
      <c r="D3408" s="138"/>
      <c r="E3408" s="138"/>
      <c r="F3408" s="50">
        <v>43647</v>
      </c>
      <c r="G3408" s="50">
        <v>43830</v>
      </c>
      <c r="H3408" s="150"/>
      <c r="I3408" s="15" t="s">
        <v>23</v>
      </c>
      <c r="J3408" s="15" t="s">
        <v>23</v>
      </c>
      <c r="K3408" s="13">
        <v>37.02081355932193</v>
      </c>
      <c r="L3408" s="13">
        <v>1506.3227708179759</v>
      </c>
      <c r="M3408" s="198"/>
    </row>
    <row r="3409" spans="1:13" ht="15" customHeight="1" outlineLevel="1" x14ac:dyDescent="0.25">
      <c r="A3409" s="148"/>
      <c r="B3409" s="148"/>
      <c r="C3409" s="148"/>
      <c r="D3409" s="138"/>
      <c r="E3409" s="138"/>
      <c r="F3409" s="50">
        <v>43466</v>
      </c>
      <c r="G3409" s="50">
        <v>43646</v>
      </c>
      <c r="H3409" s="150"/>
      <c r="I3409" s="15" t="s">
        <v>23</v>
      </c>
      <c r="J3409" s="15" t="s">
        <v>23</v>
      </c>
      <c r="K3409" s="13">
        <v>36.294915254237182</v>
      </c>
      <c r="L3409" s="13">
        <v>1617.4334140435785</v>
      </c>
      <c r="M3409" s="196" t="s">
        <v>421</v>
      </c>
    </row>
    <row r="3410" spans="1:13" ht="15" customHeight="1" outlineLevel="1" x14ac:dyDescent="0.25">
      <c r="A3410" s="148"/>
      <c r="B3410" s="148"/>
      <c r="C3410" s="148"/>
      <c r="D3410" s="138"/>
      <c r="E3410" s="138"/>
      <c r="F3410" s="50">
        <v>43647</v>
      </c>
      <c r="G3410" s="50">
        <v>43830</v>
      </c>
      <c r="H3410" s="150"/>
      <c r="I3410" s="15" t="s">
        <v>23</v>
      </c>
      <c r="J3410" s="15" t="s">
        <v>23</v>
      </c>
      <c r="K3410" s="13">
        <v>37.02081355932193</v>
      </c>
      <c r="L3410" s="13">
        <v>1649.7820823244497</v>
      </c>
      <c r="M3410" s="198"/>
    </row>
    <row r="3411" spans="1:13" ht="15" customHeight="1" outlineLevel="1" x14ac:dyDescent="0.25">
      <c r="A3411" s="148"/>
      <c r="B3411" s="148"/>
      <c r="C3411" s="148"/>
      <c r="D3411" s="138"/>
      <c r="E3411" s="138"/>
      <c r="F3411" s="50">
        <v>43466</v>
      </c>
      <c r="G3411" s="50">
        <v>43646</v>
      </c>
      <c r="H3411" s="150"/>
      <c r="I3411" s="15" t="s">
        <v>23</v>
      </c>
      <c r="J3411" s="15" t="s">
        <v>23</v>
      </c>
      <c r="K3411" s="13">
        <v>36.294915254237182</v>
      </c>
      <c r="L3411" s="13">
        <v>1377.0041227668305</v>
      </c>
      <c r="M3411" s="196" t="s">
        <v>422</v>
      </c>
    </row>
    <row r="3412" spans="1:13" ht="15" customHeight="1" outlineLevel="1" x14ac:dyDescent="0.25">
      <c r="A3412" s="148"/>
      <c r="B3412" s="148"/>
      <c r="C3412" s="148"/>
      <c r="D3412" s="138"/>
      <c r="E3412" s="138"/>
      <c r="F3412" s="50">
        <v>43647</v>
      </c>
      <c r="G3412" s="50">
        <v>43830</v>
      </c>
      <c r="H3412" s="150"/>
      <c r="I3412" s="15" t="s">
        <v>23</v>
      </c>
      <c r="J3412" s="15" t="s">
        <v>23</v>
      </c>
      <c r="K3412" s="13">
        <v>37.02081355932193</v>
      </c>
      <c r="L3412" s="13">
        <v>1404.5442052221667</v>
      </c>
      <c r="M3412" s="198"/>
    </row>
    <row r="3413" spans="1:13" ht="15" customHeight="1" outlineLevel="1" x14ac:dyDescent="0.25">
      <c r="A3413" s="148"/>
      <c r="B3413" s="148"/>
      <c r="C3413" s="148"/>
      <c r="D3413" s="138"/>
      <c r="E3413" s="138"/>
      <c r="F3413" s="50">
        <v>43466</v>
      </c>
      <c r="G3413" s="50">
        <v>43646</v>
      </c>
      <c r="H3413" s="150"/>
      <c r="I3413" s="15" t="s">
        <v>23</v>
      </c>
      <c r="J3413" s="15" t="s">
        <v>23</v>
      </c>
      <c r="K3413" s="13">
        <v>36.294915254237182</v>
      </c>
      <c r="L3413" s="13">
        <v>1476.7870302137019</v>
      </c>
      <c r="M3413" s="196" t="s">
        <v>423</v>
      </c>
    </row>
    <row r="3414" spans="1:13" ht="15" customHeight="1" outlineLevel="1" x14ac:dyDescent="0.25">
      <c r="A3414" s="148"/>
      <c r="B3414" s="148"/>
      <c r="C3414" s="148"/>
      <c r="D3414" s="138"/>
      <c r="E3414" s="138"/>
      <c r="F3414" s="50">
        <v>43647</v>
      </c>
      <c r="G3414" s="50">
        <v>43830</v>
      </c>
      <c r="H3414" s="150"/>
      <c r="I3414" s="15" t="s">
        <v>23</v>
      </c>
      <c r="J3414" s="15" t="s">
        <v>23</v>
      </c>
      <c r="K3414" s="13">
        <v>37.02081355932193</v>
      </c>
      <c r="L3414" s="13">
        <v>1506.3227708179759</v>
      </c>
      <c r="M3414" s="198"/>
    </row>
    <row r="3415" spans="1:13" ht="15" customHeight="1" outlineLevel="1" x14ac:dyDescent="0.25">
      <c r="A3415" s="148"/>
      <c r="B3415" s="148"/>
      <c r="C3415" s="148"/>
      <c r="D3415" s="138"/>
      <c r="E3415" s="138"/>
      <c r="F3415" s="50">
        <v>43466</v>
      </c>
      <c r="G3415" s="50">
        <v>43646</v>
      </c>
      <c r="H3415" s="150"/>
      <c r="I3415" s="15" t="s">
        <v>23</v>
      </c>
      <c r="J3415" s="15" t="s">
        <v>23</v>
      </c>
      <c r="K3415" s="13">
        <v>36.294915254237182</v>
      </c>
      <c r="L3415" s="13">
        <v>1543.9137134052339</v>
      </c>
      <c r="M3415" s="196" t="s">
        <v>424</v>
      </c>
    </row>
    <row r="3416" spans="1:13" ht="15" customHeight="1" outlineLevel="1" x14ac:dyDescent="0.25">
      <c r="A3416" s="148"/>
      <c r="B3416" s="148"/>
      <c r="C3416" s="148"/>
      <c r="D3416" s="138"/>
      <c r="E3416" s="138"/>
      <c r="F3416" s="50">
        <v>43647</v>
      </c>
      <c r="G3416" s="50">
        <v>43830</v>
      </c>
      <c r="H3416" s="150"/>
      <c r="I3416" s="15" t="s">
        <v>23</v>
      </c>
      <c r="J3416" s="15" t="s">
        <v>23</v>
      </c>
      <c r="K3416" s="13">
        <v>37.02081355932193</v>
      </c>
      <c r="L3416" s="13">
        <v>1574.7919876733383</v>
      </c>
      <c r="M3416" s="198"/>
    </row>
    <row r="3417" spans="1:13" ht="15" customHeight="1" outlineLevel="1" x14ac:dyDescent="0.25">
      <c r="A3417" s="148"/>
      <c r="B3417" s="148"/>
      <c r="C3417" s="148"/>
      <c r="D3417" s="138"/>
      <c r="E3417" s="138"/>
      <c r="F3417" s="50">
        <v>43466</v>
      </c>
      <c r="G3417" s="50">
        <v>43646</v>
      </c>
      <c r="H3417" s="150"/>
      <c r="I3417" s="15" t="s">
        <v>23</v>
      </c>
      <c r="J3417" s="15" t="s">
        <v>23</v>
      </c>
      <c r="K3417" s="13">
        <v>36.294915254237182</v>
      </c>
      <c r="L3417" s="13">
        <v>1670.4640177827123</v>
      </c>
      <c r="M3417" s="196" t="s">
        <v>425</v>
      </c>
    </row>
    <row r="3418" spans="1:13" ht="15" customHeight="1" outlineLevel="1" x14ac:dyDescent="0.25">
      <c r="A3418" s="148"/>
      <c r="B3418" s="148"/>
      <c r="C3418" s="148"/>
      <c r="D3418" s="138"/>
      <c r="E3418" s="138"/>
      <c r="F3418" s="50">
        <v>43647</v>
      </c>
      <c r="G3418" s="50">
        <v>43830</v>
      </c>
      <c r="H3418" s="150"/>
      <c r="I3418" s="15" t="s">
        <v>23</v>
      </c>
      <c r="J3418" s="15" t="s">
        <v>23</v>
      </c>
      <c r="K3418" s="13">
        <v>37.02081355932193</v>
      </c>
      <c r="L3418" s="13">
        <v>1703.8732981383662</v>
      </c>
      <c r="M3418" s="198"/>
    </row>
    <row r="3419" spans="1:13" ht="15" customHeight="1" outlineLevel="1" x14ac:dyDescent="0.25">
      <c r="A3419" s="148"/>
      <c r="B3419" s="148"/>
      <c r="C3419" s="148"/>
      <c r="D3419" s="138"/>
      <c r="E3419" s="138"/>
      <c r="F3419" s="50">
        <v>43466</v>
      </c>
      <c r="G3419" s="50">
        <v>43646</v>
      </c>
      <c r="H3419" s="150"/>
      <c r="I3419" s="15" t="s">
        <v>23</v>
      </c>
      <c r="J3419" s="15" t="s">
        <v>23</v>
      </c>
      <c r="K3419" s="13">
        <v>36.294915254237182</v>
      </c>
      <c r="L3419" s="13">
        <v>1415.2542372881312</v>
      </c>
      <c r="M3419" s="196" t="s">
        <v>426</v>
      </c>
    </row>
    <row r="3420" spans="1:13" ht="15" customHeight="1" outlineLevel="1" x14ac:dyDescent="0.25">
      <c r="A3420" s="148"/>
      <c r="B3420" s="148"/>
      <c r="C3420" s="148"/>
      <c r="D3420" s="138"/>
      <c r="E3420" s="138"/>
      <c r="F3420" s="50">
        <v>43647</v>
      </c>
      <c r="G3420" s="50">
        <v>43830</v>
      </c>
      <c r="H3420" s="150"/>
      <c r="I3420" s="15" t="s">
        <v>23</v>
      </c>
      <c r="J3420" s="15" t="s">
        <v>23</v>
      </c>
      <c r="K3420" s="13">
        <v>37.02081355932193</v>
      </c>
      <c r="L3420" s="13">
        <v>1443.5593220338937</v>
      </c>
      <c r="M3420" s="198"/>
    </row>
    <row r="3421" spans="1:13" ht="15" customHeight="1" outlineLevel="1" x14ac:dyDescent="0.25">
      <c r="A3421" s="148"/>
      <c r="B3421" s="148"/>
      <c r="C3421" s="148"/>
      <c r="D3421" s="138"/>
      <c r="E3421" s="138"/>
      <c r="F3421" s="50">
        <v>43466</v>
      </c>
      <c r="G3421" s="50">
        <v>43646</v>
      </c>
      <c r="H3421" s="150"/>
      <c r="I3421" s="15" t="s">
        <v>23</v>
      </c>
      <c r="J3421" s="15" t="s">
        <v>23</v>
      </c>
      <c r="K3421" s="13">
        <v>36.294915254237182</v>
      </c>
      <c r="L3421" s="13">
        <v>1543.9137134052339</v>
      </c>
      <c r="M3421" s="196" t="s">
        <v>427</v>
      </c>
    </row>
    <row r="3422" spans="1:13" ht="15" customHeight="1" outlineLevel="1" x14ac:dyDescent="0.25">
      <c r="A3422" s="147"/>
      <c r="B3422" s="147"/>
      <c r="C3422" s="147"/>
      <c r="D3422" s="141"/>
      <c r="E3422" s="141"/>
      <c r="F3422" s="50">
        <v>43647</v>
      </c>
      <c r="G3422" s="50">
        <v>43830</v>
      </c>
      <c r="H3422" s="151"/>
      <c r="I3422" s="15" t="s">
        <v>23</v>
      </c>
      <c r="J3422" s="15" t="s">
        <v>23</v>
      </c>
      <c r="K3422" s="13">
        <v>37.02081355932193</v>
      </c>
      <c r="L3422" s="13">
        <v>1574.7919876733383</v>
      </c>
      <c r="M3422" s="198"/>
    </row>
    <row r="3423" spans="1:13" ht="15" customHeight="1" outlineLevel="1" x14ac:dyDescent="0.25">
      <c r="A3423" s="146" t="s">
        <v>61</v>
      </c>
      <c r="B3423" s="146" t="s">
        <v>172</v>
      </c>
      <c r="C3423" s="148"/>
      <c r="D3423" s="137">
        <v>42723</v>
      </c>
      <c r="E3423" s="137" t="s">
        <v>674</v>
      </c>
      <c r="F3423" s="12">
        <v>43466</v>
      </c>
      <c r="G3423" s="12">
        <v>43646</v>
      </c>
      <c r="H3423" s="149" t="s">
        <v>675</v>
      </c>
      <c r="I3423" s="66">
        <v>30.33</v>
      </c>
      <c r="J3423" s="13">
        <v>5349.7</v>
      </c>
      <c r="K3423" s="15" t="s">
        <v>23</v>
      </c>
      <c r="L3423" s="15" t="s">
        <v>23</v>
      </c>
      <c r="M3423" s="153"/>
    </row>
    <row r="3424" spans="1:13" ht="15" customHeight="1" outlineLevel="1" x14ac:dyDescent="0.25">
      <c r="A3424" s="148"/>
      <c r="B3424" s="148"/>
      <c r="C3424" s="148"/>
      <c r="D3424" s="141"/>
      <c r="E3424" s="141"/>
      <c r="F3424" s="12">
        <v>43647</v>
      </c>
      <c r="G3424" s="12">
        <v>43830</v>
      </c>
      <c r="H3424" s="151"/>
      <c r="I3424" s="66">
        <v>31.42</v>
      </c>
      <c r="J3424" s="13">
        <v>7602.14</v>
      </c>
      <c r="K3424" s="15" t="s">
        <v>23</v>
      </c>
      <c r="L3424" s="15" t="s">
        <v>23</v>
      </c>
      <c r="M3424" s="152"/>
    </row>
    <row r="3425" spans="1:17" ht="15" customHeight="1" outlineLevel="1" x14ac:dyDescent="0.25">
      <c r="A3425" s="148"/>
      <c r="B3425" s="148"/>
      <c r="C3425" s="148"/>
      <c r="D3425" s="137">
        <v>43454</v>
      </c>
      <c r="E3425" s="137" t="s">
        <v>673</v>
      </c>
      <c r="F3425" s="50">
        <v>43466</v>
      </c>
      <c r="G3425" s="50">
        <v>43646</v>
      </c>
      <c r="H3425" s="149"/>
      <c r="I3425" s="15" t="s">
        <v>23</v>
      </c>
      <c r="J3425" s="15" t="s">
        <v>23</v>
      </c>
      <c r="K3425" s="13">
        <v>9.8000000000000007</v>
      </c>
      <c r="L3425" s="13">
        <v>1406.81</v>
      </c>
      <c r="M3425" s="196" t="s">
        <v>420</v>
      </c>
      <c r="N3425" s="55">
        <f>K3425/1.2</f>
        <v>8.1666666666666679</v>
      </c>
      <c r="O3425" s="55">
        <f>L3425/1.2</f>
        <v>1172.3416666666667</v>
      </c>
    </row>
    <row r="3426" spans="1:17" ht="15" customHeight="1" outlineLevel="1" x14ac:dyDescent="0.25">
      <c r="A3426" s="148"/>
      <c r="B3426" s="148"/>
      <c r="C3426" s="148"/>
      <c r="D3426" s="138"/>
      <c r="E3426" s="138"/>
      <c r="F3426" s="50">
        <v>43647</v>
      </c>
      <c r="G3426" s="50">
        <v>43830</v>
      </c>
      <c r="H3426" s="150"/>
      <c r="I3426" s="15" t="s">
        <v>23</v>
      </c>
      <c r="J3426" s="15" t="s">
        <v>23</v>
      </c>
      <c r="K3426" s="13">
        <v>10</v>
      </c>
      <c r="L3426" s="13">
        <v>1434.95</v>
      </c>
      <c r="M3426" s="198"/>
      <c r="N3426" s="55">
        <f t="shared" ref="N3426:N3440" si="247">K3426/1.2</f>
        <v>8.3333333333333339</v>
      </c>
      <c r="O3426" s="55">
        <f t="shared" ref="O3426:O3440" si="248">L3426/1.2</f>
        <v>1195.7916666666667</v>
      </c>
    </row>
    <row r="3427" spans="1:17" ht="15" customHeight="1" outlineLevel="1" x14ac:dyDescent="0.25">
      <c r="A3427" s="148"/>
      <c r="B3427" s="148"/>
      <c r="C3427" s="148"/>
      <c r="D3427" s="138"/>
      <c r="E3427" s="138"/>
      <c r="F3427" s="50">
        <v>43466</v>
      </c>
      <c r="G3427" s="50">
        <v>43646</v>
      </c>
      <c r="H3427" s="150"/>
      <c r="I3427" s="15" t="s">
        <v>23</v>
      </c>
      <c r="J3427" s="15" t="s">
        <v>23</v>
      </c>
      <c r="K3427" s="13">
        <v>9.8000000000000007</v>
      </c>
      <c r="L3427" s="13">
        <v>1540.79</v>
      </c>
      <c r="M3427" s="196" t="s">
        <v>421</v>
      </c>
      <c r="N3427" s="55">
        <f t="shared" si="247"/>
        <v>8.1666666666666679</v>
      </c>
      <c r="O3427" s="55">
        <f t="shared" si="248"/>
        <v>1283.9916666666668</v>
      </c>
    </row>
    <row r="3428" spans="1:17" ht="15" customHeight="1" outlineLevel="1" x14ac:dyDescent="0.25">
      <c r="A3428" s="148"/>
      <c r="B3428" s="148"/>
      <c r="C3428" s="148"/>
      <c r="D3428" s="138"/>
      <c r="E3428" s="138"/>
      <c r="F3428" s="50">
        <v>43647</v>
      </c>
      <c r="G3428" s="50">
        <v>43830</v>
      </c>
      <c r="H3428" s="150"/>
      <c r="I3428" s="15" t="s">
        <v>23</v>
      </c>
      <c r="J3428" s="15" t="s">
        <v>23</v>
      </c>
      <c r="K3428" s="13">
        <v>10</v>
      </c>
      <c r="L3428" s="13">
        <v>1571.61</v>
      </c>
      <c r="M3428" s="198"/>
      <c r="N3428" s="55">
        <f t="shared" si="247"/>
        <v>8.3333333333333339</v>
      </c>
      <c r="O3428" s="55">
        <f t="shared" si="248"/>
        <v>1309.675</v>
      </c>
    </row>
    <row r="3429" spans="1:17" ht="15" customHeight="1" outlineLevel="1" x14ac:dyDescent="0.25">
      <c r="A3429" s="148"/>
      <c r="B3429" s="148"/>
      <c r="C3429" s="148"/>
      <c r="D3429" s="138"/>
      <c r="E3429" s="138"/>
      <c r="F3429" s="50">
        <v>43466</v>
      </c>
      <c r="G3429" s="50">
        <v>43646</v>
      </c>
      <c r="H3429" s="150"/>
      <c r="I3429" s="15" t="s">
        <v>23</v>
      </c>
      <c r="J3429" s="15" t="s">
        <v>23</v>
      </c>
      <c r="K3429" s="13">
        <v>9.8000000000000007</v>
      </c>
      <c r="L3429" s="13">
        <v>1311.76</v>
      </c>
      <c r="M3429" s="196" t="s">
        <v>422</v>
      </c>
      <c r="N3429" s="55">
        <f t="shared" si="247"/>
        <v>8.1666666666666679</v>
      </c>
      <c r="O3429" s="55">
        <f t="shared" si="248"/>
        <v>1093.1333333333334</v>
      </c>
    </row>
    <row r="3430" spans="1:17" ht="15" customHeight="1" outlineLevel="1" x14ac:dyDescent="0.25">
      <c r="A3430" s="148"/>
      <c r="B3430" s="148"/>
      <c r="C3430" s="148"/>
      <c r="D3430" s="138"/>
      <c r="E3430" s="138"/>
      <c r="F3430" s="50">
        <v>43647</v>
      </c>
      <c r="G3430" s="50">
        <v>43830</v>
      </c>
      <c r="H3430" s="150"/>
      <c r="I3430" s="15" t="s">
        <v>23</v>
      </c>
      <c r="J3430" s="15" t="s">
        <v>23</v>
      </c>
      <c r="K3430" s="13">
        <v>10</v>
      </c>
      <c r="L3430" s="13">
        <v>1337.99</v>
      </c>
      <c r="M3430" s="198"/>
      <c r="N3430" s="55">
        <f t="shared" si="247"/>
        <v>8.3333333333333339</v>
      </c>
      <c r="O3430" s="55">
        <f t="shared" si="248"/>
        <v>1114.9916666666668</v>
      </c>
    </row>
    <row r="3431" spans="1:17" ht="15" customHeight="1" outlineLevel="1" x14ac:dyDescent="0.25">
      <c r="A3431" s="148"/>
      <c r="B3431" s="148"/>
      <c r="C3431" s="148"/>
      <c r="D3431" s="138"/>
      <c r="E3431" s="138"/>
      <c r="F3431" s="50">
        <v>43466</v>
      </c>
      <c r="G3431" s="50">
        <v>43646</v>
      </c>
      <c r="H3431" s="150"/>
      <c r="I3431" s="15" t="s">
        <v>23</v>
      </c>
      <c r="J3431" s="15" t="s">
        <v>23</v>
      </c>
      <c r="K3431" s="13">
        <v>9.8000000000000007</v>
      </c>
      <c r="L3431" s="13">
        <v>1406.81</v>
      </c>
      <c r="M3431" s="196" t="s">
        <v>423</v>
      </c>
      <c r="N3431" s="55">
        <f t="shared" si="247"/>
        <v>8.1666666666666679</v>
      </c>
      <c r="O3431" s="55">
        <f t="shared" si="248"/>
        <v>1172.3416666666667</v>
      </c>
    </row>
    <row r="3432" spans="1:17" ht="15" customHeight="1" outlineLevel="1" x14ac:dyDescent="0.25">
      <c r="A3432" s="148"/>
      <c r="B3432" s="148"/>
      <c r="C3432" s="148"/>
      <c r="D3432" s="138"/>
      <c r="E3432" s="138"/>
      <c r="F3432" s="50">
        <v>43647</v>
      </c>
      <c r="G3432" s="50">
        <v>43830</v>
      </c>
      <c r="H3432" s="150"/>
      <c r="I3432" s="15" t="s">
        <v>23</v>
      </c>
      <c r="J3432" s="15" t="s">
        <v>23</v>
      </c>
      <c r="K3432" s="13">
        <v>10</v>
      </c>
      <c r="L3432" s="13">
        <v>1434.95</v>
      </c>
      <c r="M3432" s="198"/>
      <c r="N3432" s="55">
        <f t="shared" si="247"/>
        <v>8.3333333333333339</v>
      </c>
      <c r="O3432" s="55">
        <f t="shared" si="248"/>
        <v>1195.7916666666667</v>
      </c>
    </row>
    <row r="3433" spans="1:17" ht="15" customHeight="1" outlineLevel="1" x14ac:dyDescent="0.25">
      <c r="A3433" s="148"/>
      <c r="B3433" s="148"/>
      <c r="C3433" s="148"/>
      <c r="D3433" s="138"/>
      <c r="E3433" s="138"/>
      <c r="F3433" s="50">
        <v>43466</v>
      </c>
      <c r="G3433" s="50">
        <v>43646</v>
      </c>
      <c r="H3433" s="150"/>
      <c r="I3433" s="15" t="s">
        <v>23</v>
      </c>
      <c r="J3433" s="15" t="s">
        <v>23</v>
      </c>
      <c r="K3433" s="13">
        <v>9.8000000000000007</v>
      </c>
      <c r="L3433" s="13">
        <v>1470.76</v>
      </c>
      <c r="M3433" s="196" t="s">
        <v>424</v>
      </c>
      <c r="N3433" s="55">
        <f t="shared" si="247"/>
        <v>8.1666666666666679</v>
      </c>
      <c r="O3433" s="55">
        <f t="shared" si="248"/>
        <v>1225.6333333333334</v>
      </c>
    </row>
    <row r="3434" spans="1:17" ht="15" customHeight="1" outlineLevel="1" x14ac:dyDescent="0.25">
      <c r="A3434" s="148"/>
      <c r="B3434" s="148"/>
      <c r="C3434" s="148"/>
      <c r="D3434" s="138"/>
      <c r="E3434" s="138"/>
      <c r="F3434" s="50">
        <v>43647</v>
      </c>
      <c r="G3434" s="50">
        <v>43830</v>
      </c>
      <c r="H3434" s="150"/>
      <c r="I3434" s="15" t="s">
        <v>23</v>
      </c>
      <c r="J3434" s="15" t="s">
        <v>23</v>
      </c>
      <c r="K3434" s="13">
        <v>10</v>
      </c>
      <c r="L3434" s="13">
        <v>1500.17</v>
      </c>
      <c r="M3434" s="198"/>
      <c r="N3434" s="55">
        <f t="shared" si="247"/>
        <v>8.3333333333333339</v>
      </c>
      <c r="O3434" s="55">
        <f t="shared" si="248"/>
        <v>1250.1416666666669</v>
      </c>
    </row>
    <row r="3435" spans="1:17" ht="15" customHeight="1" outlineLevel="1" x14ac:dyDescent="0.25">
      <c r="A3435" s="148"/>
      <c r="B3435" s="148"/>
      <c r="C3435" s="148"/>
      <c r="D3435" s="138"/>
      <c r="E3435" s="138"/>
      <c r="F3435" s="50">
        <v>43466</v>
      </c>
      <c r="G3435" s="50">
        <v>43646</v>
      </c>
      <c r="H3435" s="150"/>
      <c r="I3435" s="15" t="s">
        <v>23</v>
      </c>
      <c r="J3435" s="15" t="s">
        <v>23</v>
      </c>
      <c r="K3435" s="13">
        <v>9.8000000000000007</v>
      </c>
      <c r="L3435" s="13">
        <v>1591.31</v>
      </c>
      <c r="M3435" s="196" t="s">
        <v>425</v>
      </c>
      <c r="N3435" s="55">
        <f t="shared" si="247"/>
        <v>8.1666666666666679</v>
      </c>
      <c r="O3435" s="55">
        <f t="shared" si="248"/>
        <v>1326.0916666666667</v>
      </c>
    </row>
    <row r="3436" spans="1:17" ht="15" customHeight="1" outlineLevel="1" x14ac:dyDescent="0.25">
      <c r="A3436" s="148"/>
      <c r="B3436" s="148"/>
      <c r="C3436" s="148"/>
      <c r="D3436" s="138"/>
      <c r="E3436" s="138"/>
      <c r="F3436" s="50">
        <v>43647</v>
      </c>
      <c r="G3436" s="50">
        <v>43830</v>
      </c>
      <c r="H3436" s="150"/>
      <c r="I3436" s="15" t="s">
        <v>23</v>
      </c>
      <c r="J3436" s="15" t="s">
        <v>23</v>
      </c>
      <c r="K3436" s="13">
        <v>10</v>
      </c>
      <c r="L3436" s="13">
        <v>1623.14</v>
      </c>
      <c r="M3436" s="198"/>
      <c r="N3436" s="55">
        <f t="shared" si="247"/>
        <v>8.3333333333333339</v>
      </c>
      <c r="O3436" s="55">
        <f t="shared" si="248"/>
        <v>1352.6166666666668</v>
      </c>
    </row>
    <row r="3437" spans="1:17" ht="15" customHeight="1" outlineLevel="1" x14ac:dyDescent="0.25">
      <c r="A3437" s="148"/>
      <c r="B3437" s="148"/>
      <c r="C3437" s="148"/>
      <c r="D3437" s="138"/>
      <c r="E3437" s="138"/>
      <c r="F3437" s="50">
        <v>43466</v>
      </c>
      <c r="G3437" s="50">
        <v>43646</v>
      </c>
      <c r="H3437" s="150"/>
      <c r="I3437" s="15" t="s">
        <v>23</v>
      </c>
      <c r="J3437" s="15" t="s">
        <v>23</v>
      </c>
      <c r="K3437" s="13">
        <v>9.8000000000000007</v>
      </c>
      <c r="L3437" s="13">
        <v>1348.19</v>
      </c>
      <c r="M3437" s="196" t="s">
        <v>426</v>
      </c>
      <c r="N3437" s="55">
        <f t="shared" si="247"/>
        <v>8.1666666666666679</v>
      </c>
      <c r="O3437" s="55">
        <f t="shared" si="248"/>
        <v>1123.4916666666668</v>
      </c>
      <c r="P3437" s="122">
        <f>I3423-N3437</f>
        <v>22.16333333333333</v>
      </c>
      <c r="Q3437" s="57">
        <f>J3423-O3437</f>
        <v>4226.208333333333</v>
      </c>
    </row>
    <row r="3438" spans="1:17" ht="15" customHeight="1" outlineLevel="1" x14ac:dyDescent="0.25">
      <c r="A3438" s="148"/>
      <c r="B3438" s="148"/>
      <c r="C3438" s="148"/>
      <c r="D3438" s="138"/>
      <c r="E3438" s="138"/>
      <c r="F3438" s="50">
        <v>43647</v>
      </c>
      <c r="G3438" s="50">
        <v>43830</v>
      </c>
      <c r="H3438" s="150"/>
      <c r="I3438" s="15" t="s">
        <v>23</v>
      </c>
      <c r="J3438" s="15" t="s">
        <v>23</v>
      </c>
      <c r="K3438" s="13">
        <v>10</v>
      </c>
      <c r="L3438" s="13">
        <v>1375.16</v>
      </c>
      <c r="M3438" s="198"/>
      <c r="N3438" s="55">
        <f t="shared" si="247"/>
        <v>8.3333333333333339</v>
      </c>
      <c r="O3438" s="55">
        <f t="shared" si="248"/>
        <v>1145.9666666666667</v>
      </c>
    </row>
    <row r="3439" spans="1:17" ht="15" customHeight="1" outlineLevel="1" x14ac:dyDescent="0.25">
      <c r="A3439" s="148"/>
      <c r="B3439" s="148"/>
      <c r="C3439" s="148"/>
      <c r="D3439" s="138"/>
      <c r="E3439" s="138"/>
      <c r="F3439" s="50">
        <v>43466</v>
      </c>
      <c r="G3439" s="50">
        <v>43646</v>
      </c>
      <c r="H3439" s="150"/>
      <c r="I3439" s="15" t="s">
        <v>23</v>
      </c>
      <c r="J3439" s="15" t="s">
        <v>23</v>
      </c>
      <c r="K3439" s="13">
        <v>9.8000000000000007</v>
      </c>
      <c r="L3439" s="13">
        <v>1470.76</v>
      </c>
      <c r="M3439" s="196" t="s">
        <v>427</v>
      </c>
      <c r="N3439" s="55">
        <f t="shared" si="247"/>
        <v>8.1666666666666679</v>
      </c>
      <c r="O3439" s="55">
        <f t="shared" si="248"/>
        <v>1225.6333333333334</v>
      </c>
      <c r="P3439" s="122">
        <f>I3423-N3439</f>
        <v>22.16333333333333</v>
      </c>
      <c r="Q3439" s="57">
        <f>J3423-O3439</f>
        <v>4124.0666666666666</v>
      </c>
    </row>
    <row r="3440" spans="1:17" ht="15" customHeight="1" outlineLevel="1" x14ac:dyDescent="0.25">
      <c r="A3440" s="147"/>
      <c r="B3440" s="147"/>
      <c r="C3440" s="148"/>
      <c r="D3440" s="141"/>
      <c r="E3440" s="141"/>
      <c r="F3440" s="50">
        <v>43647</v>
      </c>
      <c r="G3440" s="50">
        <v>43830</v>
      </c>
      <c r="H3440" s="151"/>
      <c r="I3440" s="15" t="s">
        <v>23</v>
      </c>
      <c r="J3440" s="15" t="s">
        <v>23</v>
      </c>
      <c r="K3440" s="13">
        <v>10</v>
      </c>
      <c r="L3440" s="13">
        <v>1500.17</v>
      </c>
      <c r="M3440" s="198"/>
      <c r="N3440" s="55">
        <f t="shared" si="247"/>
        <v>8.3333333333333339</v>
      </c>
      <c r="O3440" s="55">
        <f t="shared" si="248"/>
        <v>1250.1416666666669</v>
      </c>
    </row>
    <row r="3441" spans="1:20" ht="15" customHeight="1" outlineLevel="1" x14ac:dyDescent="0.25">
      <c r="A3441" s="146" t="s">
        <v>61</v>
      </c>
      <c r="B3441" s="146" t="s">
        <v>554</v>
      </c>
      <c r="C3441" s="148"/>
      <c r="D3441" s="137">
        <v>42723</v>
      </c>
      <c r="E3441" s="137" t="s">
        <v>674</v>
      </c>
      <c r="F3441" s="12">
        <v>43466</v>
      </c>
      <c r="G3441" s="12">
        <v>43646</v>
      </c>
      <c r="H3441" s="149" t="s">
        <v>675</v>
      </c>
      <c r="I3441" s="66">
        <v>30.33</v>
      </c>
      <c r="J3441" s="13">
        <v>5349.7</v>
      </c>
      <c r="K3441" s="15" t="s">
        <v>23</v>
      </c>
      <c r="L3441" s="15" t="s">
        <v>23</v>
      </c>
      <c r="M3441" s="153"/>
    </row>
    <row r="3442" spans="1:20" ht="15" customHeight="1" outlineLevel="1" x14ac:dyDescent="0.25">
      <c r="A3442" s="148"/>
      <c r="B3442" s="148"/>
      <c r="C3442" s="148"/>
      <c r="D3442" s="141"/>
      <c r="E3442" s="141"/>
      <c r="F3442" s="12">
        <v>43647</v>
      </c>
      <c r="G3442" s="12">
        <v>43830</v>
      </c>
      <c r="H3442" s="151"/>
      <c r="I3442" s="66">
        <v>31.42</v>
      </c>
      <c r="J3442" s="13">
        <v>7602.14</v>
      </c>
      <c r="K3442" s="15" t="s">
        <v>23</v>
      </c>
      <c r="L3442" s="15" t="s">
        <v>23</v>
      </c>
      <c r="M3442" s="152"/>
    </row>
    <row r="3443" spans="1:20" ht="15" customHeight="1" outlineLevel="1" x14ac:dyDescent="0.25">
      <c r="A3443" s="148"/>
      <c r="B3443" s="148"/>
      <c r="C3443" s="148"/>
      <c r="D3443" s="137">
        <v>43454</v>
      </c>
      <c r="E3443" s="137" t="s">
        <v>673</v>
      </c>
      <c r="F3443" s="50">
        <v>43466</v>
      </c>
      <c r="G3443" s="50">
        <v>43646</v>
      </c>
      <c r="H3443" s="149"/>
      <c r="I3443" s="15" t="s">
        <v>23</v>
      </c>
      <c r="J3443" s="15" t="s">
        <v>23</v>
      </c>
      <c r="K3443" s="13">
        <v>10.76</v>
      </c>
      <c r="L3443" s="13">
        <v>1543.34</v>
      </c>
      <c r="M3443" s="196" t="s">
        <v>420</v>
      </c>
      <c r="N3443" s="55">
        <f>K3443/1.2</f>
        <v>8.9666666666666668</v>
      </c>
      <c r="O3443" s="55">
        <f>L3443/1.2</f>
        <v>1286.1166666666666</v>
      </c>
    </row>
    <row r="3444" spans="1:20" ht="15" customHeight="1" outlineLevel="1" x14ac:dyDescent="0.25">
      <c r="A3444" s="148"/>
      <c r="B3444" s="148"/>
      <c r="C3444" s="148"/>
      <c r="D3444" s="138"/>
      <c r="E3444" s="138"/>
      <c r="F3444" s="50">
        <v>43647</v>
      </c>
      <c r="G3444" s="50">
        <v>43830</v>
      </c>
      <c r="H3444" s="150"/>
      <c r="I3444" s="15" t="s">
        <v>23</v>
      </c>
      <c r="J3444" s="15" t="s">
        <v>23</v>
      </c>
      <c r="K3444" s="13">
        <v>10.97</v>
      </c>
      <c r="L3444" s="13">
        <v>1574.21</v>
      </c>
      <c r="M3444" s="198"/>
      <c r="N3444" s="55">
        <f t="shared" ref="N3444:N3458" si="249">K3444/1.2</f>
        <v>9.1416666666666675</v>
      </c>
      <c r="O3444" s="55">
        <f t="shared" ref="O3444:O3458" si="250">L3444/1.2</f>
        <v>1311.8416666666667</v>
      </c>
    </row>
    <row r="3445" spans="1:20" ht="15" customHeight="1" outlineLevel="1" x14ac:dyDescent="0.25">
      <c r="A3445" s="148"/>
      <c r="B3445" s="148"/>
      <c r="C3445" s="148"/>
      <c r="D3445" s="138"/>
      <c r="E3445" s="138"/>
      <c r="F3445" s="50">
        <v>43466</v>
      </c>
      <c r="G3445" s="50">
        <v>43646</v>
      </c>
      <c r="H3445" s="150"/>
      <c r="I3445" s="15" t="s">
        <v>23</v>
      </c>
      <c r="J3445" s="15" t="s">
        <v>23</v>
      </c>
      <c r="K3445" s="13">
        <v>10.76</v>
      </c>
      <c r="L3445" s="13">
        <v>1690.33</v>
      </c>
      <c r="M3445" s="196" t="s">
        <v>421</v>
      </c>
      <c r="N3445" s="55">
        <f t="shared" si="249"/>
        <v>8.9666666666666668</v>
      </c>
      <c r="O3445" s="55">
        <f t="shared" si="250"/>
        <v>1408.6083333333333</v>
      </c>
    </row>
    <row r="3446" spans="1:20" ht="15" customHeight="1" outlineLevel="1" x14ac:dyDescent="0.25">
      <c r="A3446" s="148"/>
      <c r="B3446" s="148"/>
      <c r="C3446" s="148"/>
      <c r="D3446" s="138"/>
      <c r="E3446" s="138"/>
      <c r="F3446" s="50">
        <v>43647</v>
      </c>
      <c r="G3446" s="50">
        <v>43830</v>
      </c>
      <c r="H3446" s="150"/>
      <c r="I3446" s="15" t="s">
        <v>23</v>
      </c>
      <c r="J3446" s="15" t="s">
        <v>23</v>
      </c>
      <c r="K3446" s="13">
        <v>10.97</v>
      </c>
      <c r="L3446" s="13">
        <v>1724.13</v>
      </c>
      <c r="M3446" s="198"/>
      <c r="N3446" s="55">
        <f t="shared" si="249"/>
        <v>9.1416666666666675</v>
      </c>
      <c r="O3446" s="55">
        <f t="shared" si="250"/>
        <v>1436.7750000000001</v>
      </c>
    </row>
    <row r="3447" spans="1:20" ht="15" customHeight="1" outlineLevel="1" x14ac:dyDescent="0.25">
      <c r="A3447" s="148"/>
      <c r="B3447" s="148"/>
      <c r="C3447" s="148"/>
      <c r="D3447" s="138"/>
      <c r="E3447" s="138"/>
      <c r="F3447" s="50">
        <v>43466</v>
      </c>
      <c r="G3447" s="50">
        <v>43646</v>
      </c>
      <c r="H3447" s="150"/>
      <c r="I3447" s="15" t="s">
        <v>23</v>
      </c>
      <c r="J3447" s="15" t="s">
        <v>23</v>
      </c>
      <c r="K3447" s="13">
        <v>10.76</v>
      </c>
      <c r="L3447" s="13">
        <v>1439.06</v>
      </c>
      <c r="M3447" s="196" t="s">
        <v>422</v>
      </c>
      <c r="N3447" s="55">
        <f t="shared" si="249"/>
        <v>8.9666666666666668</v>
      </c>
      <c r="O3447" s="55">
        <f t="shared" si="250"/>
        <v>1199.2166666666667</v>
      </c>
    </row>
    <row r="3448" spans="1:20" ht="15" customHeight="1" outlineLevel="1" x14ac:dyDescent="0.25">
      <c r="A3448" s="148"/>
      <c r="B3448" s="148"/>
      <c r="C3448" s="148"/>
      <c r="D3448" s="138"/>
      <c r="E3448" s="138"/>
      <c r="F3448" s="50">
        <v>43647</v>
      </c>
      <c r="G3448" s="50">
        <v>43830</v>
      </c>
      <c r="H3448" s="150"/>
      <c r="I3448" s="15" t="s">
        <v>23</v>
      </c>
      <c r="J3448" s="15" t="s">
        <v>23</v>
      </c>
      <c r="K3448" s="13">
        <v>10.97</v>
      </c>
      <c r="L3448" s="13">
        <v>1467.84</v>
      </c>
      <c r="M3448" s="198"/>
      <c r="N3448" s="55">
        <f t="shared" si="249"/>
        <v>9.1416666666666675</v>
      </c>
      <c r="O3448" s="55">
        <f t="shared" si="250"/>
        <v>1223.2</v>
      </c>
    </row>
    <row r="3449" spans="1:20" ht="15" customHeight="1" outlineLevel="1" x14ac:dyDescent="0.25">
      <c r="A3449" s="148"/>
      <c r="B3449" s="148"/>
      <c r="C3449" s="148"/>
      <c r="D3449" s="138"/>
      <c r="E3449" s="138"/>
      <c r="F3449" s="50">
        <v>43466</v>
      </c>
      <c r="G3449" s="50">
        <v>43646</v>
      </c>
      <c r="H3449" s="150"/>
      <c r="I3449" s="15" t="s">
        <v>23</v>
      </c>
      <c r="J3449" s="15" t="s">
        <v>23</v>
      </c>
      <c r="K3449" s="13">
        <v>10.76</v>
      </c>
      <c r="L3449" s="13">
        <v>1543.34</v>
      </c>
      <c r="M3449" s="196" t="s">
        <v>423</v>
      </c>
      <c r="N3449" s="55">
        <f t="shared" si="249"/>
        <v>8.9666666666666668</v>
      </c>
      <c r="O3449" s="55">
        <f t="shared" si="250"/>
        <v>1286.1166666666666</v>
      </c>
    </row>
    <row r="3450" spans="1:20" ht="15" customHeight="1" outlineLevel="1" x14ac:dyDescent="0.25">
      <c r="A3450" s="148"/>
      <c r="B3450" s="148"/>
      <c r="C3450" s="148"/>
      <c r="D3450" s="138"/>
      <c r="E3450" s="138"/>
      <c r="F3450" s="50">
        <v>43647</v>
      </c>
      <c r="G3450" s="50">
        <v>43830</v>
      </c>
      <c r="H3450" s="150"/>
      <c r="I3450" s="15" t="s">
        <v>23</v>
      </c>
      <c r="J3450" s="15" t="s">
        <v>23</v>
      </c>
      <c r="K3450" s="13">
        <v>10.97</v>
      </c>
      <c r="L3450" s="13">
        <v>1574.21</v>
      </c>
      <c r="M3450" s="198"/>
      <c r="N3450" s="55">
        <f t="shared" si="249"/>
        <v>9.1416666666666675</v>
      </c>
      <c r="O3450" s="55">
        <f t="shared" si="250"/>
        <v>1311.8416666666667</v>
      </c>
    </row>
    <row r="3451" spans="1:20" ht="15" customHeight="1" outlineLevel="1" x14ac:dyDescent="0.25">
      <c r="A3451" s="148"/>
      <c r="B3451" s="148"/>
      <c r="C3451" s="148"/>
      <c r="D3451" s="138"/>
      <c r="E3451" s="138"/>
      <c r="F3451" s="50">
        <v>43466</v>
      </c>
      <c r="G3451" s="50">
        <v>43646</v>
      </c>
      <c r="H3451" s="150"/>
      <c r="I3451" s="15" t="s">
        <v>23</v>
      </c>
      <c r="J3451" s="15" t="s">
        <v>23</v>
      </c>
      <c r="K3451" s="13">
        <v>10.76</v>
      </c>
      <c r="L3451" s="13">
        <v>1613.5</v>
      </c>
      <c r="M3451" s="196" t="s">
        <v>424</v>
      </c>
      <c r="N3451" s="55">
        <f t="shared" si="249"/>
        <v>8.9666666666666668</v>
      </c>
      <c r="O3451" s="55">
        <f t="shared" si="250"/>
        <v>1344.5833333333335</v>
      </c>
    </row>
    <row r="3452" spans="1:20" ht="15" customHeight="1" outlineLevel="1" x14ac:dyDescent="0.25">
      <c r="A3452" s="148"/>
      <c r="B3452" s="148"/>
      <c r="C3452" s="148"/>
      <c r="D3452" s="138"/>
      <c r="E3452" s="138"/>
      <c r="F3452" s="50">
        <v>43647</v>
      </c>
      <c r="G3452" s="50">
        <v>43830</v>
      </c>
      <c r="H3452" s="150"/>
      <c r="I3452" s="15" t="s">
        <v>23</v>
      </c>
      <c r="J3452" s="15" t="s">
        <v>23</v>
      </c>
      <c r="K3452" s="13">
        <v>10.97</v>
      </c>
      <c r="L3452" s="13">
        <v>1645.77</v>
      </c>
      <c r="M3452" s="198"/>
      <c r="N3452" s="55">
        <f t="shared" si="249"/>
        <v>9.1416666666666675</v>
      </c>
      <c r="O3452" s="55">
        <f t="shared" si="250"/>
        <v>1371.4750000000001</v>
      </c>
    </row>
    <row r="3453" spans="1:20" ht="15" customHeight="1" outlineLevel="1" x14ac:dyDescent="0.25">
      <c r="A3453" s="148"/>
      <c r="B3453" s="148"/>
      <c r="C3453" s="148"/>
      <c r="D3453" s="138"/>
      <c r="E3453" s="138"/>
      <c r="F3453" s="50">
        <v>43466</v>
      </c>
      <c r="G3453" s="50">
        <v>43646</v>
      </c>
      <c r="H3453" s="150"/>
      <c r="I3453" s="15" t="s">
        <v>23</v>
      </c>
      <c r="J3453" s="15" t="s">
        <v>23</v>
      </c>
      <c r="K3453" s="13">
        <v>10.76</v>
      </c>
      <c r="L3453" s="13">
        <v>1745.75</v>
      </c>
      <c r="M3453" s="196" t="s">
        <v>425</v>
      </c>
      <c r="N3453" s="55">
        <f t="shared" si="249"/>
        <v>8.9666666666666668</v>
      </c>
      <c r="O3453" s="55">
        <f t="shared" si="250"/>
        <v>1454.7916666666667</v>
      </c>
    </row>
    <row r="3454" spans="1:20" ht="15" customHeight="1" outlineLevel="1" x14ac:dyDescent="0.25">
      <c r="A3454" s="148"/>
      <c r="B3454" s="148"/>
      <c r="C3454" s="148"/>
      <c r="D3454" s="138"/>
      <c r="E3454" s="138"/>
      <c r="F3454" s="50">
        <v>43647</v>
      </c>
      <c r="G3454" s="50">
        <v>43830</v>
      </c>
      <c r="H3454" s="150"/>
      <c r="I3454" s="15" t="s">
        <v>23</v>
      </c>
      <c r="J3454" s="15" t="s">
        <v>23</v>
      </c>
      <c r="K3454" s="13">
        <v>10.97</v>
      </c>
      <c r="L3454" s="13">
        <v>1780.66</v>
      </c>
      <c r="M3454" s="198"/>
      <c r="N3454" s="55">
        <f t="shared" si="249"/>
        <v>9.1416666666666675</v>
      </c>
      <c r="O3454" s="55">
        <f t="shared" si="250"/>
        <v>1483.8833333333334</v>
      </c>
    </row>
    <row r="3455" spans="1:20" ht="15" customHeight="1" outlineLevel="1" x14ac:dyDescent="0.25">
      <c r="A3455" s="148"/>
      <c r="B3455" s="148"/>
      <c r="C3455" s="148"/>
      <c r="D3455" s="138"/>
      <c r="E3455" s="138"/>
      <c r="F3455" s="50">
        <v>43466</v>
      </c>
      <c r="G3455" s="50">
        <v>43646</v>
      </c>
      <c r="H3455" s="150"/>
      <c r="I3455" s="15" t="s">
        <v>23</v>
      </c>
      <c r="J3455" s="15" t="s">
        <v>23</v>
      </c>
      <c r="K3455" s="13">
        <v>10.76</v>
      </c>
      <c r="L3455" s="13">
        <v>1479.04</v>
      </c>
      <c r="M3455" s="196" t="s">
        <v>426</v>
      </c>
      <c r="N3455" s="55">
        <f t="shared" si="249"/>
        <v>8.9666666666666668</v>
      </c>
      <c r="O3455" s="55">
        <f t="shared" si="250"/>
        <v>1232.5333333333333</v>
      </c>
      <c r="P3455" s="122">
        <f>I3441-N3455</f>
        <v>21.36333333333333</v>
      </c>
      <c r="Q3455" s="57">
        <f>J3441-O3455</f>
        <v>4117.1666666666661</v>
      </c>
      <c r="R3455" s="57">
        <f>P3455*875.139</f>
        <v>18695.886169999998</v>
      </c>
      <c r="S3455" s="58">
        <f>Q3455*63.009</f>
        <v>259418.55449999997</v>
      </c>
      <c r="T3455" s="55">
        <f>R3455+S3455</f>
        <v>278114.44066999998</v>
      </c>
    </row>
    <row r="3456" spans="1:20" ht="15" customHeight="1" outlineLevel="1" x14ac:dyDescent="0.25">
      <c r="A3456" s="148"/>
      <c r="B3456" s="148"/>
      <c r="C3456" s="148"/>
      <c r="D3456" s="138"/>
      <c r="E3456" s="138"/>
      <c r="F3456" s="50">
        <v>43647</v>
      </c>
      <c r="G3456" s="50">
        <v>43830</v>
      </c>
      <c r="H3456" s="150"/>
      <c r="I3456" s="15" t="s">
        <v>23</v>
      </c>
      <c r="J3456" s="15" t="s">
        <v>23</v>
      </c>
      <c r="K3456" s="13">
        <v>10.97</v>
      </c>
      <c r="L3456" s="13">
        <v>1508.62</v>
      </c>
      <c r="M3456" s="198"/>
      <c r="N3456" s="55">
        <f t="shared" si="249"/>
        <v>9.1416666666666675</v>
      </c>
      <c r="O3456" s="55">
        <f t="shared" si="250"/>
        <v>1257.1833333333334</v>
      </c>
    </row>
    <row r="3457" spans="1:20" ht="15" customHeight="1" outlineLevel="1" x14ac:dyDescent="0.25">
      <c r="A3457" s="148"/>
      <c r="B3457" s="148"/>
      <c r="C3457" s="148"/>
      <c r="D3457" s="138"/>
      <c r="E3457" s="138"/>
      <c r="F3457" s="50">
        <v>43466</v>
      </c>
      <c r="G3457" s="50">
        <v>43646</v>
      </c>
      <c r="H3457" s="150"/>
      <c r="I3457" s="15" t="s">
        <v>23</v>
      </c>
      <c r="J3457" s="15" t="s">
        <v>23</v>
      </c>
      <c r="K3457" s="13">
        <v>10.76</v>
      </c>
      <c r="L3457" s="13">
        <v>1613.5</v>
      </c>
      <c r="M3457" s="196" t="s">
        <v>427</v>
      </c>
      <c r="N3457" s="55">
        <f t="shared" si="249"/>
        <v>8.9666666666666668</v>
      </c>
      <c r="O3457" s="55">
        <f t="shared" si="250"/>
        <v>1344.5833333333335</v>
      </c>
      <c r="P3457" s="122">
        <f>I3441-N3457</f>
        <v>21.36333333333333</v>
      </c>
      <c r="Q3457" s="57">
        <f>J3441-O3457</f>
        <v>4005.1166666666663</v>
      </c>
      <c r="R3457" s="57">
        <f>P3457*191.802</f>
        <v>4097.5300599999991</v>
      </c>
      <c r="S3457" s="58">
        <f>Q3457*12.658</f>
        <v>50696.76676666666</v>
      </c>
      <c r="T3457" s="55">
        <f>R3457+S3457</f>
        <v>54794.296826666658</v>
      </c>
    </row>
    <row r="3458" spans="1:20" ht="15" customHeight="1" outlineLevel="1" x14ac:dyDescent="0.25">
      <c r="A3458" s="147"/>
      <c r="B3458" s="147"/>
      <c r="C3458" s="148"/>
      <c r="D3458" s="141"/>
      <c r="E3458" s="141"/>
      <c r="F3458" s="50">
        <v>43647</v>
      </c>
      <c r="G3458" s="50">
        <v>43830</v>
      </c>
      <c r="H3458" s="151"/>
      <c r="I3458" s="15" t="s">
        <v>23</v>
      </c>
      <c r="J3458" s="15" t="s">
        <v>23</v>
      </c>
      <c r="K3458" s="13">
        <v>10.97</v>
      </c>
      <c r="L3458" s="13">
        <v>1645.77</v>
      </c>
      <c r="M3458" s="198"/>
      <c r="N3458" s="55">
        <f t="shared" si="249"/>
        <v>9.1416666666666675</v>
      </c>
      <c r="O3458" s="55">
        <f t="shared" si="250"/>
        <v>1371.4750000000001</v>
      </c>
    </row>
    <row r="3459" spans="1:20" ht="15" customHeight="1" outlineLevel="1" x14ac:dyDescent="0.25">
      <c r="A3459" s="146" t="s">
        <v>61</v>
      </c>
      <c r="B3459" s="146" t="s">
        <v>551</v>
      </c>
      <c r="C3459" s="148"/>
      <c r="D3459" s="137">
        <v>42723</v>
      </c>
      <c r="E3459" s="137" t="s">
        <v>674</v>
      </c>
      <c r="F3459" s="12">
        <v>43466</v>
      </c>
      <c r="G3459" s="12">
        <v>43646</v>
      </c>
      <c r="H3459" s="149" t="s">
        <v>675</v>
      </c>
      <c r="I3459" s="66">
        <v>30.33</v>
      </c>
      <c r="J3459" s="13">
        <v>5349.7</v>
      </c>
      <c r="K3459" s="15" t="s">
        <v>23</v>
      </c>
      <c r="L3459" s="15" t="s">
        <v>23</v>
      </c>
      <c r="M3459" s="153"/>
    </row>
    <row r="3460" spans="1:20" ht="15" customHeight="1" outlineLevel="1" x14ac:dyDescent="0.25">
      <c r="A3460" s="148"/>
      <c r="B3460" s="148"/>
      <c r="C3460" s="148"/>
      <c r="D3460" s="141"/>
      <c r="E3460" s="141"/>
      <c r="F3460" s="12">
        <v>43647</v>
      </c>
      <c r="G3460" s="12">
        <v>43830</v>
      </c>
      <c r="H3460" s="151"/>
      <c r="I3460" s="66">
        <v>31.42</v>
      </c>
      <c r="J3460" s="13">
        <v>7602.14</v>
      </c>
      <c r="K3460" s="15" t="s">
        <v>23</v>
      </c>
      <c r="L3460" s="15" t="s">
        <v>23</v>
      </c>
      <c r="M3460" s="152"/>
    </row>
    <row r="3461" spans="1:20" ht="15" customHeight="1" outlineLevel="1" x14ac:dyDescent="0.25">
      <c r="A3461" s="148"/>
      <c r="B3461" s="148"/>
      <c r="C3461" s="148"/>
      <c r="D3461" s="137">
        <v>43454</v>
      </c>
      <c r="E3461" s="137" t="s">
        <v>673</v>
      </c>
      <c r="F3461" s="50">
        <v>43466</v>
      </c>
      <c r="G3461" s="50">
        <v>43646</v>
      </c>
      <c r="H3461" s="149"/>
      <c r="I3461" s="15" t="s">
        <v>23</v>
      </c>
      <c r="J3461" s="15" t="s">
        <v>23</v>
      </c>
      <c r="K3461" s="13">
        <v>10</v>
      </c>
      <c r="L3461" s="13">
        <v>1433.47</v>
      </c>
      <c r="M3461" s="196" t="s">
        <v>420</v>
      </c>
      <c r="N3461" s="55">
        <f>K3461/1.2</f>
        <v>8.3333333333333339</v>
      </c>
      <c r="O3461" s="55">
        <f>L3461/1.2</f>
        <v>1194.5583333333334</v>
      </c>
    </row>
    <row r="3462" spans="1:20" ht="15" customHeight="1" outlineLevel="1" x14ac:dyDescent="0.25">
      <c r="A3462" s="148"/>
      <c r="B3462" s="148"/>
      <c r="C3462" s="148"/>
      <c r="D3462" s="138"/>
      <c r="E3462" s="138"/>
      <c r="F3462" s="50">
        <v>43647</v>
      </c>
      <c r="G3462" s="50">
        <v>43830</v>
      </c>
      <c r="H3462" s="150"/>
      <c r="I3462" s="15" t="s">
        <v>23</v>
      </c>
      <c r="J3462" s="15" t="s">
        <v>23</v>
      </c>
      <c r="K3462" s="13">
        <v>10.199999999999999</v>
      </c>
      <c r="L3462" s="13">
        <v>1462.14</v>
      </c>
      <c r="M3462" s="198"/>
      <c r="N3462" s="55">
        <f t="shared" ref="N3462:N3476" si="251">K3462/1.2</f>
        <v>8.5</v>
      </c>
      <c r="O3462" s="55">
        <f t="shared" ref="O3462:O3476" si="252">L3462/1.2</f>
        <v>1218.45</v>
      </c>
    </row>
    <row r="3463" spans="1:20" ht="15" customHeight="1" outlineLevel="1" x14ac:dyDescent="0.25">
      <c r="A3463" s="148"/>
      <c r="B3463" s="148"/>
      <c r="C3463" s="148"/>
      <c r="D3463" s="138"/>
      <c r="E3463" s="138"/>
      <c r="F3463" s="50">
        <v>43466</v>
      </c>
      <c r="G3463" s="50">
        <v>43646</v>
      </c>
      <c r="H3463" s="150"/>
      <c r="I3463" s="15" t="s">
        <v>23</v>
      </c>
      <c r="J3463" s="15" t="s">
        <v>23</v>
      </c>
      <c r="K3463" s="13">
        <v>10</v>
      </c>
      <c r="L3463" s="13">
        <v>1569.99</v>
      </c>
      <c r="M3463" s="196" t="s">
        <v>421</v>
      </c>
      <c r="N3463" s="55">
        <f t="shared" si="251"/>
        <v>8.3333333333333339</v>
      </c>
      <c r="O3463" s="55">
        <f t="shared" si="252"/>
        <v>1308.325</v>
      </c>
    </row>
    <row r="3464" spans="1:20" ht="15" customHeight="1" outlineLevel="1" x14ac:dyDescent="0.25">
      <c r="A3464" s="148"/>
      <c r="B3464" s="148"/>
      <c r="C3464" s="148"/>
      <c r="D3464" s="138"/>
      <c r="E3464" s="138"/>
      <c r="F3464" s="50">
        <v>43647</v>
      </c>
      <c r="G3464" s="50">
        <v>43830</v>
      </c>
      <c r="H3464" s="150"/>
      <c r="I3464" s="15" t="s">
        <v>23</v>
      </c>
      <c r="J3464" s="15" t="s">
        <v>23</v>
      </c>
      <c r="K3464" s="13">
        <v>10.199999999999999</v>
      </c>
      <c r="L3464" s="13">
        <v>1601.39</v>
      </c>
      <c r="M3464" s="198"/>
      <c r="N3464" s="55">
        <f t="shared" si="251"/>
        <v>8.5</v>
      </c>
      <c r="O3464" s="55">
        <f t="shared" si="252"/>
        <v>1334.4916666666668</v>
      </c>
    </row>
    <row r="3465" spans="1:20" ht="15" customHeight="1" outlineLevel="1" x14ac:dyDescent="0.25">
      <c r="A3465" s="148"/>
      <c r="B3465" s="148"/>
      <c r="C3465" s="148"/>
      <c r="D3465" s="138"/>
      <c r="E3465" s="138"/>
      <c r="F3465" s="50">
        <v>43466</v>
      </c>
      <c r="G3465" s="50">
        <v>43646</v>
      </c>
      <c r="H3465" s="150"/>
      <c r="I3465" s="15" t="s">
        <v>23</v>
      </c>
      <c r="J3465" s="15" t="s">
        <v>23</v>
      </c>
      <c r="K3465" s="13">
        <v>10</v>
      </c>
      <c r="L3465" s="13">
        <v>1336.61</v>
      </c>
      <c r="M3465" s="196" t="s">
        <v>422</v>
      </c>
      <c r="N3465" s="55">
        <f t="shared" si="251"/>
        <v>8.3333333333333339</v>
      </c>
      <c r="O3465" s="55">
        <f t="shared" si="252"/>
        <v>1113.8416666666667</v>
      </c>
    </row>
    <row r="3466" spans="1:20" ht="15" customHeight="1" outlineLevel="1" x14ac:dyDescent="0.25">
      <c r="A3466" s="148"/>
      <c r="B3466" s="148"/>
      <c r="C3466" s="148"/>
      <c r="D3466" s="138"/>
      <c r="E3466" s="138"/>
      <c r="F3466" s="50">
        <v>43647</v>
      </c>
      <c r="G3466" s="50">
        <v>43830</v>
      </c>
      <c r="H3466" s="150"/>
      <c r="I3466" s="15" t="s">
        <v>23</v>
      </c>
      <c r="J3466" s="15" t="s">
        <v>23</v>
      </c>
      <c r="K3466" s="13">
        <v>10.199999999999999</v>
      </c>
      <c r="L3466" s="13">
        <v>1363.34</v>
      </c>
      <c r="M3466" s="198"/>
      <c r="N3466" s="55">
        <f t="shared" si="251"/>
        <v>8.5</v>
      </c>
      <c r="O3466" s="55">
        <f t="shared" si="252"/>
        <v>1136.1166666666666</v>
      </c>
    </row>
    <row r="3467" spans="1:20" ht="15" customHeight="1" outlineLevel="1" x14ac:dyDescent="0.25">
      <c r="A3467" s="148"/>
      <c r="B3467" s="148"/>
      <c r="C3467" s="148"/>
      <c r="D3467" s="138"/>
      <c r="E3467" s="138"/>
      <c r="F3467" s="50">
        <v>43466</v>
      </c>
      <c r="G3467" s="50">
        <v>43646</v>
      </c>
      <c r="H3467" s="150"/>
      <c r="I3467" s="15" t="s">
        <v>23</v>
      </c>
      <c r="J3467" s="15" t="s">
        <v>23</v>
      </c>
      <c r="K3467" s="13">
        <v>10</v>
      </c>
      <c r="L3467" s="13">
        <v>1433.47</v>
      </c>
      <c r="M3467" s="196" t="s">
        <v>423</v>
      </c>
      <c r="N3467" s="55">
        <f t="shared" si="251"/>
        <v>8.3333333333333339</v>
      </c>
      <c r="O3467" s="55">
        <f t="shared" si="252"/>
        <v>1194.5583333333334</v>
      </c>
    </row>
    <row r="3468" spans="1:20" ht="15" customHeight="1" outlineLevel="1" x14ac:dyDescent="0.25">
      <c r="A3468" s="148"/>
      <c r="B3468" s="148"/>
      <c r="C3468" s="148"/>
      <c r="D3468" s="138"/>
      <c r="E3468" s="138"/>
      <c r="F3468" s="50">
        <v>43647</v>
      </c>
      <c r="G3468" s="50">
        <v>43830</v>
      </c>
      <c r="H3468" s="150"/>
      <c r="I3468" s="15" t="s">
        <v>23</v>
      </c>
      <c r="J3468" s="15" t="s">
        <v>23</v>
      </c>
      <c r="K3468" s="13">
        <v>10.199999999999999</v>
      </c>
      <c r="L3468" s="13">
        <v>1462.14</v>
      </c>
      <c r="M3468" s="198"/>
      <c r="N3468" s="55">
        <f t="shared" si="251"/>
        <v>8.5</v>
      </c>
      <c r="O3468" s="55">
        <f t="shared" si="252"/>
        <v>1218.45</v>
      </c>
    </row>
    <row r="3469" spans="1:20" ht="15" customHeight="1" outlineLevel="1" x14ac:dyDescent="0.25">
      <c r="A3469" s="148"/>
      <c r="B3469" s="148"/>
      <c r="C3469" s="148"/>
      <c r="D3469" s="138"/>
      <c r="E3469" s="138"/>
      <c r="F3469" s="50">
        <v>43466</v>
      </c>
      <c r="G3469" s="50">
        <v>43646</v>
      </c>
      <c r="H3469" s="150"/>
      <c r="I3469" s="15" t="s">
        <v>23</v>
      </c>
      <c r="J3469" s="15" t="s">
        <v>23</v>
      </c>
      <c r="K3469" s="13">
        <v>10</v>
      </c>
      <c r="L3469" s="13">
        <v>1498.62</v>
      </c>
      <c r="M3469" s="196" t="s">
        <v>424</v>
      </c>
      <c r="N3469" s="55">
        <f t="shared" si="251"/>
        <v>8.3333333333333339</v>
      </c>
      <c r="O3469" s="55">
        <f t="shared" si="252"/>
        <v>1248.8499999999999</v>
      </c>
    </row>
    <row r="3470" spans="1:20" ht="15" customHeight="1" outlineLevel="1" x14ac:dyDescent="0.25">
      <c r="A3470" s="148"/>
      <c r="B3470" s="148"/>
      <c r="C3470" s="148"/>
      <c r="D3470" s="138"/>
      <c r="E3470" s="138"/>
      <c r="F3470" s="50">
        <v>43647</v>
      </c>
      <c r="G3470" s="50">
        <v>43830</v>
      </c>
      <c r="H3470" s="150"/>
      <c r="I3470" s="15" t="s">
        <v>23</v>
      </c>
      <c r="J3470" s="15" t="s">
        <v>23</v>
      </c>
      <c r="K3470" s="13">
        <v>10.199999999999999</v>
      </c>
      <c r="L3470" s="13">
        <v>1528.6</v>
      </c>
      <c r="M3470" s="198"/>
      <c r="N3470" s="55">
        <f t="shared" si="251"/>
        <v>8.5</v>
      </c>
      <c r="O3470" s="55">
        <f t="shared" si="252"/>
        <v>1273.8333333333333</v>
      </c>
    </row>
    <row r="3471" spans="1:20" ht="15" customHeight="1" outlineLevel="1" x14ac:dyDescent="0.25">
      <c r="A3471" s="148"/>
      <c r="B3471" s="148"/>
      <c r="C3471" s="148"/>
      <c r="D3471" s="138"/>
      <c r="E3471" s="138"/>
      <c r="F3471" s="50">
        <v>43466</v>
      </c>
      <c r="G3471" s="50">
        <v>43646</v>
      </c>
      <c r="H3471" s="150"/>
      <c r="I3471" s="15" t="s">
        <v>23</v>
      </c>
      <c r="J3471" s="15" t="s">
        <v>23</v>
      </c>
      <c r="K3471" s="13">
        <v>10</v>
      </c>
      <c r="L3471" s="13">
        <v>1621.46</v>
      </c>
      <c r="M3471" s="196" t="s">
        <v>425</v>
      </c>
      <c r="N3471" s="55">
        <f t="shared" si="251"/>
        <v>8.3333333333333339</v>
      </c>
      <c r="O3471" s="55">
        <f t="shared" si="252"/>
        <v>1351.2166666666667</v>
      </c>
    </row>
    <row r="3472" spans="1:20" ht="15" customHeight="1" outlineLevel="1" x14ac:dyDescent="0.25">
      <c r="A3472" s="148"/>
      <c r="B3472" s="148"/>
      <c r="C3472" s="148"/>
      <c r="D3472" s="138"/>
      <c r="E3472" s="138"/>
      <c r="F3472" s="50">
        <v>43647</v>
      </c>
      <c r="G3472" s="50">
        <v>43830</v>
      </c>
      <c r="H3472" s="150"/>
      <c r="I3472" s="15" t="s">
        <v>23</v>
      </c>
      <c r="J3472" s="15" t="s">
        <v>23</v>
      </c>
      <c r="K3472" s="13">
        <v>10.199999999999999</v>
      </c>
      <c r="L3472" s="13">
        <v>1653.89</v>
      </c>
      <c r="M3472" s="198"/>
      <c r="N3472" s="55">
        <f t="shared" si="251"/>
        <v>8.5</v>
      </c>
      <c r="O3472" s="55">
        <f t="shared" si="252"/>
        <v>1378.2416666666668</v>
      </c>
    </row>
    <row r="3473" spans="1:17" ht="15" customHeight="1" outlineLevel="1" x14ac:dyDescent="0.25">
      <c r="A3473" s="148"/>
      <c r="B3473" s="148"/>
      <c r="C3473" s="148"/>
      <c r="D3473" s="138"/>
      <c r="E3473" s="138"/>
      <c r="F3473" s="50">
        <v>43466</v>
      </c>
      <c r="G3473" s="50">
        <v>43646</v>
      </c>
      <c r="H3473" s="150"/>
      <c r="I3473" s="15" t="s">
        <v>23</v>
      </c>
      <c r="J3473" s="15" t="s">
        <v>23</v>
      </c>
      <c r="K3473" s="13">
        <v>10</v>
      </c>
      <c r="L3473" s="13">
        <v>1373.74</v>
      </c>
      <c r="M3473" s="196" t="s">
        <v>426</v>
      </c>
      <c r="N3473" s="55">
        <f t="shared" si="251"/>
        <v>8.3333333333333339</v>
      </c>
      <c r="O3473" s="55">
        <f t="shared" si="252"/>
        <v>1144.7833333333333</v>
      </c>
      <c r="P3473" s="122">
        <f>I3459-N3473</f>
        <v>21.996666666666663</v>
      </c>
      <c r="Q3473" s="57">
        <f>J3459-O3473</f>
        <v>4204.9166666666661</v>
      </c>
    </row>
    <row r="3474" spans="1:17" ht="15" customHeight="1" outlineLevel="1" x14ac:dyDescent="0.25">
      <c r="A3474" s="148"/>
      <c r="B3474" s="148"/>
      <c r="C3474" s="148"/>
      <c r="D3474" s="138"/>
      <c r="E3474" s="138"/>
      <c r="F3474" s="50">
        <v>43647</v>
      </c>
      <c r="G3474" s="50">
        <v>43830</v>
      </c>
      <c r="H3474" s="150"/>
      <c r="I3474" s="15" t="s">
        <v>23</v>
      </c>
      <c r="J3474" s="15" t="s">
        <v>23</v>
      </c>
      <c r="K3474" s="13">
        <v>10.199999999999999</v>
      </c>
      <c r="L3474" s="13">
        <v>1401.21</v>
      </c>
      <c r="M3474" s="198"/>
      <c r="N3474" s="55">
        <f t="shared" si="251"/>
        <v>8.5</v>
      </c>
      <c r="O3474" s="55">
        <f t="shared" si="252"/>
        <v>1167.6750000000002</v>
      </c>
    </row>
    <row r="3475" spans="1:17" ht="15" customHeight="1" outlineLevel="1" x14ac:dyDescent="0.25">
      <c r="A3475" s="148"/>
      <c r="B3475" s="148"/>
      <c r="C3475" s="148"/>
      <c r="D3475" s="138"/>
      <c r="E3475" s="138"/>
      <c r="F3475" s="50">
        <v>43466</v>
      </c>
      <c r="G3475" s="50">
        <v>43646</v>
      </c>
      <c r="H3475" s="150"/>
      <c r="I3475" s="15" t="s">
        <v>23</v>
      </c>
      <c r="J3475" s="15" t="s">
        <v>23</v>
      </c>
      <c r="K3475" s="13">
        <v>10</v>
      </c>
      <c r="L3475" s="13">
        <v>1498.62</v>
      </c>
      <c r="M3475" s="196" t="s">
        <v>427</v>
      </c>
      <c r="N3475" s="55">
        <f t="shared" si="251"/>
        <v>8.3333333333333339</v>
      </c>
      <c r="O3475" s="55">
        <f t="shared" si="252"/>
        <v>1248.8499999999999</v>
      </c>
    </row>
    <row r="3476" spans="1:17" ht="15" customHeight="1" outlineLevel="1" x14ac:dyDescent="0.25">
      <c r="A3476" s="147"/>
      <c r="B3476" s="147"/>
      <c r="C3476" s="148"/>
      <c r="D3476" s="141"/>
      <c r="E3476" s="141"/>
      <c r="F3476" s="50">
        <v>43647</v>
      </c>
      <c r="G3476" s="50">
        <v>43830</v>
      </c>
      <c r="H3476" s="151"/>
      <c r="I3476" s="15" t="s">
        <v>23</v>
      </c>
      <c r="J3476" s="15" t="s">
        <v>23</v>
      </c>
      <c r="K3476" s="13">
        <v>10.199999999999999</v>
      </c>
      <c r="L3476" s="13">
        <v>1528.6</v>
      </c>
      <c r="M3476" s="198"/>
      <c r="N3476" s="55">
        <f t="shared" si="251"/>
        <v>8.5</v>
      </c>
      <c r="O3476" s="55">
        <f t="shared" si="252"/>
        <v>1273.8333333333333</v>
      </c>
    </row>
    <row r="3477" spans="1:17" ht="15" customHeight="1" outlineLevel="1" x14ac:dyDescent="0.25">
      <c r="A3477" s="146" t="s">
        <v>61</v>
      </c>
      <c r="B3477" s="146" t="s">
        <v>553</v>
      </c>
      <c r="C3477" s="148"/>
      <c r="D3477" s="137">
        <v>42723</v>
      </c>
      <c r="E3477" s="137" t="s">
        <v>674</v>
      </c>
      <c r="F3477" s="12">
        <v>43466</v>
      </c>
      <c r="G3477" s="12">
        <v>43646</v>
      </c>
      <c r="H3477" s="149" t="s">
        <v>675</v>
      </c>
      <c r="I3477" s="66">
        <v>30.33</v>
      </c>
      <c r="J3477" s="13">
        <v>5349.7</v>
      </c>
      <c r="K3477" s="15" t="s">
        <v>23</v>
      </c>
      <c r="L3477" s="15" t="s">
        <v>23</v>
      </c>
      <c r="M3477" s="153"/>
    </row>
    <row r="3478" spans="1:17" ht="15" customHeight="1" outlineLevel="1" x14ac:dyDescent="0.25">
      <c r="A3478" s="148"/>
      <c r="B3478" s="148"/>
      <c r="C3478" s="148"/>
      <c r="D3478" s="141"/>
      <c r="E3478" s="141"/>
      <c r="F3478" s="12">
        <v>43647</v>
      </c>
      <c r="G3478" s="12">
        <v>43830</v>
      </c>
      <c r="H3478" s="151"/>
      <c r="I3478" s="66">
        <v>31.42</v>
      </c>
      <c r="J3478" s="13">
        <v>7602.14</v>
      </c>
      <c r="K3478" s="15" t="s">
        <v>23</v>
      </c>
      <c r="L3478" s="15" t="s">
        <v>23</v>
      </c>
      <c r="M3478" s="152"/>
    </row>
    <row r="3479" spans="1:17" ht="15" customHeight="1" outlineLevel="1" x14ac:dyDescent="0.25">
      <c r="A3479" s="148"/>
      <c r="B3479" s="148"/>
      <c r="C3479" s="148"/>
      <c r="D3479" s="137">
        <v>43454</v>
      </c>
      <c r="E3479" s="137" t="s">
        <v>673</v>
      </c>
      <c r="F3479" s="50">
        <v>43466</v>
      </c>
      <c r="G3479" s="50">
        <v>43646</v>
      </c>
      <c r="H3479" s="149"/>
      <c r="I3479" s="15" t="s">
        <v>23</v>
      </c>
      <c r="J3479" s="15" t="s">
        <v>23</v>
      </c>
      <c r="K3479" s="13">
        <v>9.81</v>
      </c>
      <c r="L3479" s="13">
        <v>1408.79</v>
      </c>
      <c r="M3479" s="196" t="s">
        <v>420</v>
      </c>
      <c r="N3479" s="55">
        <f>K3479/1.2</f>
        <v>8.1750000000000007</v>
      </c>
      <c r="O3479" s="55">
        <f>L3479/1.2</f>
        <v>1173.9916666666668</v>
      </c>
    </row>
    <row r="3480" spans="1:17" ht="15" customHeight="1" outlineLevel="1" x14ac:dyDescent="0.25">
      <c r="A3480" s="148"/>
      <c r="B3480" s="148"/>
      <c r="C3480" s="148"/>
      <c r="D3480" s="138"/>
      <c r="E3480" s="138"/>
      <c r="F3480" s="50">
        <v>43647</v>
      </c>
      <c r="G3480" s="50">
        <v>43830</v>
      </c>
      <c r="H3480" s="150"/>
      <c r="I3480" s="15" t="s">
        <v>23</v>
      </c>
      <c r="J3480" s="15" t="s">
        <v>23</v>
      </c>
      <c r="K3480" s="13">
        <v>10.01</v>
      </c>
      <c r="L3480" s="13">
        <v>1436.96</v>
      </c>
      <c r="M3480" s="198"/>
      <c r="N3480" s="55">
        <f t="shared" ref="N3480:N3494" si="253">K3480/1.2</f>
        <v>8.3416666666666668</v>
      </c>
      <c r="O3480" s="55">
        <f t="shared" ref="O3480:O3494" si="254">L3480/1.2</f>
        <v>1197.4666666666667</v>
      </c>
    </row>
    <row r="3481" spans="1:17" ht="15" customHeight="1" outlineLevel="1" x14ac:dyDescent="0.25">
      <c r="A3481" s="148"/>
      <c r="B3481" s="148"/>
      <c r="C3481" s="148"/>
      <c r="D3481" s="138"/>
      <c r="E3481" s="138"/>
      <c r="F3481" s="50">
        <v>43466</v>
      </c>
      <c r="G3481" s="50">
        <v>43646</v>
      </c>
      <c r="H3481" s="150"/>
      <c r="I3481" s="15" t="s">
        <v>23</v>
      </c>
      <c r="J3481" s="15" t="s">
        <v>23</v>
      </c>
      <c r="K3481" s="13">
        <v>9.81</v>
      </c>
      <c r="L3481" s="13">
        <v>1542.96</v>
      </c>
      <c r="M3481" s="196" t="s">
        <v>421</v>
      </c>
      <c r="N3481" s="55">
        <f t="shared" si="253"/>
        <v>8.1750000000000007</v>
      </c>
      <c r="O3481" s="55">
        <f t="shared" si="254"/>
        <v>1285.8000000000002</v>
      </c>
    </row>
    <row r="3482" spans="1:17" ht="15" customHeight="1" outlineLevel="1" x14ac:dyDescent="0.25">
      <c r="A3482" s="148"/>
      <c r="B3482" s="148"/>
      <c r="C3482" s="148"/>
      <c r="D3482" s="138"/>
      <c r="E3482" s="138"/>
      <c r="F3482" s="50">
        <v>43647</v>
      </c>
      <c r="G3482" s="50">
        <v>43830</v>
      </c>
      <c r="H3482" s="150"/>
      <c r="I3482" s="15" t="s">
        <v>23</v>
      </c>
      <c r="J3482" s="15" t="s">
        <v>23</v>
      </c>
      <c r="K3482" s="13">
        <v>10.01</v>
      </c>
      <c r="L3482" s="13">
        <v>1573.82</v>
      </c>
      <c r="M3482" s="198"/>
      <c r="N3482" s="55">
        <f t="shared" si="253"/>
        <v>8.3416666666666668</v>
      </c>
      <c r="O3482" s="55">
        <f t="shared" si="254"/>
        <v>1311.5166666666667</v>
      </c>
    </row>
    <row r="3483" spans="1:17" ht="15" customHeight="1" outlineLevel="1" x14ac:dyDescent="0.25">
      <c r="A3483" s="148"/>
      <c r="B3483" s="148"/>
      <c r="C3483" s="148"/>
      <c r="D3483" s="138"/>
      <c r="E3483" s="138"/>
      <c r="F3483" s="50">
        <v>43466</v>
      </c>
      <c r="G3483" s="50">
        <v>43646</v>
      </c>
      <c r="H3483" s="150"/>
      <c r="I3483" s="15" t="s">
        <v>23</v>
      </c>
      <c r="J3483" s="15" t="s">
        <v>23</v>
      </c>
      <c r="K3483" s="13">
        <v>9.81</v>
      </c>
      <c r="L3483" s="13">
        <v>1313.6</v>
      </c>
      <c r="M3483" s="196" t="s">
        <v>422</v>
      </c>
      <c r="N3483" s="55">
        <f t="shared" si="253"/>
        <v>8.1750000000000007</v>
      </c>
      <c r="O3483" s="55">
        <f t="shared" si="254"/>
        <v>1094.6666666666667</v>
      </c>
    </row>
    <row r="3484" spans="1:17" ht="15" customHeight="1" outlineLevel="1" x14ac:dyDescent="0.25">
      <c r="A3484" s="148"/>
      <c r="B3484" s="148"/>
      <c r="C3484" s="148"/>
      <c r="D3484" s="138"/>
      <c r="E3484" s="138"/>
      <c r="F3484" s="50">
        <v>43647</v>
      </c>
      <c r="G3484" s="50">
        <v>43830</v>
      </c>
      <c r="H3484" s="150"/>
      <c r="I3484" s="15" t="s">
        <v>23</v>
      </c>
      <c r="J3484" s="15" t="s">
        <v>23</v>
      </c>
      <c r="K3484" s="13">
        <v>10.01</v>
      </c>
      <c r="L3484" s="13">
        <v>1339.87</v>
      </c>
      <c r="M3484" s="198"/>
      <c r="N3484" s="55">
        <f t="shared" si="253"/>
        <v>8.3416666666666668</v>
      </c>
      <c r="O3484" s="55">
        <f t="shared" si="254"/>
        <v>1116.5583333333334</v>
      </c>
    </row>
    <row r="3485" spans="1:17" ht="15" customHeight="1" outlineLevel="1" x14ac:dyDescent="0.25">
      <c r="A3485" s="148"/>
      <c r="B3485" s="148"/>
      <c r="C3485" s="148"/>
      <c r="D3485" s="138"/>
      <c r="E3485" s="138"/>
      <c r="F3485" s="50">
        <v>43466</v>
      </c>
      <c r="G3485" s="50">
        <v>43646</v>
      </c>
      <c r="H3485" s="150"/>
      <c r="I3485" s="15" t="s">
        <v>23</v>
      </c>
      <c r="J3485" s="15" t="s">
        <v>23</v>
      </c>
      <c r="K3485" s="13">
        <v>9.81</v>
      </c>
      <c r="L3485" s="13">
        <v>1408.79</v>
      </c>
      <c r="M3485" s="196" t="s">
        <v>423</v>
      </c>
      <c r="N3485" s="55">
        <f t="shared" si="253"/>
        <v>8.1750000000000007</v>
      </c>
      <c r="O3485" s="55">
        <f t="shared" si="254"/>
        <v>1173.9916666666668</v>
      </c>
    </row>
    <row r="3486" spans="1:17" ht="15" customHeight="1" outlineLevel="1" x14ac:dyDescent="0.25">
      <c r="A3486" s="148"/>
      <c r="B3486" s="148"/>
      <c r="C3486" s="148"/>
      <c r="D3486" s="138"/>
      <c r="E3486" s="138"/>
      <c r="F3486" s="50">
        <v>43647</v>
      </c>
      <c r="G3486" s="50">
        <v>43830</v>
      </c>
      <c r="H3486" s="150"/>
      <c r="I3486" s="15" t="s">
        <v>23</v>
      </c>
      <c r="J3486" s="15" t="s">
        <v>23</v>
      </c>
      <c r="K3486" s="13">
        <v>10.01</v>
      </c>
      <c r="L3486" s="13">
        <v>1436.96</v>
      </c>
      <c r="M3486" s="198"/>
      <c r="N3486" s="55">
        <f t="shared" si="253"/>
        <v>8.3416666666666668</v>
      </c>
      <c r="O3486" s="55">
        <f t="shared" si="254"/>
        <v>1197.4666666666667</v>
      </c>
    </row>
    <row r="3487" spans="1:17" ht="15" customHeight="1" outlineLevel="1" x14ac:dyDescent="0.25">
      <c r="A3487" s="148"/>
      <c r="B3487" s="148"/>
      <c r="C3487" s="148"/>
      <c r="D3487" s="138"/>
      <c r="E3487" s="138"/>
      <c r="F3487" s="50">
        <v>43466</v>
      </c>
      <c r="G3487" s="50">
        <v>43646</v>
      </c>
      <c r="H3487" s="150"/>
      <c r="I3487" s="15" t="s">
        <v>23</v>
      </c>
      <c r="J3487" s="15" t="s">
        <v>23</v>
      </c>
      <c r="K3487" s="13">
        <v>9.81</v>
      </c>
      <c r="L3487" s="13">
        <v>1472.82</v>
      </c>
      <c r="M3487" s="196" t="s">
        <v>424</v>
      </c>
      <c r="N3487" s="55">
        <f t="shared" si="253"/>
        <v>8.1750000000000007</v>
      </c>
      <c r="O3487" s="55">
        <f t="shared" si="254"/>
        <v>1227.3499999999999</v>
      </c>
    </row>
    <row r="3488" spans="1:17" ht="15" customHeight="1" outlineLevel="1" x14ac:dyDescent="0.25">
      <c r="A3488" s="148"/>
      <c r="B3488" s="148"/>
      <c r="C3488" s="148"/>
      <c r="D3488" s="138"/>
      <c r="E3488" s="138"/>
      <c r="F3488" s="50">
        <v>43647</v>
      </c>
      <c r="G3488" s="50">
        <v>43830</v>
      </c>
      <c r="H3488" s="150"/>
      <c r="I3488" s="15" t="s">
        <v>23</v>
      </c>
      <c r="J3488" s="15" t="s">
        <v>23</v>
      </c>
      <c r="K3488" s="13">
        <v>10.01</v>
      </c>
      <c r="L3488" s="13">
        <v>1502.28</v>
      </c>
      <c r="M3488" s="198"/>
      <c r="N3488" s="55">
        <f t="shared" si="253"/>
        <v>8.3416666666666668</v>
      </c>
      <c r="O3488" s="55">
        <f t="shared" si="254"/>
        <v>1251.9000000000001</v>
      </c>
    </row>
    <row r="3489" spans="1:17" ht="15" customHeight="1" outlineLevel="1" x14ac:dyDescent="0.25">
      <c r="A3489" s="148"/>
      <c r="B3489" s="148"/>
      <c r="C3489" s="148"/>
      <c r="D3489" s="138"/>
      <c r="E3489" s="138"/>
      <c r="F3489" s="50">
        <v>43466</v>
      </c>
      <c r="G3489" s="50">
        <v>43646</v>
      </c>
      <c r="H3489" s="150"/>
      <c r="I3489" s="15" t="s">
        <v>23</v>
      </c>
      <c r="J3489" s="15" t="s">
        <v>23</v>
      </c>
      <c r="K3489" s="13">
        <v>9.81</v>
      </c>
      <c r="L3489" s="13">
        <v>1593.55</v>
      </c>
      <c r="M3489" s="196" t="s">
        <v>425</v>
      </c>
      <c r="N3489" s="55">
        <f t="shared" si="253"/>
        <v>8.1750000000000007</v>
      </c>
      <c r="O3489" s="55">
        <f t="shared" si="254"/>
        <v>1327.9583333333333</v>
      </c>
    </row>
    <row r="3490" spans="1:17" ht="15" customHeight="1" outlineLevel="1" x14ac:dyDescent="0.25">
      <c r="A3490" s="148"/>
      <c r="B3490" s="148"/>
      <c r="C3490" s="148"/>
      <c r="D3490" s="138"/>
      <c r="E3490" s="138"/>
      <c r="F3490" s="50">
        <v>43647</v>
      </c>
      <c r="G3490" s="50">
        <v>43830</v>
      </c>
      <c r="H3490" s="150"/>
      <c r="I3490" s="15" t="s">
        <v>23</v>
      </c>
      <c r="J3490" s="15" t="s">
        <v>23</v>
      </c>
      <c r="K3490" s="13">
        <v>10.01</v>
      </c>
      <c r="L3490" s="13">
        <v>1625.42</v>
      </c>
      <c r="M3490" s="198"/>
      <c r="N3490" s="55">
        <f t="shared" si="253"/>
        <v>8.3416666666666668</v>
      </c>
      <c r="O3490" s="55">
        <f t="shared" si="254"/>
        <v>1354.5166666666669</v>
      </c>
    </row>
    <row r="3491" spans="1:17" ht="15" customHeight="1" outlineLevel="1" x14ac:dyDescent="0.25">
      <c r="A3491" s="148"/>
      <c r="B3491" s="148"/>
      <c r="C3491" s="148"/>
      <c r="D3491" s="138"/>
      <c r="E3491" s="138"/>
      <c r="F3491" s="50">
        <v>43466</v>
      </c>
      <c r="G3491" s="50">
        <v>43646</v>
      </c>
      <c r="H3491" s="150"/>
      <c r="I3491" s="15" t="s">
        <v>23</v>
      </c>
      <c r="J3491" s="15" t="s">
        <v>23</v>
      </c>
      <c r="K3491" s="13">
        <v>9.81</v>
      </c>
      <c r="L3491" s="13">
        <v>1350.09</v>
      </c>
      <c r="M3491" s="196" t="s">
        <v>426</v>
      </c>
      <c r="N3491" s="55">
        <f t="shared" si="253"/>
        <v>8.1750000000000007</v>
      </c>
      <c r="O3491" s="55">
        <f t="shared" si="254"/>
        <v>1125.075</v>
      </c>
      <c r="P3491" s="122">
        <f>I3477-N3491</f>
        <v>22.154999999999998</v>
      </c>
      <c r="Q3491" s="57">
        <f>J3477-O3491</f>
        <v>4224.625</v>
      </c>
    </row>
    <row r="3492" spans="1:17" ht="15" customHeight="1" outlineLevel="1" x14ac:dyDescent="0.25">
      <c r="A3492" s="148"/>
      <c r="B3492" s="148"/>
      <c r="C3492" s="148"/>
      <c r="D3492" s="138"/>
      <c r="E3492" s="138"/>
      <c r="F3492" s="50">
        <v>43647</v>
      </c>
      <c r="G3492" s="50">
        <v>43830</v>
      </c>
      <c r="H3492" s="150"/>
      <c r="I3492" s="15" t="s">
        <v>23</v>
      </c>
      <c r="J3492" s="15" t="s">
        <v>23</v>
      </c>
      <c r="K3492" s="13">
        <v>10.01</v>
      </c>
      <c r="L3492" s="13">
        <v>1377.09</v>
      </c>
      <c r="M3492" s="198"/>
      <c r="N3492" s="55">
        <f t="shared" si="253"/>
        <v>8.3416666666666668</v>
      </c>
      <c r="O3492" s="55">
        <f t="shared" si="254"/>
        <v>1147.575</v>
      </c>
    </row>
    <row r="3493" spans="1:17" ht="15" customHeight="1" outlineLevel="1" x14ac:dyDescent="0.25">
      <c r="A3493" s="148"/>
      <c r="B3493" s="148"/>
      <c r="C3493" s="148"/>
      <c r="D3493" s="138"/>
      <c r="E3493" s="138"/>
      <c r="F3493" s="50">
        <v>43466</v>
      </c>
      <c r="G3493" s="50">
        <v>43646</v>
      </c>
      <c r="H3493" s="150"/>
      <c r="I3493" s="15" t="s">
        <v>23</v>
      </c>
      <c r="J3493" s="15" t="s">
        <v>23</v>
      </c>
      <c r="K3493" s="13">
        <v>9.81</v>
      </c>
      <c r="L3493" s="13">
        <v>1472.82</v>
      </c>
      <c r="M3493" s="196" t="s">
        <v>427</v>
      </c>
      <c r="N3493" s="55">
        <f t="shared" si="253"/>
        <v>8.1750000000000007</v>
      </c>
      <c r="O3493" s="55">
        <f t="shared" si="254"/>
        <v>1227.3499999999999</v>
      </c>
      <c r="P3493" s="122">
        <f>I3477-N3493</f>
        <v>22.154999999999998</v>
      </c>
      <c r="Q3493" s="57">
        <f>J3477-O3493</f>
        <v>4122.3500000000004</v>
      </c>
    </row>
    <row r="3494" spans="1:17" ht="15" customHeight="1" outlineLevel="1" x14ac:dyDescent="0.25">
      <c r="A3494" s="147"/>
      <c r="B3494" s="147"/>
      <c r="C3494" s="148"/>
      <c r="D3494" s="141"/>
      <c r="E3494" s="141"/>
      <c r="F3494" s="50">
        <v>43647</v>
      </c>
      <c r="G3494" s="50">
        <v>43830</v>
      </c>
      <c r="H3494" s="151"/>
      <c r="I3494" s="15" t="s">
        <v>23</v>
      </c>
      <c r="J3494" s="15" t="s">
        <v>23</v>
      </c>
      <c r="K3494" s="13">
        <v>10.01</v>
      </c>
      <c r="L3494" s="13">
        <v>1502.28</v>
      </c>
      <c r="M3494" s="198"/>
      <c r="N3494" s="55">
        <f t="shared" si="253"/>
        <v>8.3416666666666668</v>
      </c>
      <c r="O3494" s="55">
        <f t="shared" si="254"/>
        <v>1251.9000000000001</v>
      </c>
    </row>
    <row r="3495" spans="1:17" ht="15" customHeight="1" outlineLevel="1" x14ac:dyDescent="0.25">
      <c r="A3495" s="146" t="s">
        <v>61</v>
      </c>
      <c r="B3495" s="146" t="s">
        <v>555</v>
      </c>
      <c r="C3495" s="148"/>
      <c r="D3495" s="137">
        <v>42723</v>
      </c>
      <c r="E3495" s="137" t="s">
        <v>674</v>
      </c>
      <c r="F3495" s="12">
        <v>43466</v>
      </c>
      <c r="G3495" s="12">
        <v>43646</v>
      </c>
      <c r="H3495" s="149" t="s">
        <v>675</v>
      </c>
      <c r="I3495" s="66">
        <v>30.33</v>
      </c>
      <c r="J3495" s="13">
        <v>5349.7</v>
      </c>
      <c r="K3495" s="15" t="s">
        <v>23</v>
      </c>
      <c r="L3495" s="15" t="s">
        <v>23</v>
      </c>
      <c r="M3495" s="153"/>
    </row>
    <row r="3496" spans="1:17" ht="15" customHeight="1" outlineLevel="1" x14ac:dyDescent="0.25">
      <c r="A3496" s="148"/>
      <c r="B3496" s="148"/>
      <c r="C3496" s="148"/>
      <c r="D3496" s="141"/>
      <c r="E3496" s="141"/>
      <c r="F3496" s="12">
        <v>43647</v>
      </c>
      <c r="G3496" s="12">
        <v>43830</v>
      </c>
      <c r="H3496" s="151"/>
      <c r="I3496" s="66">
        <v>31.42</v>
      </c>
      <c r="J3496" s="13">
        <v>7602.14</v>
      </c>
      <c r="K3496" s="15" t="s">
        <v>23</v>
      </c>
      <c r="L3496" s="15" t="s">
        <v>23</v>
      </c>
      <c r="M3496" s="152"/>
    </row>
    <row r="3497" spans="1:17" ht="15" customHeight="1" outlineLevel="1" x14ac:dyDescent="0.25">
      <c r="A3497" s="148"/>
      <c r="B3497" s="148"/>
      <c r="C3497" s="148"/>
      <c r="D3497" s="137">
        <v>43454</v>
      </c>
      <c r="E3497" s="137" t="s">
        <v>673</v>
      </c>
      <c r="F3497" s="50">
        <v>43466</v>
      </c>
      <c r="G3497" s="50">
        <v>43646</v>
      </c>
      <c r="H3497" s="149"/>
      <c r="I3497" s="15" t="s">
        <v>23</v>
      </c>
      <c r="J3497" s="15" t="s">
        <v>23</v>
      </c>
      <c r="K3497" s="13">
        <v>7.8</v>
      </c>
      <c r="L3497" s="13">
        <v>1335.55</v>
      </c>
      <c r="M3497" s="196" t="s">
        <v>420</v>
      </c>
      <c r="N3497" s="55">
        <f>K3497/1.2</f>
        <v>6.5</v>
      </c>
      <c r="O3497" s="55">
        <f>L3497/1.2</f>
        <v>1112.9583333333333</v>
      </c>
    </row>
    <row r="3498" spans="1:17" ht="15" customHeight="1" outlineLevel="1" x14ac:dyDescent="0.25">
      <c r="A3498" s="148"/>
      <c r="B3498" s="148"/>
      <c r="C3498" s="148"/>
      <c r="D3498" s="138"/>
      <c r="E3498" s="138"/>
      <c r="F3498" s="50">
        <v>43647</v>
      </c>
      <c r="G3498" s="50">
        <v>43830</v>
      </c>
      <c r="H3498" s="150"/>
      <c r="I3498" s="15" t="s">
        <v>23</v>
      </c>
      <c r="J3498" s="15" t="s">
        <v>23</v>
      </c>
      <c r="K3498" s="13">
        <v>7.95</v>
      </c>
      <c r="L3498" s="13">
        <v>1362.26</v>
      </c>
      <c r="M3498" s="198"/>
      <c r="N3498" s="55">
        <f t="shared" ref="N3498:N3512" si="255">K3498/1.2</f>
        <v>6.625</v>
      </c>
      <c r="O3498" s="55">
        <f t="shared" ref="O3498:O3512" si="256">L3498/1.2</f>
        <v>1135.2166666666667</v>
      </c>
    </row>
    <row r="3499" spans="1:17" ht="15" customHeight="1" outlineLevel="1" x14ac:dyDescent="0.25">
      <c r="A3499" s="148"/>
      <c r="B3499" s="148"/>
      <c r="C3499" s="148"/>
      <c r="D3499" s="138"/>
      <c r="E3499" s="138"/>
      <c r="F3499" s="50">
        <v>43466</v>
      </c>
      <c r="G3499" s="50">
        <v>43646</v>
      </c>
      <c r="H3499" s="150"/>
      <c r="I3499" s="15" t="s">
        <v>23</v>
      </c>
      <c r="J3499" s="15" t="s">
        <v>23</v>
      </c>
      <c r="K3499" s="13">
        <v>7.8</v>
      </c>
      <c r="L3499" s="13">
        <v>1462.75</v>
      </c>
      <c r="M3499" s="196" t="s">
        <v>421</v>
      </c>
      <c r="N3499" s="55">
        <f t="shared" si="255"/>
        <v>6.5</v>
      </c>
      <c r="O3499" s="55">
        <f t="shared" si="256"/>
        <v>1218.9583333333335</v>
      </c>
    </row>
    <row r="3500" spans="1:17" ht="15" customHeight="1" outlineLevel="1" x14ac:dyDescent="0.25">
      <c r="A3500" s="148"/>
      <c r="B3500" s="148"/>
      <c r="C3500" s="148"/>
      <c r="D3500" s="138"/>
      <c r="E3500" s="138"/>
      <c r="F3500" s="50">
        <v>43647</v>
      </c>
      <c r="G3500" s="50">
        <v>43830</v>
      </c>
      <c r="H3500" s="150"/>
      <c r="I3500" s="15" t="s">
        <v>23</v>
      </c>
      <c r="J3500" s="15" t="s">
        <v>23</v>
      </c>
      <c r="K3500" s="13">
        <v>7.95</v>
      </c>
      <c r="L3500" s="13">
        <v>1492</v>
      </c>
      <c r="M3500" s="198"/>
      <c r="N3500" s="55">
        <f t="shared" si="255"/>
        <v>6.625</v>
      </c>
      <c r="O3500" s="55">
        <f t="shared" si="256"/>
        <v>1243.3333333333335</v>
      </c>
    </row>
    <row r="3501" spans="1:17" ht="15" customHeight="1" outlineLevel="1" x14ac:dyDescent="0.25">
      <c r="A3501" s="148"/>
      <c r="B3501" s="148"/>
      <c r="C3501" s="148"/>
      <c r="D3501" s="138"/>
      <c r="E3501" s="138"/>
      <c r="F3501" s="50">
        <v>43466</v>
      </c>
      <c r="G3501" s="50">
        <v>43646</v>
      </c>
      <c r="H3501" s="150"/>
      <c r="I3501" s="15" t="s">
        <v>23</v>
      </c>
      <c r="J3501" s="15" t="s">
        <v>23</v>
      </c>
      <c r="K3501" s="13">
        <v>7.8</v>
      </c>
      <c r="L3501" s="13">
        <v>1245.31</v>
      </c>
      <c r="M3501" s="196" t="s">
        <v>422</v>
      </c>
      <c r="N3501" s="55">
        <f t="shared" si="255"/>
        <v>6.5</v>
      </c>
      <c r="O3501" s="55">
        <f t="shared" si="256"/>
        <v>1037.7583333333334</v>
      </c>
    </row>
    <row r="3502" spans="1:17" ht="15" customHeight="1" outlineLevel="1" x14ac:dyDescent="0.25">
      <c r="A3502" s="148"/>
      <c r="B3502" s="148"/>
      <c r="C3502" s="148"/>
      <c r="D3502" s="138"/>
      <c r="E3502" s="138"/>
      <c r="F3502" s="50">
        <v>43647</v>
      </c>
      <c r="G3502" s="50">
        <v>43830</v>
      </c>
      <c r="H3502" s="150"/>
      <c r="I3502" s="15" t="s">
        <v>23</v>
      </c>
      <c r="J3502" s="15" t="s">
        <v>23</v>
      </c>
      <c r="K3502" s="13">
        <v>7.95</v>
      </c>
      <c r="L3502" s="13">
        <v>1270.22</v>
      </c>
      <c r="M3502" s="198"/>
      <c r="N3502" s="55">
        <f t="shared" si="255"/>
        <v>6.625</v>
      </c>
      <c r="O3502" s="55">
        <f t="shared" si="256"/>
        <v>1058.5166666666667</v>
      </c>
    </row>
    <row r="3503" spans="1:17" ht="15" customHeight="1" outlineLevel="1" x14ac:dyDescent="0.25">
      <c r="A3503" s="148"/>
      <c r="B3503" s="148"/>
      <c r="C3503" s="148"/>
      <c r="D3503" s="138"/>
      <c r="E3503" s="138"/>
      <c r="F3503" s="50">
        <v>43466</v>
      </c>
      <c r="G3503" s="50">
        <v>43646</v>
      </c>
      <c r="H3503" s="150"/>
      <c r="I3503" s="15" t="s">
        <v>23</v>
      </c>
      <c r="J3503" s="15" t="s">
        <v>23</v>
      </c>
      <c r="K3503" s="13">
        <v>7.8</v>
      </c>
      <c r="L3503" s="13">
        <v>1335.55</v>
      </c>
      <c r="M3503" s="196" t="s">
        <v>423</v>
      </c>
      <c r="N3503" s="55">
        <f t="shared" si="255"/>
        <v>6.5</v>
      </c>
      <c r="O3503" s="55">
        <f t="shared" si="256"/>
        <v>1112.9583333333333</v>
      </c>
    </row>
    <row r="3504" spans="1:17" ht="15" customHeight="1" outlineLevel="1" x14ac:dyDescent="0.25">
      <c r="A3504" s="148"/>
      <c r="B3504" s="148"/>
      <c r="C3504" s="148"/>
      <c r="D3504" s="138"/>
      <c r="E3504" s="138"/>
      <c r="F3504" s="50">
        <v>43647</v>
      </c>
      <c r="G3504" s="50">
        <v>43830</v>
      </c>
      <c r="H3504" s="150"/>
      <c r="I3504" s="15" t="s">
        <v>23</v>
      </c>
      <c r="J3504" s="15" t="s">
        <v>23</v>
      </c>
      <c r="K3504" s="13">
        <v>7.95</v>
      </c>
      <c r="L3504" s="13">
        <v>1362.26</v>
      </c>
      <c r="M3504" s="198"/>
      <c r="N3504" s="55">
        <f t="shared" si="255"/>
        <v>6.625</v>
      </c>
      <c r="O3504" s="55">
        <f t="shared" si="256"/>
        <v>1135.2166666666667</v>
      </c>
    </row>
    <row r="3505" spans="1:20" ht="15" customHeight="1" outlineLevel="1" x14ac:dyDescent="0.25">
      <c r="A3505" s="148"/>
      <c r="B3505" s="148"/>
      <c r="C3505" s="148"/>
      <c r="D3505" s="138"/>
      <c r="E3505" s="138"/>
      <c r="F3505" s="50">
        <v>43466</v>
      </c>
      <c r="G3505" s="50">
        <v>43646</v>
      </c>
      <c r="H3505" s="150"/>
      <c r="I3505" s="15" t="s">
        <v>23</v>
      </c>
      <c r="J3505" s="15" t="s">
        <v>23</v>
      </c>
      <c r="K3505" s="13">
        <v>7.8</v>
      </c>
      <c r="L3505" s="13">
        <v>1396.26</v>
      </c>
      <c r="M3505" s="196" t="s">
        <v>424</v>
      </c>
      <c r="N3505" s="55">
        <f t="shared" si="255"/>
        <v>6.5</v>
      </c>
      <c r="O3505" s="55">
        <f t="shared" si="256"/>
        <v>1163.55</v>
      </c>
    </row>
    <row r="3506" spans="1:20" ht="15" customHeight="1" outlineLevel="1" x14ac:dyDescent="0.25">
      <c r="A3506" s="148"/>
      <c r="B3506" s="148"/>
      <c r="C3506" s="148"/>
      <c r="D3506" s="138"/>
      <c r="E3506" s="138"/>
      <c r="F3506" s="50">
        <v>43647</v>
      </c>
      <c r="G3506" s="50">
        <v>43830</v>
      </c>
      <c r="H3506" s="150"/>
      <c r="I3506" s="15" t="s">
        <v>23</v>
      </c>
      <c r="J3506" s="15" t="s">
        <v>23</v>
      </c>
      <c r="K3506" s="13">
        <v>7.95</v>
      </c>
      <c r="L3506" s="13">
        <v>1424.18</v>
      </c>
      <c r="M3506" s="198"/>
      <c r="N3506" s="55">
        <f t="shared" si="255"/>
        <v>6.625</v>
      </c>
      <c r="O3506" s="55">
        <f t="shared" si="256"/>
        <v>1186.8166666666668</v>
      </c>
    </row>
    <row r="3507" spans="1:20" ht="15" customHeight="1" outlineLevel="1" x14ac:dyDescent="0.25">
      <c r="A3507" s="148"/>
      <c r="B3507" s="148"/>
      <c r="C3507" s="148"/>
      <c r="D3507" s="138"/>
      <c r="E3507" s="138"/>
      <c r="F3507" s="50">
        <v>43466</v>
      </c>
      <c r="G3507" s="50">
        <v>43646</v>
      </c>
      <c r="H3507" s="150"/>
      <c r="I3507" s="15" t="s">
        <v>23</v>
      </c>
      <c r="J3507" s="15" t="s">
        <v>23</v>
      </c>
      <c r="K3507" s="13">
        <v>7.8</v>
      </c>
      <c r="L3507" s="13">
        <v>1510.71</v>
      </c>
      <c r="M3507" s="196" t="s">
        <v>425</v>
      </c>
      <c r="N3507" s="55">
        <f t="shared" si="255"/>
        <v>6.5</v>
      </c>
      <c r="O3507" s="55">
        <f t="shared" si="256"/>
        <v>1258.9250000000002</v>
      </c>
    </row>
    <row r="3508" spans="1:20" ht="15" customHeight="1" outlineLevel="1" x14ac:dyDescent="0.25">
      <c r="A3508" s="148"/>
      <c r="B3508" s="148"/>
      <c r="C3508" s="148"/>
      <c r="D3508" s="138"/>
      <c r="E3508" s="138"/>
      <c r="F3508" s="50">
        <v>43647</v>
      </c>
      <c r="G3508" s="50">
        <v>43830</v>
      </c>
      <c r="H3508" s="150"/>
      <c r="I3508" s="15" t="s">
        <v>23</v>
      </c>
      <c r="J3508" s="15" t="s">
        <v>23</v>
      </c>
      <c r="K3508" s="13">
        <v>7.95</v>
      </c>
      <c r="L3508" s="13">
        <v>1540.92</v>
      </c>
      <c r="M3508" s="198"/>
      <c r="N3508" s="55">
        <f t="shared" si="255"/>
        <v>6.625</v>
      </c>
      <c r="O3508" s="55">
        <f t="shared" si="256"/>
        <v>1284.1000000000001</v>
      </c>
    </row>
    <row r="3509" spans="1:20" ht="15" customHeight="1" outlineLevel="1" x14ac:dyDescent="0.25">
      <c r="A3509" s="148"/>
      <c r="B3509" s="148"/>
      <c r="C3509" s="148"/>
      <c r="D3509" s="138"/>
      <c r="E3509" s="138"/>
      <c r="F3509" s="50">
        <v>43466</v>
      </c>
      <c r="G3509" s="50">
        <v>43646</v>
      </c>
      <c r="H3509" s="150"/>
      <c r="I3509" s="15" t="s">
        <v>23</v>
      </c>
      <c r="J3509" s="15" t="s">
        <v>23</v>
      </c>
      <c r="K3509" s="13">
        <v>7.8</v>
      </c>
      <c r="L3509" s="13">
        <v>1279.9000000000001</v>
      </c>
      <c r="M3509" s="196" t="s">
        <v>426</v>
      </c>
      <c r="N3509" s="55">
        <f t="shared" si="255"/>
        <v>6.5</v>
      </c>
      <c r="O3509" s="55">
        <f t="shared" si="256"/>
        <v>1066.5833333333335</v>
      </c>
      <c r="P3509" s="121">
        <f>I3495-N3509</f>
        <v>23.83</v>
      </c>
      <c r="Q3509" s="57">
        <f>J3495-O3509</f>
        <v>4283.1166666666668</v>
      </c>
      <c r="R3509" s="57">
        <f>P3509*849.855</f>
        <v>20252.04465</v>
      </c>
      <c r="S3509" s="58">
        <f>Q3509*61.184</f>
        <v>262058.21013333334</v>
      </c>
      <c r="T3509" s="55">
        <f>R3509+S3509</f>
        <v>282310.25478333334</v>
      </c>
    </row>
    <row r="3510" spans="1:20" ht="15" customHeight="1" outlineLevel="1" x14ac:dyDescent="0.25">
      <c r="A3510" s="148"/>
      <c r="B3510" s="148"/>
      <c r="C3510" s="148"/>
      <c r="D3510" s="138"/>
      <c r="E3510" s="138"/>
      <c r="F3510" s="50">
        <v>43647</v>
      </c>
      <c r="G3510" s="50">
        <v>43830</v>
      </c>
      <c r="H3510" s="150"/>
      <c r="I3510" s="15" t="s">
        <v>23</v>
      </c>
      <c r="J3510" s="15" t="s">
        <v>23</v>
      </c>
      <c r="K3510" s="13">
        <v>7.95</v>
      </c>
      <c r="L3510" s="13">
        <v>1305.5</v>
      </c>
      <c r="M3510" s="198"/>
      <c r="N3510" s="55">
        <f t="shared" si="255"/>
        <v>6.625</v>
      </c>
      <c r="O3510" s="55">
        <f t="shared" si="256"/>
        <v>1087.9166666666667</v>
      </c>
    </row>
    <row r="3511" spans="1:20" ht="15" customHeight="1" outlineLevel="1" x14ac:dyDescent="0.25">
      <c r="A3511" s="148"/>
      <c r="B3511" s="148"/>
      <c r="C3511" s="148"/>
      <c r="D3511" s="138"/>
      <c r="E3511" s="138"/>
      <c r="F3511" s="50">
        <v>43466</v>
      </c>
      <c r="G3511" s="50">
        <v>43646</v>
      </c>
      <c r="H3511" s="150"/>
      <c r="I3511" s="15" t="s">
        <v>23</v>
      </c>
      <c r="J3511" s="15" t="s">
        <v>23</v>
      </c>
      <c r="K3511" s="13">
        <v>7.8</v>
      </c>
      <c r="L3511" s="13">
        <v>1396.26</v>
      </c>
      <c r="M3511" s="196" t="s">
        <v>427</v>
      </c>
      <c r="N3511" s="55">
        <f t="shared" si="255"/>
        <v>6.5</v>
      </c>
      <c r="O3511" s="55">
        <f t="shared" si="256"/>
        <v>1163.55</v>
      </c>
      <c r="P3511" s="121">
        <f>I3495-N3511</f>
        <v>23.83</v>
      </c>
      <c r="Q3511" s="57">
        <f>J3495-O3511</f>
        <v>4186.1499999999996</v>
      </c>
      <c r="R3511" s="57">
        <f>P3511*110.067</f>
        <v>2622.8966099999998</v>
      </c>
      <c r="S3511" s="58">
        <f>Q3511*7.264</f>
        <v>30408.193599999999</v>
      </c>
      <c r="T3511" s="55">
        <f>R3511+S3511</f>
        <v>33031.090209999995</v>
      </c>
    </row>
    <row r="3512" spans="1:20" ht="15" customHeight="1" outlineLevel="1" x14ac:dyDescent="0.25">
      <c r="A3512" s="147"/>
      <c r="B3512" s="147"/>
      <c r="C3512" s="148"/>
      <c r="D3512" s="141"/>
      <c r="E3512" s="141"/>
      <c r="F3512" s="50">
        <v>43647</v>
      </c>
      <c r="G3512" s="50">
        <v>43830</v>
      </c>
      <c r="H3512" s="151"/>
      <c r="I3512" s="15" t="s">
        <v>23</v>
      </c>
      <c r="J3512" s="15" t="s">
        <v>23</v>
      </c>
      <c r="K3512" s="13">
        <v>7.95</v>
      </c>
      <c r="L3512" s="13">
        <v>1424.18</v>
      </c>
      <c r="M3512" s="198"/>
      <c r="N3512" s="55">
        <f t="shared" si="255"/>
        <v>6.625</v>
      </c>
      <c r="O3512" s="55">
        <f t="shared" si="256"/>
        <v>1186.8166666666668</v>
      </c>
    </row>
    <row r="3513" spans="1:20" ht="15" customHeight="1" outlineLevel="1" x14ac:dyDescent="0.25">
      <c r="A3513" s="146" t="s">
        <v>61</v>
      </c>
      <c r="B3513" s="146" t="s">
        <v>552</v>
      </c>
      <c r="C3513" s="148"/>
      <c r="D3513" s="137">
        <v>42723</v>
      </c>
      <c r="E3513" s="137" t="s">
        <v>674</v>
      </c>
      <c r="F3513" s="12">
        <v>43466</v>
      </c>
      <c r="G3513" s="12">
        <v>43646</v>
      </c>
      <c r="H3513" s="149" t="s">
        <v>675</v>
      </c>
      <c r="I3513" s="66">
        <v>30.33</v>
      </c>
      <c r="J3513" s="13">
        <v>5349.7</v>
      </c>
      <c r="K3513" s="15" t="s">
        <v>23</v>
      </c>
      <c r="L3513" s="15" t="s">
        <v>23</v>
      </c>
      <c r="M3513" s="153"/>
    </row>
    <row r="3514" spans="1:20" ht="15" customHeight="1" outlineLevel="1" x14ac:dyDescent="0.25">
      <c r="A3514" s="148"/>
      <c r="B3514" s="148"/>
      <c r="C3514" s="148"/>
      <c r="D3514" s="141"/>
      <c r="E3514" s="141"/>
      <c r="F3514" s="12">
        <v>43647</v>
      </c>
      <c r="G3514" s="12">
        <v>43830</v>
      </c>
      <c r="H3514" s="151"/>
      <c r="I3514" s="66">
        <v>31.42</v>
      </c>
      <c r="J3514" s="13">
        <v>7602.14</v>
      </c>
      <c r="K3514" s="15" t="s">
        <v>23</v>
      </c>
      <c r="L3514" s="15" t="s">
        <v>23</v>
      </c>
      <c r="M3514" s="152"/>
    </row>
    <row r="3515" spans="1:20" ht="15" customHeight="1" outlineLevel="1" x14ac:dyDescent="0.25">
      <c r="A3515" s="148"/>
      <c r="B3515" s="148"/>
      <c r="C3515" s="148"/>
      <c r="D3515" s="137">
        <v>43454</v>
      </c>
      <c r="E3515" s="137" t="s">
        <v>673</v>
      </c>
      <c r="F3515" s="50">
        <v>43466</v>
      </c>
      <c r="G3515" s="50">
        <v>43646</v>
      </c>
      <c r="H3515" s="149"/>
      <c r="I3515" s="15" t="s">
        <v>23</v>
      </c>
      <c r="J3515" s="15" t="s">
        <v>23</v>
      </c>
      <c r="K3515" s="13">
        <v>9.6</v>
      </c>
      <c r="L3515" s="13">
        <v>1377.1</v>
      </c>
      <c r="M3515" s="196" t="s">
        <v>420</v>
      </c>
      <c r="N3515" s="55">
        <f>K3515/1.2</f>
        <v>8</v>
      </c>
      <c r="O3515" s="55">
        <f>L3515/1.2</f>
        <v>1147.5833333333333</v>
      </c>
    </row>
    <row r="3516" spans="1:20" ht="15" customHeight="1" outlineLevel="1" x14ac:dyDescent="0.25">
      <c r="A3516" s="148"/>
      <c r="B3516" s="148"/>
      <c r="C3516" s="148"/>
      <c r="D3516" s="138"/>
      <c r="E3516" s="138"/>
      <c r="F3516" s="50">
        <v>43647</v>
      </c>
      <c r="G3516" s="50">
        <v>43830</v>
      </c>
      <c r="H3516" s="150"/>
      <c r="I3516" s="15" t="s">
        <v>23</v>
      </c>
      <c r="J3516" s="15" t="s">
        <v>23</v>
      </c>
      <c r="K3516" s="13">
        <v>9.7899999999999991</v>
      </c>
      <c r="L3516" s="13">
        <v>1404.64</v>
      </c>
      <c r="M3516" s="198"/>
      <c r="N3516" s="55">
        <f t="shared" ref="N3516:N3530" si="257">K3516/1.2</f>
        <v>8.1583333333333332</v>
      </c>
      <c r="O3516" s="55">
        <f t="shared" ref="O3516:O3530" si="258">L3516/1.2</f>
        <v>1170.5333333333335</v>
      </c>
    </row>
    <row r="3517" spans="1:20" ht="15" customHeight="1" outlineLevel="1" x14ac:dyDescent="0.25">
      <c r="A3517" s="148"/>
      <c r="B3517" s="148"/>
      <c r="C3517" s="148"/>
      <c r="D3517" s="138"/>
      <c r="E3517" s="138"/>
      <c r="F3517" s="50">
        <v>43466</v>
      </c>
      <c r="G3517" s="50">
        <v>43646</v>
      </c>
      <c r="H3517" s="150"/>
      <c r="I3517" s="15" t="s">
        <v>23</v>
      </c>
      <c r="J3517" s="15" t="s">
        <v>23</v>
      </c>
      <c r="K3517" s="13">
        <v>9.6</v>
      </c>
      <c r="L3517" s="13">
        <v>1508.25</v>
      </c>
      <c r="M3517" s="196" t="s">
        <v>421</v>
      </c>
      <c r="N3517" s="55">
        <f t="shared" si="257"/>
        <v>8</v>
      </c>
      <c r="O3517" s="55">
        <f t="shared" si="258"/>
        <v>1256.875</v>
      </c>
    </row>
    <row r="3518" spans="1:20" ht="15" customHeight="1" outlineLevel="1" x14ac:dyDescent="0.25">
      <c r="A3518" s="148"/>
      <c r="B3518" s="148"/>
      <c r="C3518" s="148"/>
      <c r="D3518" s="138"/>
      <c r="E3518" s="138"/>
      <c r="F3518" s="50">
        <v>43647</v>
      </c>
      <c r="G3518" s="50">
        <v>43830</v>
      </c>
      <c r="H3518" s="150"/>
      <c r="I3518" s="15" t="s">
        <v>23</v>
      </c>
      <c r="J3518" s="15" t="s">
        <v>23</v>
      </c>
      <c r="K3518" s="13">
        <v>9.7899999999999991</v>
      </c>
      <c r="L3518" s="13">
        <v>1538.42</v>
      </c>
      <c r="M3518" s="198"/>
      <c r="N3518" s="55">
        <f t="shared" si="257"/>
        <v>8.1583333333333332</v>
      </c>
      <c r="O3518" s="55">
        <f t="shared" si="258"/>
        <v>1282.0166666666669</v>
      </c>
    </row>
    <row r="3519" spans="1:20" ht="15" customHeight="1" outlineLevel="1" x14ac:dyDescent="0.25">
      <c r="A3519" s="148"/>
      <c r="B3519" s="148"/>
      <c r="C3519" s="148"/>
      <c r="D3519" s="138"/>
      <c r="E3519" s="138"/>
      <c r="F3519" s="50">
        <v>43466</v>
      </c>
      <c r="G3519" s="50">
        <v>43646</v>
      </c>
      <c r="H3519" s="150"/>
      <c r="I3519" s="15" t="s">
        <v>23</v>
      </c>
      <c r="J3519" s="15" t="s">
        <v>23</v>
      </c>
      <c r="K3519" s="13">
        <v>9.6</v>
      </c>
      <c r="L3519" s="13">
        <v>1284.05</v>
      </c>
      <c r="M3519" s="196" t="s">
        <v>422</v>
      </c>
      <c r="N3519" s="55">
        <f t="shared" si="257"/>
        <v>8</v>
      </c>
      <c r="O3519" s="55">
        <f t="shared" si="258"/>
        <v>1070.0416666666667</v>
      </c>
    </row>
    <row r="3520" spans="1:20" ht="15" customHeight="1" outlineLevel="1" x14ac:dyDescent="0.25">
      <c r="A3520" s="148"/>
      <c r="B3520" s="148"/>
      <c r="C3520" s="148"/>
      <c r="D3520" s="138"/>
      <c r="E3520" s="138"/>
      <c r="F3520" s="50">
        <v>43647</v>
      </c>
      <c r="G3520" s="50">
        <v>43830</v>
      </c>
      <c r="H3520" s="150"/>
      <c r="I3520" s="15" t="s">
        <v>23</v>
      </c>
      <c r="J3520" s="15" t="s">
        <v>23</v>
      </c>
      <c r="K3520" s="13">
        <v>9.7899999999999991</v>
      </c>
      <c r="L3520" s="13">
        <v>1309.74</v>
      </c>
      <c r="M3520" s="198"/>
      <c r="N3520" s="55">
        <f t="shared" si="257"/>
        <v>8.1583333333333332</v>
      </c>
      <c r="O3520" s="55">
        <f t="shared" si="258"/>
        <v>1091.45</v>
      </c>
    </row>
    <row r="3521" spans="1:20" ht="15" customHeight="1" outlineLevel="1" x14ac:dyDescent="0.25">
      <c r="A3521" s="148"/>
      <c r="B3521" s="148"/>
      <c r="C3521" s="148"/>
      <c r="D3521" s="138"/>
      <c r="E3521" s="138"/>
      <c r="F3521" s="50">
        <v>43466</v>
      </c>
      <c r="G3521" s="50">
        <v>43646</v>
      </c>
      <c r="H3521" s="150"/>
      <c r="I3521" s="15" t="s">
        <v>23</v>
      </c>
      <c r="J3521" s="15" t="s">
        <v>23</v>
      </c>
      <c r="K3521" s="13">
        <v>9.6</v>
      </c>
      <c r="L3521" s="13">
        <v>1377.1</v>
      </c>
      <c r="M3521" s="196" t="s">
        <v>423</v>
      </c>
      <c r="N3521" s="55">
        <f t="shared" si="257"/>
        <v>8</v>
      </c>
      <c r="O3521" s="55">
        <f t="shared" si="258"/>
        <v>1147.5833333333333</v>
      </c>
    </row>
    <row r="3522" spans="1:20" ht="15" customHeight="1" outlineLevel="1" x14ac:dyDescent="0.25">
      <c r="A3522" s="148"/>
      <c r="B3522" s="148"/>
      <c r="C3522" s="148"/>
      <c r="D3522" s="138"/>
      <c r="E3522" s="138"/>
      <c r="F3522" s="50">
        <v>43647</v>
      </c>
      <c r="G3522" s="50">
        <v>43830</v>
      </c>
      <c r="H3522" s="150"/>
      <c r="I3522" s="15" t="s">
        <v>23</v>
      </c>
      <c r="J3522" s="15" t="s">
        <v>23</v>
      </c>
      <c r="K3522" s="13">
        <v>9.7899999999999991</v>
      </c>
      <c r="L3522" s="13">
        <v>1404.64</v>
      </c>
      <c r="M3522" s="198"/>
      <c r="N3522" s="55">
        <f t="shared" si="257"/>
        <v>8.1583333333333332</v>
      </c>
      <c r="O3522" s="55">
        <f t="shared" si="258"/>
        <v>1170.5333333333335</v>
      </c>
    </row>
    <row r="3523" spans="1:20" ht="15" customHeight="1" outlineLevel="1" x14ac:dyDescent="0.25">
      <c r="A3523" s="148"/>
      <c r="B3523" s="148"/>
      <c r="C3523" s="148"/>
      <c r="D3523" s="138"/>
      <c r="E3523" s="138"/>
      <c r="F3523" s="50">
        <v>43466</v>
      </c>
      <c r="G3523" s="50">
        <v>43646</v>
      </c>
      <c r="H3523" s="150"/>
      <c r="I3523" s="15" t="s">
        <v>23</v>
      </c>
      <c r="J3523" s="15" t="s">
        <v>23</v>
      </c>
      <c r="K3523" s="13">
        <v>9.6</v>
      </c>
      <c r="L3523" s="13">
        <v>1439.7</v>
      </c>
      <c r="M3523" s="196" t="s">
        <v>424</v>
      </c>
      <c r="N3523" s="55">
        <f t="shared" si="257"/>
        <v>8</v>
      </c>
      <c r="O3523" s="55">
        <f t="shared" si="258"/>
        <v>1199.75</v>
      </c>
    </row>
    <row r="3524" spans="1:20" ht="15" customHeight="1" outlineLevel="1" x14ac:dyDescent="0.25">
      <c r="A3524" s="148"/>
      <c r="B3524" s="148"/>
      <c r="C3524" s="148"/>
      <c r="D3524" s="138"/>
      <c r="E3524" s="138"/>
      <c r="F3524" s="50">
        <v>43647</v>
      </c>
      <c r="G3524" s="50">
        <v>43830</v>
      </c>
      <c r="H3524" s="150"/>
      <c r="I3524" s="15" t="s">
        <v>23</v>
      </c>
      <c r="J3524" s="15" t="s">
        <v>23</v>
      </c>
      <c r="K3524" s="13">
        <v>9.7899999999999991</v>
      </c>
      <c r="L3524" s="13">
        <v>1468.49</v>
      </c>
      <c r="M3524" s="198"/>
      <c r="N3524" s="55">
        <f t="shared" si="257"/>
        <v>8.1583333333333332</v>
      </c>
      <c r="O3524" s="55">
        <f t="shared" si="258"/>
        <v>1223.7416666666668</v>
      </c>
    </row>
    <row r="3525" spans="1:20" ht="15" customHeight="1" outlineLevel="1" x14ac:dyDescent="0.25">
      <c r="A3525" s="148"/>
      <c r="B3525" s="148"/>
      <c r="C3525" s="148"/>
      <c r="D3525" s="138"/>
      <c r="E3525" s="138"/>
      <c r="F3525" s="50">
        <v>43466</v>
      </c>
      <c r="G3525" s="50">
        <v>43646</v>
      </c>
      <c r="H3525" s="150"/>
      <c r="I3525" s="15" t="s">
        <v>23</v>
      </c>
      <c r="J3525" s="15" t="s">
        <v>23</v>
      </c>
      <c r="K3525" s="13">
        <v>9.6</v>
      </c>
      <c r="L3525" s="13">
        <v>1557.7</v>
      </c>
      <c r="M3525" s="196" t="s">
        <v>425</v>
      </c>
      <c r="N3525" s="55">
        <f t="shared" si="257"/>
        <v>8</v>
      </c>
      <c r="O3525" s="55">
        <f t="shared" si="258"/>
        <v>1298.0833333333335</v>
      </c>
    </row>
    <row r="3526" spans="1:20" ht="15" customHeight="1" outlineLevel="1" x14ac:dyDescent="0.25">
      <c r="A3526" s="148"/>
      <c r="B3526" s="148"/>
      <c r="C3526" s="148"/>
      <c r="D3526" s="138"/>
      <c r="E3526" s="138"/>
      <c r="F3526" s="50">
        <v>43647</v>
      </c>
      <c r="G3526" s="50">
        <v>43830</v>
      </c>
      <c r="H3526" s="150"/>
      <c r="I3526" s="15" t="s">
        <v>23</v>
      </c>
      <c r="J3526" s="15" t="s">
        <v>23</v>
      </c>
      <c r="K3526" s="13">
        <v>9.7899999999999991</v>
      </c>
      <c r="L3526" s="13">
        <v>1588.86</v>
      </c>
      <c r="M3526" s="198"/>
      <c r="N3526" s="55">
        <f t="shared" si="257"/>
        <v>8.1583333333333332</v>
      </c>
      <c r="O3526" s="55">
        <f t="shared" si="258"/>
        <v>1324.05</v>
      </c>
    </row>
    <row r="3527" spans="1:20" ht="15" customHeight="1" outlineLevel="1" x14ac:dyDescent="0.25">
      <c r="A3527" s="148"/>
      <c r="B3527" s="148"/>
      <c r="C3527" s="148"/>
      <c r="D3527" s="138"/>
      <c r="E3527" s="138"/>
      <c r="F3527" s="50">
        <v>43466</v>
      </c>
      <c r="G3527" s="50">
        <v>43646</v>
      </c>
      <c r="H3527" s="150"/>
      <c r="I3527" s="15" t="s">
        <v>23</v>
      </c>
      <c r="J3527" s="15" t="s">
        <v>23</v>
      </c>
      <c r="K3527" s="13">
        <v>9.6</v>
      </c>
      <c r="L3527" s="13">
        <v>1319.72</v>
      </c>
      <c r="M3527" s="196" t="s">
        <v>426</v>
      </c>
      <c r="N3527" s="55">
        <f t="shared" si="257"/>
        <v>8</v>
      </c>
      <c r="O3527" s="55">
        <f t="shared" si="258"/>
        <v>1099.7666666666667</v>
      </c>
      <c r="P3527" s="122">
        <f>I3513-N3527</f>
        <v>22.33</v>
      </c>
      <c r="Q3527" s="57">
        <f>J3513-O3527</f>
        <v>4249.9333333333334</v>
      </c>
    </row>
    <row r="3528" spans="1:20" s="10" customFormat="1" ht="28.5" customHeight="1" x14ac:dyDescent="0.25">
      <c r="A3528" s="148"/>
      <c r="B3528" s="148"/>
      <c r="C3528" s="148"/>
      <c r="D3528" s="138"/>
      <c r="E3528" s="138"/>
      <c r="F3528" s="50">
        <v>43647</v>
      </c>
      <c r="G3528" s="50">
        <v>43830</v>
      </c>
      <c r="H3528" s="150"/>
      <c r="I3528" s="15" t="s">
        <v>23</v>
      </c>
      <c r="J3528" s="15" t="s">
        <v>23</v>
      </c>
      <c r="K3528" s="13">
        <v>9.7899999999999991</v>
      </c>
      <c r="L3528" s="13">
        <v>1346.12</v>
      </c>
      <c r="M3528" s="198"/>
      <c r="N3528" s="69">
        <f t="shared" si="257"/>
        <v>8.1583333333333332</v>
      </c>
      <c r="O3528" s="11">
        <f t="shared" si="258"/>
        <v>1121.7666666666667</v>
      </c>
      <c r="Q3528" s="64"/>
      <c r="R3528" s="64"/>
      <c r="S3528" s="65"/>
      <c r="T3528" s="11"/>
    </row>
    <row r="3529" spans="1:20" ht="15" customHeight="1" outlineLevel="1" x14ac:dyDescent="0.25">
      <c r="A3529" s="148"/>
      <c r="B3529" s="148"/>
      <c r="C3529" s="148"/>
      <c r="D3529" s="138"/>
      <c r="E3529" s="138"/>
      <c r="F3529" s="50">
        <v>43466</v>
      </c>
      <c r="G3529" s="50">
        <v>43646</v>
      </c>
      <c r="H3529" s="150"/>
      <c r="I3529" s="15" t="s">
        <v>23</v>
      </c>
      <c r="J3529" s="15" t="s">
        <v>23</v>
      </c>
      <c r="K3529" s="13">
        <v>9.6</v>
      </c>
      <c r="L3529" s="13">
        <v>1439.7</v>
      </c>
      <c r="M3529" s="196" t="s">
        <v>427</v>
      </c>
      <c r="N3529" s="55">
        <f t="shared" si="257"/>
        <v>8</v>
      </c>
      <c r="O3529" s="55">
        <f t="shared" si="258"/>
        <v>1199.75</v>
      </c>
      <c r="P3529" s="122">
        <f>I3513-N3529</f>
        <v>22.33</v>
      </c>
      <c r="Q3529" s="57">
        <f>J3513-O3529</f>
        <v>4149.95</v>
      </c>
    </row>
    <row r="3530" spans="1:20" ht="15" customHeight="1" outlineLevel="1" x14ac:dyDescent="0.25">
      <c r="A3530" s="147"/>
      <c r="B3530" s="147"/>
      <c r="C3530" s="148"/>
      <c r="D3530" s="141"/>
      <c r="E3530" s="141"/>
      <c r="F3530" s="50">
        <v>43647</v>
      </c>
      <c r="G3530" s="50">
        <v>43830</v>
      </c>
      <c r="H3530" s="151"/>
      <c r="I3530" s="15" t="s">
        <v>23</v>
      </c>
      <c r="J3530" s="15" t="s">
        <v>23</v>
      </c>
      <c r="K3530" s="13">
        <v>9.7899999999999991</v>
      </c>
      <c r="L3530" s="13">
        <v>1468.49</v>
      </c>
      <c r="M3530" s="198"/>
      <c r="N3530" s="55">
        <f t="shared" si="257"/>
        <v>8.1583333333333332</v>
      </c>
      <c r="O3530" s="55">
        <f t="shared" si="258"/>
        <v>1223.7416666666668</v>
      </c>
    </row>
    <row r="3531" spans="1:20" ht="15" customHeight="1" outlineLevel="1" x14ac:dyDescent="0.25">
      <c r="A3531" s="146" t="s">
        <v>61</v>
      </c>
      <c r="B3531" s="146" t="s">
        <v>550</v>
      </c>
      <c r="C3531" s="148"/>
      <c r="D3531" s="137">
        <v>42723</v>
      </c>
      <c r="E3531" s="137" t="s">
        <v>674</v>
      </c>
      <c r="F3531" s="12">
        <v>43466</v>
      </c>
      <c r="G3531" s="12">
        <v>43646</v>
      </c>
      <c r="H3531" s="149" t="s">
        <v>675</v>
      </c>
      <c r="I3531" s="66">
        <v>30.33</v>
      </c>
      <c r="J3531" s="13">
        <v>5349.7</v>
      </c>
      <c r="K3531" s="15" t="s">
        <v>23</v>
      </c>
      <c r="L3531" s="15" t="s">
        <v>23</v>
      </c>
      <c r="M3531" s="153"/>
    </row>
    <row r="3532" spans="1:20" ht="15" customHeight="1" outlineLevel="1" x14ac:dyDescent="0.25">
      <c r="A3532" s="148"/>
      <c r="B3532" s="148"/>
      <c r="C3532" s="148"/>
      <c r="D3532" s="141"/>
      <c r="E3532" s="141"/>
      <c r="F3532" s="12">
        <v>43647</v>
      </c>
      <c r="G3532" s="12">
        <v>43830</v>
      </c>
      <c r="H3532" s="151"/>
      <c r="I3532" s="66">
        <v>31.42</v>
      </c>
      <c r="J3532" s="13">
        <v>7602.14</v>
      </c>
      <c r="K3532" s="15" t="s">
        <v>23</v>
      </c>
      <c r="L3532" s="15" t="s">
        <v>23</v>
      </c>
      <c r="M3532" s="152"/>
    </row>
    <row r="3533" spans="1:20" ht="15" customHeight="1" outlineLevel="1" x14ac:dyDescent="0.25">
      <c r="A3533" s="148"/>
      <c r="B3533" s="148"/>
      <c r="C3533" s="148"/>
      <c r="D3533" s="137">
        <v>43454</v>
      </c>
      <c r="E3533" s="137" t="s">
        <v>673</v>
      </c>
      <c r="F3533" s="50">
        <v>43466</v>
      </c>
      <c r="G3533" s="50">
        <v>43646</v>
      </c>
      <c r="H3533" s="149"/>
      <c r="I3533" s="15" t="s">
        <v>23</v>
      </c>
      <c r="J3533" s="15" t="s">
        <v>23</v>
      </c>
      <c r="K3533" s="13">
        <v>10.130000000000001</v>
      </c>
      <c r="L3533" s="13">
        <v>1642.48</v>
      </c>
      <c r="M3533" s="196" t="s">
        <v>420</v>
      </c>
      <c r="N3533" s="55">
        <f>K3533/1.2</f>
        <v>8.4416666666666682</v>
      </c>
      <c r="O3533" s="55">
        <f>L3533/1.2</f>
        <v>1368.7333333333333</v>
      </c>
    </row>
    <row r="3534" spans="1:20" ht="15" customHeight="1" outlineLevel="1" x14ac:dyDescent="0.25">
      <c r="A3534" s="148"/>
      <c r="B3534" s="148"/>
      <c r="C3534" s="148"/>
      <c r="D3534" s="138"/>
      <c r="E3534" s="138"/>
      <c r="F3534" s="50">
        <v>43647</v>
      </c>
      <c r="G3534" s="50">
        <v>43830</v>
      </c>
      <c r="H3534" s="150"/>
      <c r="I3534" s="15" t="s">
        <v>23</v>
      </c>
      <c r="J3534" s="15" t="s">
        <v>23</v>
      </c>
      <c r="K3534" s="13">
        <v>10.33</v>
      </c>
      <c r="L3534" s="13">
        <v>1675.33</v>
      </c>
      <c r="M3534" s="198"/>
      <c r="N3534" s="55">
        <f t="shared" ref="N3534:N3548" si="259">K3534/1.2</f>
        <v>8.6083333333333343</v>
      </c>
      <c r="O3534" s="55">
        <f t="shared" ref="O3534:O3548" si="260">L3534/1.2</f>
        <v>1396.1083333333333</v>
      </c>
    </row>
    <row r="3535" spans="1:20" ht="15" customHeight="1" outlineLevel="1" x14ac:dyDescent="0.25">
      <c r="A3535" s="148"/>
      <c r="B3535" s="148"/>
      <c r="C3535" s="148"/>
      <c r="D3535" s="138"/>
      <c r="E3535" s="138"/>
      <c r="F3535" s="50">
        <v>43466</v>
      </c>
      <c r="G3535" s="50">
        <v>43646</v>
      </c>
      <c r="H3535" s="150"/>
      <c r="I3535" s="15" t="s">
        <v>23</v>
      </c>
      <c r="J3535" s="15" t="s">
        <v>23</v>
      </c>
      <c r="K3535" s="13">
        <v>10.130000000000001</v>
      </c>
      <c r="L3535" s="13">
        <v>1391.54</v>
      </c>
      <c r="M3535" s="196" t="s">
        <v>421</v>
      </c>
      <c r="N3535" s="55">
        <f t="shared" si="259"/>
        <v>8.4416666666666682</v>
      </c>
      <c r="O3535" s="55">
        <f t="shared" si="260"/>
        <v>1159.6166666666668</v>
      </c>
    </row>
    <row r="3536" spans="1:20" ht="15" customHeight="1" outlineLevel="1" x14ac:dyDescent="0.25">
      <c r="A3536" s="148"/>
      <c r="B3536" s="148"/>
      <c r="C3536" s="148"/>
      <c r="D3536" s="138"/>
      <c r="E3536" s="138"/>
      <c r="F3536" s="50">
        <v>43647</v>
      </c>
      <c r="G3536" s="50">
        <v>43830</v>
      </c>
      <c r="H3536" s="150"/>
      <c r="I3536" s="15" t="s">
        <v>23</v>
      </c>
      <c r="J3536" s="15" t="s">
        <v>23</v>
      </c>
      <c r="K3536" s="13">
        <v>10.33</v>
      </c>
      <c r="L3536" s="13">
        <v>1419.38</v>
      </c>
      <c r="M3536" s="198"/>
      <c r="N3536" s="55">
        <f t="shared" si="259"/>
        <v>8.6083333333333343</v>
      </c>
      <c r="O3536" s="55">
        <f t="shared" si="260"/>
        <v>1182.8166666666668</v>
      </c>
    </row>
    <row r="3537" spans="1:17" ht="15" customHeight="1" outlineLevel="1" x14ac:dyDescent="0.25">
      <c r="A3537" s="148"/>
      <c r="B3537" s="148"/>
      <c r="C3537" s="148"/>
      <c r="D3537" s="138"/>
      <c r="E3537" s="138"/>
      <c r="F3537" s="50">
        <v>43466</v>
      </c>
      <c r="G3537" s="50">
        <v>43646</v>
      </c>
      <c r="H3537" s="150"/>
      <c r="I3537" s="15" t="s">
        <v>23</v>
      </c>
      <c r="J3537" s="15" t="s">
        <v>23</v>
      </c>
      <c r="K3537" s="13">
        <v>10.130000000000001</v>
      </c>
      <c r="L3537" s="13">
        <v>1518.05</v>
      </c>
      <c r="M3537" s="196" t="s">
        <v>422</v>
      </c>
      <c r="N3537" s="55">
        <f t="shared" si="259"/>
        <v>8.4416666666666682</v>
      </c>
      <c r="O3537" s="55">
        <f t="shared" si="260"/>
        <v>1265.0416666666667</v>
      </c>
    </row>
    <row r="3538" spans="1:17" ht="15" customHeight="1" outlineLevel="1" x14ac:dyDescent="0.25">
      <c r="A3538" s="148"/>
      <c r="B3538" s="148"/>
      <c r="C3538" s="148"/>
      <c r="D3538" s="138"/>
      <c r="E3538" s="138"/>
      <c r="F3538" s="50">
        <v>43647</v>
      </c>
      <c r="G3538" s="50">
        <v>43830</v>
      </c>
      <c r="H3538" s="150"/>
      <c r="I3538" s="15" t="s">
        <v>23</v>
      </c>
      <c r="J3538" s="15" t="s">
        <v>23</v>
      </c>
      <c r="K3538" s="13">
        <v>10.33</v>
      </c>
      <c r="L3538" s="13">
        <v>1548.41</v>
      </c>
      <c r="M3538" s="198"/>
      <c r="N3538" s="55">
        <f t="shared" si="259"/>
        <v>8.6083333333333343</v>
      </c>
      <c r="O3538" s="55">
        <f t="shared" si="260"/>
        <v>1290.3416666666667</v>
      </c>
    </row>
    <row r="3539" spans="1:17" ht="15" customHeight="1" outlineLevel="1" x14ac:dyDescent="0.25">
      <c r="A3539" s="148"/>
      <c r="B3539" s="148"/>
      <c r="C3539" s="148"/>
      <c r="D3539" s="138"/>
      <c r="E3539" s="138"/>
      <c r="F3539" s="50">
        <v>43466</v>
      </c>
      <c r="G3539" s="50">
        <v>43646</v>
      </c>
      <c r="H3539" s="150"/>
      <c r="I3539" s="15" t="s">
        <v>23</v>
      </c>
      <c r="J3539" s="15" t="s">
        <v>23</v>
      </c>
      <c r="K3539" s="13">
        <v>10.130000000000001</v>
      </c>
      <c r="L3539" s="13">
        <v>1452.05</v>
      </c>
      <c r="M3539" s="196" t="s">
        <v>423</v>
      </c>
      <c r="N3539" s="55">
        <f t="shared" si="259"/>
        <v>8.4416666666666682</v>
      </c>
      <c r="O3539" s="55">
        <f t="shared" si="260"/>
        <v>1210.0416666666667</v>
      </c>
    </row>
    <row r="3540" spans="1:17" ht="15" customHeight="1" outlineLevel="1" x14ac:dyDescent="0.25">
      <c r="A3540" s="148"/>
      <c r="B3540" s="148"/>
      <c r="C3540" s="148"/>
      <c r="D3540" s="138"/>
      <c r="E3540" s="138"/>
      <c r="F3540" s="50">
        <v>43647</v>
      </c>
      <c r="G3540" s="50">
        <v>43830</v>
      </c>
      <c r="H3540" s="150"/>
      <c r="I3540" s="15" t="s">
        <v>23</v>
      </c>
      <c r="J3540" s="15" t="s">
        <v>23</v>
      </c>
      <c r="K3540" s="13">
        <v>10.33</v>
      </c>
      <c r="L3540" s="13">
        <v>1481.09</v>
      </c>
      <c r="M3540" s="198"/>
      <c r="N3540" s="55">
        <f t="shared" si="259"/>
        <v>8.6083333333333343</v>
      </c>
      <c r="O3540" s="55">
        <f t="shared" si="260"/>
        <v>1234.2416666666666</v>
      </c>
    </row>
    <row r="3541" spans="1:17" ht="15" customHeight="1" outlineLevel="1" x14ac:dyDescent="0.25">
      <c r="A3541" s="148"/>
      <c r="B3541" s="148"/>
      <c r="C3541" s="148"/>
      <c r="D3541" s="138"/>
      <c r="E3541" s="138"/>
      <c r="F3541" s="50">
        <v>43466</v>
      </c>
      <c r="G3541" s="50">
        <v>43646</v>
      </c>
      <c r="H3541" s="150"/>
      <c r="I3541" s="15" t="s">
        <v>23</v>
      </c>
      <c r="J3541" s="15" t="s">
        <v>23</v>
      </c>
      <c r="K3541" s="13">
        <v>10.130000000000001</v>
      </c>
      <c r="L3541" s="13">
        <v>1548.41</v>
      </c>
      <c r="M3541" s="196" t="s">
        <v>424</v>
      </c>
      <c r="N3541" s="55">
        <f t="shared" si="259"/>
        <v>8.4416666666666682</v>
      </c>
      <c r="O3541" s="55">
        <f t="shared" si="260"/>
        <v>1290.3416666666667</v>
      </c>
    </row>
    <row r="3542" spans="1:17" ht="15" customHeight="1" outlineLevel="1" x14ac:dyDescent="0.25">
      <c r="A3542" s="148"/>
      <c r="B3542" s="148"/>
      <c r="C3542" s="148"/>
      <c r="D3542" s="138"/>
      <c r="E3542" s="138"/>
      <c r="F3542" s="50">
        <v>43647</v>
      </c>
      <c r="G3542" s="50">
        <v>43830</v>
      </c>
      <c r="H3542" s="150"/>
      <c r="I3542" s="15" t="s">
        <v>23</v>
      </c>
      <c r="J3542" s="15" t="s">
        <v>23</v>
      </c>
      <c r="K3542" s="13">
        <v>10.33</v>
      </c>
      <c r="L3542" s="13">
        <v>1642.48</v>
      </c>
      <c r="M3542" s="198"/>
      <c r="N3542" s="55">
        <f t="shared" si="259"/>
        <v>8.6083333333333343</v>
      </c>
      <c r="O3542" s="55">
        <f t="shared" si="260"/>
        <v>1368.7333333333333</v>
      </c>
    </row>
    <row r="3543" spans="1:17" ht="15" customHeight="1" outlineLevel="1" x14ac:dyDescent="0.25">
      <c r="A3543" s="148"/>
      <c r="B3543" s="148"/>
      <c r="C3543" s="148"/>
      <c r="D3543" s="138"/>
      <c r="E3543" s="138"/>
      <c r="F3543" s="50">
        <v>43466</v>
      </c>
      <c r="G3543" s="50">
        <v>43646</v>
      </c>
      <c r="H3543" s="150"/>
      <c r="I3543" s="15" t="s">
        <v>23</v>
      </c>
      <c r="J3543" s="15" t="s">
        <v>23</v>
      </c>
      <c r="K3543" s="13">
        <v>10.130000000000001</v>
      </c>
      <c r="L3543" s="13">
        <v>1642.48</v>
      </c>
      <c r="M3543" s="196" t="s">
        <v>425</v>
      </c>
      <c r="N3543" s="55">
        <f t="shared" si="259"/>
        <v>8.4416666666666682</v>
      </c>
      <c r="O3543" s="55">
        <f t="shared" si="260"/>
        <v>1368.7333333333333</v>
      </c>
    </row>
    <row r="3544" spans="1:17" ht="15" customHeight="1" outlineLevel="1" x14ac:dyDescent="0.25">
      <c r="A3544" s="148"/>
      <c r="B3544" s="148"/>
      <c r="C3544" s="148"/>
      <c r="D3544" s="138"/>
      <c r="E3544" s="138"/>
      <c r="F3544" s="50">
        <v>43647</v>
      </c>
      <c r="G3544" s="50">
        <v>43830</v>
      </c>
      <c r="H3544" s="150"/>
      <c r="I3544" s="15" t="s">
        <v>23</v>
      </c>
      <c r="J3544" s="15" t="s">
        <v>23</v>
      </c>
      <c r="K3544" s="13">
        <v>10.33</v>
      </c>
      <c r="L3544" s="13">
        <v>1675.33</v>
      </c>
      <c r="M3544" s="198"/>
      <c r="N3544" s="55">
        <f t="shared" si="259"/>
        <v>8.6083333333333343</v>
      </c>
      <c r="O3544" s="55">
        <f t="shared" si="260"/>
        <v>1396.1083333333333</v>
      </c>
    </row>
    <row r="3545" spans="1:17" ht="15" customHeight="1" outlineLevel="1" x14ac:dyDescent="0.25">
      <c r="A3545" s="148"/>
      <c r="B3545" s="148"/>
      <c r="C3545" s="148"/>
      <c r="D3545" s="138"/>
      <c r="E3545" s="138"/>
      <c r="F3545" s="50">
        <v>43466</v>
      </c>
      <c r="G3545" s="50">
        <v>43646</v>
      </c>
      <c r="H3545" s="150"/>
      <c r="I3545" s="15" t="s">
        <v>23</v>
      </c>
      <c r="J3545" s="15" t="s">
        <v>23</v>
      </c>
      <c r="K3545" s="13">
        <v>10.130000000000001</v>
      </c>
      <c r="L3545" s="13">
        <v>1391.54</v>
      </c>
      <c r="M3545" s="196" t="s">
        <v>426</v>
      </c>
      <c r="N3545" s="55">
        <f t="shared" si="259"/>
        <v>8.4416666666666682</v>
      </c>
      <c r="O3545" s="55">
        <f t="shared" si="260"/>
        <v>1159.6166666666668</v>
      </c>
      <c r="P3545" s="122">
        <f>I3531-N3545</f>
        <v>21.888333333333328</v>
      </c>
      <c r="Q3545" s="57">
        <f>J3531-O3545</f>
        <v>4190.083333333333</v>
      </c>
    </row>
    <row r="3546" spans="1:17" ht="15" customHeight="1" outlineLevel="1" x14ac:dyDescent="0.25">
      <c r="A3546" s="148"/>
      <c r="B3546" s="148"/>
      <c r="C3546" s="148"/>
      <c r="D3546" s="138"/>
      <c r="E3546" s="138"/>
      <c r="F3546" s="50">
        <v>43647</v>
      </c>
      <c r="G3546" s="50">
        <v>43830</v>
      </c>
      <c r="H3546" s="150"/>
      <c r="I3546" s="15" t="s">
        <v>23</v>
      </c>
      <c r="J3546" s="15" t="s">
        <v>23</v>
      </c>
      <c r="K3546" s="13">
        <v>10.33</v>
      </c>
      <c r="L3546" s="13">
        <v>1419.38</v>
      </c>
      <c r="M3546" s="198"/>
      <c r="N3546" s="55">
        <f t="shared" si="259"/>
        <v>8.6083333333333343</v>
      </c>
      <c r="O3546" s="55">
        <f t="shared" si="260"/>
        <v>1182.8166666666668</v>
      </c>
    </row>
    <row r="3547" spans="1:17" ht="15" customHeight="1" outlineLevel="1" x14ac:dyDescent="0.25">
      <c r="A3547" s="148"/>
      <c r="B3547" s="148"/>
      <c r="C3547" s="148"/>
      <c r="D3547" s="138"/>
      <c r="E3547" s="138"/>
      <c r="F3547" s="50">
        <v>43466</v>
      </c>
      <c r="G3547" s="50">
        <v>43646</v>
      </c>
      <c r="H3547" s="150"/>
      <c r="I3547" s="15" t="s">
        <v>23</v>
      </c>
      <c r="J3547" s="15" t="s">
        <v>23</v>
      </c>
      <c r="K3547" s="13">
        <v>10.130000000000001</v>
      </c>
      <c r="L3547" s="13">
        <v>1518.05</v>
      </c>
      <c r="M3547" s="196" t="s">
        <v>427</v>
      </c>
      <c r="N3547" s="55">
        <f t="shared" si="259"/>
        <v>8.4416666666666682</v>
      </c>
      <c r="O3547" s="55">
        <f t="shared" si="260"/>
        <v>1265.0416666666667</v>
      </c>
      <c r="P3547" s="122">
        <f>I3531-N3547</f>
        <v>21.888333333333328</v>
      </c>
      <c r="Q3547" s="57">
        <f>J3531-O3547</f>
        <v>4084.6583333333328</v>
      </c>
    </row>
    <row r="3548" spans="1:17" ht="15" customHeight="1" outlineLevel="1" x14ac:dyDescent="0.25">
      <c r="A3548" s="147"/>
      <c r="B3548" s="147"/>
      <c r="C3548" s="148"/>
      <c r="D3548" s="141"/>
      <c r="E3548" s="141"/>
      <c r="F3548" s="50">
        <v>43647</v>
      </c>
      <c r="G3548" s="50">
        <v>43830</v>
      </c>
      <c r="H3548" s="151"/>
      <c r="I3548" s="15" t="s">
        <v>23</v>
      </c>
      <c r="J3548" s="15" t="s">
        <v>23</v>
      </c>
      <c r="K3548" s="13">
        <v>10.33</v>
      </c>
      <c r="L3548" s="13">
        <v>1548.41</v>
      </c>
      <c r="M3548" s="198"/>
      <c r="N3548" s="55">
        <f t="shared" si="259"/>
        <v>8.6083333333333343</v>
      </c>
      <c r="O3548" s="55">
        <f t="shared" si="260"/>
        <v>1290.3416666666667</v>
      </c>
    </row>
    <row r="3549" spans="1:17" ht="15" customHeight="1" outlineLevel="1" x14ac:dyDescent="0.25">
      <c r="A3549" s="146" t="s">
        <v>61</v>
      </c>
      <c r="B3549" s="146" t="s">
        <v>549</v>
      </c>
      <c r="C3549" s="148"/>
      <c r="D3549" s="137">
        <v>42723</v>
      </c>
      <c r="E3549" s="137" t="s">
        <v>674</v>
      </c>
      <c r="F3549" s="12">
        <v>43466</v>
      </c>
      <c r="G3549" s="12">
        <v>43646</v>
      </c>
      <c r="H3549" s="149" t="s">
        <v>675</v>
      </c>
      <c r="I3549" s="66">
        <v>30.33</v>
      </c>
      <c r="J3549" s="13">
        <v>5349.7</v>
      </c>
      <c r="K3549" s="15" t="s">
        <v>23</v>
      </c>
      <c r="L3549" s="15"/>
      <c r="M3549" s="153"/>
    </row>
    <row r="3550" spans="1:17" ht="15" customHeight="1" outlineLevel="1" x14ac:dyDescent="0.25">
      <c r="A3550" s="148"/>
      <c r="B3550" s="148"/>
      <c r="C3550" s="148"/>
      <c r="D3550" s="141"/>
      <c r="E3550" s="141"/>
      <c r="F3550" s="12">
        <v>43647</v>
      </c>
      <c r="G3550" s="12">
        <v>43830</v>
      </c>
      <c r="H3550" s="151"/>
      <c r="I3550" s="66">
        <v>31.42</v>
      </c>
      <c r="J3550" s="13">
        <v>7602.14</v>
      </c>
      <c r="K3550" s="15" t="s">
        <v>23</v>
      </c>
      <c r="L3550" s="15" t="s">
        <v>23</v>
      </c>
      <c r="M3550" s="152"/>
    </row>
    <row r="3551" spans="1:17" ht="15" customHeight="1" outlineLevel="1" x14ac:dyDescent="0.25">
      <c r="A3551" s="148"/>
      <c r="B3551" s="148"/>
      <c r="C3551" s="148"/>
      <c r="D3551" s="137">
        <v>43454</v>
      </c>
      <c r="E3551" s="137" t="s">
        <v>673</v>
      </c>
      <c r="F3551" s="50">
        <v>43466</v>
      </c>
      <c r="G3551" s="50">
        <v>43646</v>
      </c>
      <c r="H3551" s="149"/>
      <c r="I3551" s="15" t="s">
        <v>23</v>
      </c>
      <c r="J3551" s="15" t="s">
        <v>23</v>
      </c>
      <c r="K3551" s="13">
        <v>10.63</v>
      </c>
      <c r="L3551" s="13">
        <v>1525.26</v>
      </c>
      <c r="M3551" s="196" t="s">
        <v>420</v>
      </c>
      <c r="N3551" s="55">
        <f>K3551/1.2</f>
        <v>8.8583333333333343</v>
      </c>
      <c r="O3551" s="55">
        <f>L3551/1.2</f>
        <v>1271.05</v>
      </c>
    </row>
    <row r="3552" spans="1:17" ht="15" customHeight="1" outlineLevel="1" x14ac:dyDescent="0.25">
      <c r="A3552" s="148"/>
      <c r="B3552" s="148"/>
      <c r="C3552" s="148"/>
      <c r="D3552" s="138"/>
      <c r="E3552" s="138"/>
      <c r="F3552" s="50">
        <v>43647</v>
      </c>
      <c r="G3552" s="50">
        <v>43830</v>
      </c>
      <c r="H3552" s="150"/>
      <c r="I3552" s="15" t="s">
        <v>23</v>
      </c>
      <c r="J3552" s="15" t="s">
        <v>23</v>
      </c>
      <c r="K3552" s="13">
        <v>10.84</v>
      </c>
      <c r="L3552" s="13">
        <v>1555.76</v>
      </c>
      <c r="M3552" s="198"/>
      <c r="N3552" s="55">
        <f t="shared" ref="N3552:N3566" si="261">K3552/1.2</f>
        <v>9.0333333333333332</v>
      </c>
      <c r="O3552" s="55">
        <f t="shared" ref="O3552:O3566" si="262">L3552/1.2</f>
        <v>1296.4666666666667</v>
      </c>
    </row>
    <row r="3553" spans="1:17" ht="15" customHeight="1" outlineLevel="1" x14ac:dyDescent="0.25">
      <c r="A3553" s="148"/>
      <c r="B3553" s="148"/>
      <c r="C3553" s="148"/>
      <c r="D3553" s="138"/>
      <c r="E3553" s="138"/>
      <c r="F3553" s="50">
        <v>43466</v>
      </c>
      <c r="G3553" s="50">
        <v>43646</v>
      </c>
      <c r="H3553" s="150"/>
      <c r="I3553" s="15" t="s">
        <v>23</v>
      </c>
      <c r="J3553" s="15" t="s">
        <v>23</v>
      </c>
      <c r="K3553" s="13">
        <v>10.63</v>
      </c>
      <c r="L3553" s="13">
        <v>1670.52</v>
      </c>
      <c r="M3553" s="196" t="s">
        <v>421</v>
      </c>
      <c r="N3553" s="55">
        <f t="shared" si="261"/>
        <v>8.8583333333333343</v>
      </c>
      <c r="O3553" s="55">
        <f t="shared" si="262"/>
        <v>1392.1000000000001</v>
      </c>
    </row>
    <row r="3554" spans="1:17" ht="15" customHeight="1" outlineLevel="1" x14ac:dyDescent="0.25">
      <c r="A3554" s="148"/>
      <c r="B3554" s="148"/>
      <c r="C3554" s="148"/>
      <c r="D3554" s="138"/>
      <c r="E3554" s="138"/>
      <c r="F3554" s="50">
        <v>43647</v>
      </c>
      <c r="G3554" s="50">
        <v>43830</v>
      </c>
      <c r="H3554" s="150"/>
      <c r="I3554" s="15" t="s">
        <v>23</v>
      </c>
      <c r="J3554" s="15" t="s">
        <v>23</v>
      </c>
      <c r="K3554" s="13">
        <v>10.84</v>
      </c>
      <c r="L3554" s="13">
        <v>1703.93</v>
      </c>
      <c r="M3554" s="198"/>
      <c r="N3554" s="55">
        <f t="shared" si="261"/>
        <v>9.0333333333333332</v>
      </c>
      <c r="O3554" s="55">
        <f t="shared" si="262"/>
        <v>1419.9416666666668</v>
      </c>
    </row>
    <row r="3555" spans="1:17" ht="15" customHeight="1" outlineLevel="1" x14ac:dyDescent="0.25">
      <c r="A3555" s="148"/>
      <c r="B3555" s="148"/>
      <c r="C3555" s="148"/>
      <c r="D3555" s="138"/>
      <c r="E3555" s="138"/>
      <c r="F3555" s="50">
        <v>43466</v>
      </c>
      <c r="G3555" s="50">
        <v>43646</v>
      </c>
      <c r="H3555" s="150"/>
      <c r="I3555" s="15" t="s">
        <v>23</v>
      </c>
      <c r="J3555" s="15" t="s">
        <v>23</v>
      </c>
      <c r="K3555" s="13">
        <v>10.63</v>
      </c>
      <c r="L3555" s="13">
        <v>1422.2</v>
      </c>
      <c r="M3555" s="196" t="s">
        <v>422</v>
      </c>
      <c r="N3555" s="55">
        <f t="shared" si="261"/>
        <v>8.8583333333333343</v>
      </c>
      <c r="O3555" s="55">
        <f t="shared" si="262"/>
        <v>1185.1666666666667</v>
      </c>
    </row>
    <row r="3556" spans="1:17" ht="15" customHeight="1" outlineLevel="1" x14ac:dyDescent="0.25">
      <c r="A3556" s="148"/>
      <c r="B3556" s="148"/>
      <c r="C3556" s="148"/>
      <c r="D3556" s="138"/>
      <c r="E3556" s="138"/>
      <c r="F3556" s="50">
        <v>43647</v>
      </c>
      <c r="G3556" s="50">
        <v>43830</v>
      </c>
      <c r="H3556" s="150"/>
      <c r="I3556" s="15" t="s">
        <v>23</v>
      </c>
      <c r="J3556" s="15" t="s">
        <v>23</v>
      </c>
      <c r="K3556" s="13">
        <v>10.84</v>
      </c>
      <c r="L3556" s="13">
        <v>1450.65</v>
      </c>
      <c r="M3556" s="198"/>
      <c r="N3556" s="55">
        <f t="shared" si="261"/>
        <v>9.0333333333333332</v>
      </c>
      <c r="O3556" s="55">
        <f t="shared" si="262"/>
        <v>1208.8750000000002</v>
      </c>
    </row>
    <row r="3557" spans="1:17" ht="15" customHeight="1" outlineLevel="1" x14ac:dyDescent="0.25">
      <c r="A3557" s="148"/>
      <c r="B3557" s="148"/>
      <c r="C3557" s="148"/>
      <c r="D3557" s="138"/>
      <c r="E3557" s="138"/>
      <c r="F3557" s="50">
        <v>43466</v>
      </c>
      <c r="G3557" s="50">
        <v>43646</v>
      </c>
      <c r="H3557" s="150"/>
      <c r="I3557" s="15" t="s">
        <v>23</v>
      </c>
      <c r="J3557" s="15" t="s">
        <v>23</v>
      </c>
      <c r="K3557" s="13">
        <v>10.63</v>
      </c>
      <c r="L3557" s="13">
        <v>1525.26</v>
      </c>
      <c r="M3557" s="196" t="s">
        <v>423</v>
      </c>
      <c r="N3557" s="55">
        <f t="shared" si="261"/>
        <v>8.8583333333333343</v>
      </c>
      <c r="O3557" s="55">
        <f t="shared" si="262"/>
        <v>1271.05</v>
      </c>
    </row>
    <row r="3558" spans="1:17" ht="15" customHeight="1" outlineLevel="1" x14ac:dyDescent="0.25">
      <c r="A3558" s="148"/>
      <c r="B3558" s="148"/>
      <c r="C3558" s="148"/>
      <c r="D3558" s="138"/>
      <c r="E3558" s="138"/>
      <c r="F3558" s="50">
        <v>43647</v>
      </c>
      <c r="G3558" s="50">
        <v>43830</v>
      </c>
      <c r="H3558" s="150"/>
      <c r="I3558" s="15" t="s">
        <v>23</v>
      </c>
      <c r="J3558" s="15" t="s">
        <v>23</v>
      </c>
      <c r="K3558" s="13">
        <v>10.84</v>
      </c>
      <c r="L3558" s="13">
        <v>1555.76</v>
      </c>
      <c r="M3558" s="198"/>
      <c r="N3558" s="55">
        <f t="shared" si="261"/>
        <v>9.0333333333333332</v>
      </c>
      <c r="O3558" s="55">
        <f t="shared" si="262"/>
        <v>1296.4666666666667</v>
      </c>
    </row>
    <row r="3559" spans="1:17" ht="15" customHeight="1" outlineLevel="1" x14ac:dyDescent="0.25">
      <c r="A3559" s="148"/>
      <c r="B3559" s="148"/>
      <c r="C3559" s="148"/>
      <c r="D3559" s="138"/>
      <c r="E3559" s="138"/>
      <c r="F3559" s="50">
        <v>43466</v>
      </c>
      <c r="G3559" s="50">
        <v>43646</v>
      </c>
      <c r="H3559" s="150"/>
      <c r="I3559" s="15" t="s">
        <v>23</v>
      </c>
      <c r="J3559" s="15" t="s">
        <v>23</v>
      </c>
      <c r="K3559" s="13">
        <v>10.63</v>
      </c>
      <c r="L3559" s="13">
        <v>1594.59</v>
      </c>
      <c r="M3559" s="196" t="s">
        <v>424</v>
      </c>
      <c r="N3559" s="55">
        <f t="shared" si="261"/>
        <v>8.8583333333333343</v>
      </c>
      <c r="O3559" s="55">
        <f t="shared" si="262"/>
        <v>1328.825</v>
      </c>
    </row>
    <row r="3560" spans="1:17" ht="15" customHeight="1" outlineLevel="1" x14ac:dyDescent="0.25">
      <c r="A3560" s="148"/>
      <c r="B3560" s="148"/>
      <c r="C3560" s="148"/>
      <c r="D3560" s="138"/>
      <c r="E3560" s="138"/>
      <c r="F3560" s="50">
        <v>43647</v>
      </c>
      <c r="G3560" s="50">
        <v>43830</v>
      </c>
      <c r="H3560" s="150"/>
      <c r="I3560" s="15" t="s">
        <v>23</v>
      </c>
      <c r="J3560" s="15" t="s">
        <v>23</v>
      </c>
      <c r="K3560" s="13">
        <v>10.84</v>
      </c>
      <c r="L3560" s="13">
        <v>1626.48</v>
      </c>
      <c r="M3560" s="198"/>
      <c r="N3560" s="55">
        <f t="shared" si="261"/>
        <v>9.0333333333333332</v>
      </c>
      <c r="O3560" s="55">
        <f t="shared" si="262"/>
        <v>1355.4</v>
      </c>
    </row>
    <row r="3561" spans="1:17" ht="15" customHeight="1" outlineLevel="1" x14ac:dyDescent="0.25">
      <c r="A3561" s="148"/>
      <c r="B3561" s="148"/>
      <c r="C3561" s="148"/>
      <c r="D3561" s="138"/>
      <c r="E3561" s="138"/>
      <c r="F3561" s="50">
        <v>43466</v>
      </c>
      <c r="G3561" s="50">
        <v>43646</v>
      </c>
      <c r="H3561" s="150"/>
      <c r="I3561" s="15" t="s">
        <v>23</v>
      </c>
      <c r="J3561" s="15" t="s">
        <v>23</v>
      </c>
      <c r="K3561" s="13">
        <v>10.63</v>
      </c>
      <c r="L3561" s="13">
        <v>1725.29</v>
      </c>
      <c r="M3561" s="196" t="s">
        <v>425</v>
      </c>
      <c r="N3561" s="55">
        <f t="shared" si="261"/>
        <v>8.8583333333333343</v>
      </c>
      <c r="O3561" s="55">
        <f t="shared" si="262"/>
        <v>1437.7416666666668</v>
      </c>
    </row>
    <row r="3562" spans="1:17" ht="15" customHeight="1" outlineLevel="1" x14ac:dyDescent="0.25">
      <c r="A3562" s="148"/>
      <c r="B3562" s="148"/>
      <c r="C3562" s="148"/>
      <c r="D3562" s="138"/>
      <c r="E3562" s="138"/>
      <c r="F3562" s="50">
        <v>43647</v>
      </c>
      <c r="G3562" s="50">
        <v>43830</v>
      </c>
      <c r="H3562" s="150"/>
      <c r="I3562" s="15" t="s">
        <v>23</v>
      </c>
      <c r="J3562" s="15" t="s">
        <v>23</v>
      </c>
      <c r="K3562" s="13">
        <v>10.84</v>
      </c>
      <c r="L3562" s="13">
        <v>1759.8</v>
      </c>
      <c r="M3562" s="198"/>
      <c r="N3562" s="55">
        <f t="shared" si="261"/>
        <v>9.0333333333333332</v>
      </c>
      <c r="O3562" s="55">
        <f t="shared" si="262"/>
        <v>1466.5</v>
      </c>
    </row>
    <row r="3563" spans="1:17" ht="15" customHeight="1" outlineLevel="1" x14ac:dyDescent="0.25">
      <c r="A3563" s="148"/>
      <c r="B3563" s="148"/>
      <c r="C3563" s="148"/>
      <c r="D3563" s="138"/>
      <c r="E3563" s="138"/>
      <c r="F3563" s="50">
        <v>43466</v>
      </c>
      <c r="G3563" s="50">
        <v>43646</v>
      </c>
      <c r="H3563" s="150"/>
      <c r="I3563" s="15" t="s">
        <v>23</v>
      </c>
      <c r="J3563" s="15" t="s">
        <v>23</v>
      </c>
      <c r="K3563" s="13">
        <v>10.63</v>
      </c>
      <c r="L3563" s="13">
        <v>1461.71</v>
      </c>
      <c r="M3563" s="196" t="s">
        <v>426</v>
      </c>
      <c r="N3563" s="55">
        <f t="shared" si="261"/>
        <v>8.8583333333333343</v>
      </c>
      <c r="O3563" s="55">
        <f t="shared" si="262"/>
        <v>1218.0916666666667</v>
      </c>
      <c r="P3563" s="122">
        <f>I3549-N3563</f>
        <v>21.471666666666664</v>
      </c>
      <c r="Q3563" s="57">
        <f>J3549-O3563</f>
        <v>4131.6083333333336</v>
      </c>
    </row>
    <row r="3564" spans="1:17" ht="15" customHeight="1" outlineLevel="1" x14ac:dyDescent="0.25">
      <c r="A3564" s="148"/>
      <c r="B3564" s="148"/>
      <c r="C3564" s="148"/>
      <c r="D3564" s="138"/>
      <c r="E3564" s="138"/>
      <c r="F3564" s="50">
        <v>43647</v>
      </c>
      <c r="G3564" s="50">
        <v>43830</v>
      </c>
      <c r="H3564" s="150"/>
      <c r="I3564" s="15" t="s">
        <v>23</v>
      </c>
      <c r="J3564" s="15" t="s">
        <v>23</v>
      </c>
      <c r="K3564" s="13">
        <v>10.84</v>
      </c>
      <c r="L3564" s="13">
        <v>1490.94</v>
      </c>
      <c r="M3564" s="198"/>
      <c r="N3564" s="55">
        <f t="shared" si="261"/>
        <v>9.0333333333333332</v>
      </c>
      <c r="O3564" s="55">
        <f t="shared" si="262"/>
        <v>1242.45</v>
      </c>
    </row>
    <row r="3565" spans="1:17" ht="15" customHeight="1" outlineLevel="1" x14ac:dyDescent="0.25">
      <c r="A3565" s="148"/>
      <c r="B3565" s="148"/>
      <c r="C3565" s="148"/>
      <c r="D3565" s="138"/>
      <c r="E3565" s="138"/>
      <c r="F3565" s="50">
        <v>43466</v>
      </c>
      <c r="G3565" s="50">
        <v>43646</v>
      </c>
      <c r="H3565" s="150"/>
      <c r="I3565" s="15" t="s">
        <v>23</v>
      </c>
      <c r="J3565" s="15" t="s">
        <v>23</v>
      </c>
      <c r="K3565" s="13">
        <v>10.63</v>
      </c>
      <c r="L3565" s="13">
        <v>1594.59</v>
      </c>
      <c r="M3565" s="196" t="s">
        <v>427</v>
      </c>
      <c r="N3565" s="55">
        <f t="shared" si="261"/>
        <v>8.8583333333333343</v>
      </c>
      <c r="O3565" s="55">
        <f t="shared" si="262"/>
        <v>1328.825</v>
      </c>
      <c r="P3565" s="122">
        <f>I3549-N3565</f>
        <v>21.471666666666664</v>
      </c>
      <c r="Q3565" s="57">
        <f>J3549-O3565</f>
        <v>4020.875</v>
      </c>
    </row>
    <row r="3566" spans="1:17" ht="15" customHeight="1" outlineLevel="1" x14ac:dyDescent="0.25">
      <c r="A3566" s="147"/>
      <c r="B3566" s="147"/>
      <c r="C3566" s="147"/>
      <c r="D3566" s="141"/>
      <c r="E3566" s="141"/>
      <c r="F3566" s="50">
        <v>43647</v>
      </c>
      <c r="G3566" s="50">
        <v>43830</v>
      </c>
      <c r="H3566" s="151"/>
      <c r="I3566" s="15" t="s">
        <v>23</v>
      </c>
      <c r="J3566" s="15" t="s">
        <v>23</v>
      </c>
      <c r="K3566" s="13">
        <v>10.84</v>
      </c>
      <c r="L3566" s="13">
        <v>1626.48</v>
      </c>
      <c r="M3566" s="198"/>
      <c r="N3566" s="55">
        <f t="shared" si="261"/>
        <v>9.0333333333333332</v>
      </c>
      <c r="O3566" s="55">
        <f t="shared" si="262"/>
        <v>1355.4</v>
      </c>
    </row>
    <row r="3567" spans="1:17" ht="15" customHeight="1" outlineLevel="1" x14ac:dyDescent="0.25">
      <c r="A3567" s="59">
        <v>18</v>
      </c>
      <c r="B3567" s="7" t="s">
        <v>160</v>
      </c>
      <c r="C3567" s="60"/>
      <c r="D3567" s="61"/>
      <c r="E3567" s="61"/>
      <c r="F3567" s="61"/>
      <c r="G3567" s="61"/>
      <c r="H3567" s="61"/>
      <c r="I3567" s="61"/>
      <c r="J3567" s="61"/>
      <c r="K3567" s="62"/>
      <c r="L3567" s="62"/>
      <c r="M3567" s="63"/>
    </row>
    <row r="3568" spans="1:17" ht="15" customHeight="1" outlineLevel="1" x14ac:dyDescent="0.25">
      <c r="A3568" s="146" t="s">
        <v>59</v>
      </c>
      <c r="B3568" s="146" t="s">
        <v>60</v>
      </c>
      <c r="C3568" s="146" t="s">
        <v>448</v>
      </c>
      <c r="D3568" s="137">
        <v>43083</v>
      </c>
      <c r="E3568" s="137" t="s">
        <v>608</v>
      </c>
      <c r="F3568" s="12">
        <v>43466</v>
      </c>
      <c r="G3568" s="12">
        <v>43646</v>
      </c>
      <c r="H3568" s="149" t="s">
        <v>807</v>
      </c>
      <c r="I3568" s="66">
        <v>28.36</v>
      </c>
      <c r="J3568" s="13">
        <v>2872.24</v>
      </c>
      <c r="K3568" s="15" t="s">
        <v>23</v>
      </c>
      <c r="L3568" s="15" t="s">
        <v>23</v>
      </c>
      <c r="M3568" s="153"/>
    </row>
    <row r="3569" spans="1:13" ht="15" customHeight="1" outlineLevel="1" x14ac:dyDescent="0.25">
      <c r="A3569" s="148"/>
      <c r="B3569" s="148"/>
      <c r="C3569" s="148"/>
      <c r="D3569" s="141"/>
      <c r="E3569" s="141"/>
      <c r="F3569" s="12">
        <v>43647</v>
      </c>
      <c r="G3569" s="12">
        <v>43830</v>
      </c>
      <c r="H3569" s="151"/>
      <c r="I3569" s="66">
        <v>31.31</v>
      </c>
      <c r="J3569" s="13">
        <v>3270.55</v>
      </c>
      <c r="K3569" s="15" t="s">
        <v>23</v>
      </c>
      <c r="L3569" s="15" t="s">
        <v>23</v>
      </c>
      <c r="M3569" s="152"/>
    </row>
    <row r="3570" spans="1:13" ht="15" customHeight="1" outlineLevel="1" x14ac:dyDescent="0.25">
      <c r="A3570" s="148"/>
      <c r="B3570" s="148"/>
      <c r="C3570" s="148"/>
      <c r="D3570" s="137">
        <v>43454</v>
      </c>
      <c r="E3570" s="137" t="s">
        <v>808</v>
      </c>
      <c r="F3570" s="50">
        <v>43466</v>
      </c>
      <c r="G3570" s="50">
        <v>43646</v>
      </c>
      <c r="H3570" s="149"/>
      <c r="I3570" s="15" t="s">
        <v>23</v>
      </c>
      <c r="J3570" s="15" t="s">
        <v>23</v>
      </c>
      <c r="K3570" s="13">
        <v>25.32</v>
      </c>
      <c r="L3570" s="13">
        <v>2229.5799557848122</v>
      </c>
      <c r="M3570" s="196" t="s">
        <v>420</v>
      </c>
    </row>
    <row r="3571" spans="1:13" ht="15" customHeight="1" outlineLevel="1" x14ac:dyDescent="0.25">
      <c r="A3571" s="148"/>
      <c r="B3571" s="148"/>
      <c r="C3571" s="148"/>
      <c r="D3571" s="138"/>
      <c r="E3571" s="138"/>
      <c r="F3571" s="50">
        <v>43647</v>
      </c>
      <c r="G3571" s="50">
        <v>43830</v>
      </c>
      <c r="H3571" s="150"/>
      <c r="I3571" s="15" t="s">
        <v>23</v>
      </c>
      <c r="J3571" s="15" t="s">
        <v>23</v>
      </c>
      <c r="K3571" s="13">
        <v>25.32</v>
      </c>
      <c r="L3571" s="13">
        <v>2229.5799557848122</v>
      </c>
      <c r="M3571" s="198"/>
    </row>
    <row r="3572" spans="1:13" ht="15" customHeight="1" outlineLevel="1" x14ac:dyDescent="0.25">
      <c r="A3572" s="148"/>
      <c r="B3572" s="148"/>
      <c r="C3572" s="148"/>
      <c r="D3572" s="138"/>
      <c r="E3572" s="138"/>
      <c r="F3572" s="50">
        <v>43466</v>
      </c>
      <c r="G3572" s="50">
        <v>43646</v>
      </c>
      <c r="H3572" s="150"/>
      <c r="I3572" s="15" t="s">
        <v>23</v>
      </c>
      <c r="J3572" s="15" t="s">
        <v>23</v>
      </c>
      <c r="K3572" s="13">
        <v>25.32</v>
      </c>
      <c r="L3572" s="13">
        <v>2441.9209039547945</v>
      </c>
      <c r="M3572" s="196" t="s">
        <v>421</v>
      </c>
    </row>
    <row r="3573" spans="1:13" ht="15" customHeight="1" outlineLevel="1" x14ac:dyDescent="0.25">
      <c r="A3573" s="148"/>
      <c r="B3573" s="148"/>
      <c r="C3573" s="148"/>
      <c r="D3573" s="138"/>
      <c r="E3573" s="138"/>
      <c r="F3573" s="50">
        <v>43647</v>
      </c>
      <c r="G3573" s="50">
        <v>43830</v>
      </c>
      <c r="H3573" s="150"/>
      <c r="I3573" s="15" t="s">
        <v>23</v>
      </c>
      <c r="J3573" s="15" t="s">
        <v>23</v>
      </c>
      <c r="K3573" s="13">
        <v>25.32</v>
      </c>
      <c r="L3573" s="13">
        <v>2441.9209039547945</v>
      </c>
      <c r="M3573" s="198"/>
    </row>
    <row r="3574" spans="1:13" ht="15" customHeight="1" outlineLevel="1" x14ac:dyDescent="0.25">
      <c r="A3574" s="148"/>
      <c r="B3574" s="148"/>
      <c r="C3574" s="148"/>
      <c r="D3574" s="138"/>
      <c r="E3574" s="138"/>
      <c r="F3574" s="50">
        <v>43466</v>
      </c>
      <c r="G3574" s="50">
        <v>43646</v>
      </c>
      <c r="H3574" s="150"/>
      <c r="I3574" s="15" t="s">
        <v>23</v>
      </c>
      <c r="J3574" s="15" t="s">
        <v>23</v>
      </c>
      <c r="K3574" s="13">
        <v>25.32</v>
      </c>
      <c r="L3574" s="13">
        <v>2078.932661475028</v>
      </c>
      <c r="M3574" s="196" t="s">
        <v>422</v>
      </c>
    </row>
    <row r="3575" spans="1:13" ht="15" customHeight="1" outlineLevel="1" x14ac:dyDescent="0.25">
      <c r="A3575" s="148"/>
      <c r="B3575" s="148"/>
      <c r="C3575" s="148"/>
      <c r="D3575" s="138"/>
      <c r="E3575" s="138"/>
      <c r="F3575" s="50">
        <v>43647</v>
      </c>
      <c r="G3575" s="50">
        <v>43830</v>
      </c>
      <c r="H3575" s="150"/>
      <c r="I3575" s="15" t="s">
        <v>23</v>
      </c>
      <c r="J3575" s="15" t="s">
        <v>23</v>
      </c>
      <c r="K3575" s="13">
        <v>25.32</v>
      </c>
      <c r="L3575" s="13">
        <v>2078.932661475028</v>
      </c>
      <c r="M3575" s="198"/>
    </row>
    <row r="3576" spans="1:13" ht="15" customHeight="1" outlineLevel="1" x14ac:dyDescent="0.25">
      <c r="A3576" s="148"/>
      <c r="B3576" s="148"/>
      <c r="C3576" s="148"/>
      <c r="D3576" s="138"/>
      <c r="E3576" s="138"/>
      <c r="F3576" s="50">
        <v>43466</v>
      </c>
      <c r="G3576" s="50">
        <v>43646</v>
      </c>
      <c r="H3576" s="150"/>
      <c r="I3576" s="15" t="s">
        <v>23</v>
      </c>
      <c r="J3576" s="15" t="s">
        <v>23</v>
      </c>
      <c r="K3576" s="13">
        <v>25.32</v>
      </c>
      <c r="L3576" s="13">
        <v>2229.5799557848122</v>
      </c>
      <c r="M3576" s="196" t="s">
        <v>423</v>
      </c>
    </row>
    <row r="3577" spans="1:13" ht="15" customHeight="1" outlineLevel="1" x14ac:dyDescent="0.25">
      <c r="A3577" s="148"/>
      <c r="B3577" s="148"/>
      <c r="C3577" s="148"/>
      <c r="D3577" s="138"/>
      <c r="E3577" s="138"/>
      <c r="F3577" s="50">
        <v>43647</v>
      </c>
      <c r="G3577" s="50">
        <v>43830</v>
      </c>
      <c r="H3577" s="150"/>
      <c r="I3577" s="15" t="s">
        <v>23</v>
      </c>
      <c r="J3577" s="15" t="s">
        <v>23</v>
      </c>
      <c r="K3577" s="13">
        <v>25.32</v>
      </c>
      <c r="L3577" s="13">
        <v>2229.5799557848122</v>
      </c>
      <c r="M3577" s="198"/>
    </row>
    <row r="3578" spans="1:13" ht="15" customHeight="1" outlineLevel="1" x14ac:dyDescent="0.25">
      <c r="A3578" s="148"/>
      <c r="B3578" s="148"/>
      <c r="C3578" s="148"/>
      <c r="D3578" s="138"/>
      <c r="E3578" s="138"/>
      <c r="F3578" s="50">
        <v>43466</v>
      </c>
      <c r="G3578" s="50">
        <v>43646</v>
      </c>
      <c r="H3578" s="150"/>
      <c r="I3578" s="15" t="s">
        <v>23</v>
      </c>
      <c r="J3578" s="15" t="s">
        <v>23</v>
      </c>
      <c r="K3578" s="13">
        <v>25.32</v>
      </c>
      <c r="L3578" s="13">
        <v>2330.9244992295762</v>
      </c>
      <c r="M3578" s="196" t="s">
        <v>424</v>
      </c>
    </row>
    <row r="3579" spans="1:13" ht="15" customHeight="1" outlineLevel="1" x14ac:dyDescent="0.25">
      <c r="A3579" s="148"/>
      <c r="B3579" s="148"/>
      <c r="C3579" s="148"/>
      <c r="D3579" s="138"/>
      <c r="E3579" s="138"/>
      <c r="F3579" s="50">
        <v>43647</v>
      </c>
      <c r="G3579" s="50">
        <v>43830</v>
      </c>
      <c r="H3579" s="150"/>
      <c r="I3579" s="15" t="s">
        <v>23</v>
      </c>
      <c r="J3579" s="15" t="s">
        <v>23</v>
      </c>
      <c r="K3579" s="13">
        <v>25.32</v>
      </c>
      <c r="L3579" s="13">
        <v>2330.9244992295762</v>
      </c>
      <c r="M3579" s="198"/>
    </row>
    <row r="3580" spans="1:13" ht="15" customHeight="1" outlineLevel="1" x14ac:dyDescent="0.25">
      <c r="A3580" s="148"/>
      <c r="B3580" s="148"/>
      <c r="C3580" s="148"/>
      <c r="D3580" s="138"/>
      <c r="E3580" s="138"/>
      <c r="F3580" s="50">
        <v>43466</v>
      </c>
      <c r="G3580" s="50">
        <v>43646</v>
      </c>
      <c r="H3580" s="150"/>
      <c r="I3580" s="15" t="s">
        <v>23</v>
      </c>
      <c r="J3580" s="15" t="s">
        <v>23</v>
      </c>
      <c r="K3580" s="13">
        <v>25.32</v>
      </c>
      <c r="L3580" s="13">
        <v>2521.9838844123287</v>
      </c>
      <c r="M3580" s="196" t="s">
        <v>425</v>
      </c>
    </row>
    <row r="3581" spans="1:13" ht="15" customHeight="1" outlineLevel="1" x14ac:dyDescent="0.25">
      <c r="A3581" s="148"/>
      <c r="B3581" s="148"/>
      <c r="C3581" s="148"/>
      <c r="D3581" s="138"/>
      <c r="E3581" s="138"/>
      <c r="F3581" s="50">
        <v>43647</v>
      </c>
      <c r="G3581" s="50">
        <v>43830</v>
      </c>
      <c r="H3581" s="150"/>
      <c r="I3581" s="15" t="s">
        <v>23</v>
      </c>
      <c r="J3581" s="15" t="s">
        <v>23</v>
      </c>
      <c r="K3581" s="13">
        <v>25.32</v>
      </c>
      <c r="L3581" s="13">
        <v>2521.9838844123287</v>
      </c>
      <c r="M3581" s="198"/>
    </row>
    <row r="3582" spans="1:13" ht="15" customHeight="1" outlineLevel="1" x14ac:dyDescent="0.25">
      <c r="A3582" s="148"/>
      <c r="B3582" s="148"/>
      <c r="C3582" s="148"/>
      <c r="D3582" s="138"/>
      <c r="E3582" s="138"/>
      <c r="F3582" s="50">
        <v>43466</v>
      </c>
      <c r="G3582" s="50">
        <v>43646</v>
      </c>
      <c r="H3582" s="150"/>
      <c r="I3582" s="15" t="s">
        <v>23</v>
      </c>
      <c r="J3582" s="15" t="s">
        <v>23</v>
      </c>
      <c r="K3582" s="13">
        <v>25.32</v>
      </c>
      <c r="L3582" s="13">
        <v>2136.6807909604454</v>
      </c>
      <c r="M3582" s="196" t="s">
        <v>426</v>
      </c>
    </row>
    <row r="3583" spans="1:13" ht="15" customHeight="1" outlineLevel="1" x14ac:dyDescent="0.25">
      <c r="A3583" s="148"/>
      <c r="B3583" s="148"/>
      <c r="C3583" s="148"/>
      <c r="D3583" s="138"/>
      <c r="E3583" s="138"/>
      <c r="F3583" s="50">
        <v>43647</v>
      </c>
      <c r="G3583" s="50">
        <v>43830</v>
      </c>
      <c r="H3583" s="150"/>
      <c r="I3583" s="15" t="s">
        <v>23</v>
      </c>
      <c r="J3583" s="15" t="s">
        <v>23</v>
      </c>
      <c r="K3583" s="13">
        <v>25.32</v>
      </c>
      <c r="L3583" s="13">
        <v>2136.6807909604454</v>
      </c>
      <c r="M3583" s="198"/>
    </row>
    <row r="3584" spans="1:13" ht="15" customHeight="1" outlineLevel="1" x14ac:dyDescent="0.25">
      <c r="A3584" s="148"/>
      <c r="B3584" s="148"/>
      <c r="C3584" s="148"/>
      <c r="D3584" s="138"/>
      <c r="E3584" s="138"/>
      <c r="F3584" s="50">
        <v>43466</v>
      </c>
      <c r="G3584" s="50">
        <v>43646</v>
      </c>
      <c r="H3584" s="150"/>
      <c r="I3584" s="15" t="s">
        <v>23</v>
      </c>
      <c r="J3584" s="15" t="s">
        <v>23</v>
      </c>
      <c r="K3584" s="13">
        <v>25.32</v>
      </c>
      <c r="L3584" s="13">
        <v>2330.9244992295762</v>
      </c>
      <c r="M3584" s="196" t="s">
        <v>427</v>
      </c>
    </row>
    <row r="3585" spans="1:13" ht="15" customHeight="1" outlineLevel="1" x14ac:dyDescent="0.25">
      <c r="A3585" s="147"/>
      <c r="B3585" s="147"/>
      <c r="C3585" s="147"/>
      <c r="D3585" s="141"/>
      <c r="E3585" s="141"/>
      <c r="F3585" s="50">
        <v>43647</v>
      </c>
      <c r="G3585" s="50">
        <v>43830</v>
      </c>
      <c r="H3585" s="151"/>
      <c r="I3585" s="15" t="s">
        <v>23</v>
      </c>
      <c r="J3585" s="15" t="s">
        <v>23</v>
      </c>
      <c r="K3585" s="13">
        <v>25.32</v>
      </c>
      <c r="L3585" s="13">
        <v>2330.9244992295762</v>
      </c>
      <c r="M3585" s="198"/>
    </row>
    <row r="3586" spans="1:13" ht="15" customHeight="1" outlineLevel="1" x14ac:dyDescent="0.25">
      <c r="A3586" s="146" t="s">
        <v>59</v>
      </c>
      <c r="B3586" s="146" t="s">
        <v>124</v>
      </c>
      <c r="C3586" s="146" t="s">
        <v>125</v>
      </c>
      <c r="D3586" s="156">
        <v>43453</v>
      </c>
      <c r="E3586" s="156" t="s">
        <v>734</v>
      </c>
      <c r="F3586" s="12">
        <v>43466</v>
      </c>
      <c r="G3586" s="12">
        <v>43646</v>
      </c>
      <c r="H3586" s="149" t="s">
        <v>826</v>
      </c>
      <c r="I3586" s="66">
        <v>15.92</v>
      </c>
      <c r="J3586" s="13">
        <v>1301.46</v>
      </c>
      <c r="K3586" s="119" t="s">
        <v>23</v>
      </c>
      <c r="L3586" s="119" t="s">
        <v>23</v>
      </c>
      <c r="M3586" s="153"/>
    </row>
    <row r="3587" spans="1:13" ht="15" customHeight="1" outlineLevel="1" x14ac:dyDescent="0.25">
      <c r="A3587" s="148"/>
      <c r="B3587" s="148"/>
      <c r="C3587" s="148"/>
      <c r="D3587" s="156"/>
      <c r="E3587" s="156"/>
      <c r="F3587" s="12">
        <v>43647</v>
      </c>
      <c r="G3587" s="12">
        <v>43830</v>
      </c>
      <c r="H3587" s="151"/>
      <c r="I3587" s="66">
        <v>16.256455417327455</v>
      </c>
      <c r="J3587" s="13">
        <v>1480.98</v>
      </c>
      <c r="K3587" s="119" t="s">
        <v>23</v>
      </c>
      <c r="L3587" s="119" t="s">
        <v>23</v>
      </c>
      <c r="M3587" s="152"/>
    </row>
    <row r="3588" spans="1:13" ht="15" customHeight="1" outlineLevel="1" x14ac:dyDescent="0.25">
      <c r="A3588" s="148"/>
      <c r="B3588" s="148"/>
      <c r="C3588" s="148"/>
      <c r="D3588" s="137">
        <v>43454</v>
      </c>
      <c r="E3588" s="137" t="s">
        <v>733</v>
      </c>
      <c r="F3588" s="50">
        <v>43466</v>
      </c>
      <c r="G3588" s="50">
        <v>43646</v>
      </c>
      <c r="H3588" s="149"/>
      <c r="I3588" s="119" t="s">
        <v>23</v>
      </c>
      <c r="J3588" s="119" t="s">
        <v>23</v>
      </c>
      <c r="K3588" s="13">
        <v>17.48</v>
      </c>
      <c r="L3588" s="13">
        <v>1305.3762711864406</v>
      </c>
      <c r="M3588" s="196" t="s">
        <v>420</v>
      </c>
    </row>
    <row r="3589" spans="1:13" ht="15" customHeight="1" outlineLevel="1" x14ac:dyDescent="0.25">
      <c r="A3589" s="148"/>
      <c r="B3589" s="148"/>
      <c r="C3589" s="148"/>
      <c r="D3589" s="138"/>
      <c r="E3589" s="138"/>
      <c r="F3589" s="50">
        <v>43647</v>
      </c>
      <c r="G3589" s="50">
        <v>43830</v>
      </c>
      <c r="H3589" s="150"/>
      <c r="I3589" s="119" t="s">
        <v>23</v>
      </c>
      <c r="J3589" s="119" t="s">
        <v>23</v>
      </c>
      <c r="K3589" s="13">
        <v>17.829999999999998</v>
      </c>
      <c r="L3589" s="13">
        <v>1331.4837966101695</v>
      </c>
      <c r="M3589" s="198"/>
    </row>
    <row r="3590" spans="1:13" ht="15" customHeight="1" outlineLevel="1" x14ac:dyDescent="0.25">
      <c r="A3590" s="148"/>
      <c r="B3590" s="148"/>
      <c r="C3590" s="148"/>
      <c r="D3590" s="138"/>
      <c r="E3590" s="138"/>
      <c r="F3590" s="50">
        <v>43466</v>
      </c>
      <c r="G3590" s="50">
        <v>43646</v>
      </c>
      <c r="H3590" s="150"/>
      <c r="I3590" s="119" t="s">
        <v>23</v>
      </c>
      <c r="J3590" s="119" t="s">
        <v>23</v>
      </c>
      <c r="K3590" s="13">
        <v>17.48</v>
      </c>
      <c r="L3590" s="13">
        <v>1429.6983050847457</v>
      </c>
      <c r="M3590" s="196" t="s">
        <v>421</v>
      </c>
    </row>
    <row r="3591" spans="1:13" ht="15" customHeight="1" outlineLevel="1" x14ac:dyDescent="0.25">
      <c r="A3591" s="148"/>
      <c r="B3591" s="148"/>
      <c r="C3591" s="148"/>
      <c r="D3591" s="138"/>
      <c r="E3591" s="138"/>
      <c r="F3591" s="50">
        <v>43647</v>
      </c>
      <c r="G3591" s="50">
        <v>43830</v>
      </c>
      <c r="H3591" s="150"/>
      <c r="I3591" s="119" t="s">
        <v>23</v>
      </c>
      <c r="J3591" s="119" t="s">
        <v>23</v>
      </c>
      <c r="K3591" s="13">
        <v>17.829999999999998</v>
      </c>
      <c r="L3591" s="13">
        <v>1458.2922711864405</v>
      </c>
      <c r="M3591" s="198"/>
    </row>
    <row r="3592" spans="1:13" ht="15" customHeight="1" outlineLevel="1" x14ac:dyDescent="0.25">
      <c r="A3592" s="148"/>
      <c r="B3592" s="148"/>
      <c r="C3592" s="148"/>
      <c r="D3592" s="138"/>
      <c r="E3592" s="138"/>
      <c r="F3592" s="50">
        <v>43466</v>
      </c>
      <c r="G3592" s="50">
        <v>43646</v>
      </c>
      <c r="H3592" s="150"/>
      <c r="I3592" s="119" t="s">
        <v>23</v>
      </c>
      <c r="J3592" s="119" t="s">
        <v>23</v>
      </c>
      <c r="K3592" s="13">
        <v>17.48</v>
      </c>
      <c r="L3592" s="13">
        <v>1217.1762711864408</v>
      </c>
      <c r="M3592" s="196" t="s">
        <v>422</v>
      </c>
    </row>
    <row r="3593" spans="1:13" ht="15" customHeight="1" outlineLevel="1" x14ac:dyDescent="0.25">
      <c r="A3593" s="148"/>
      <c r="B3593" s="148"/>
      <c r="C3593" s="148"/>
      <c r="D3593" s="138"/>
      <c r="E3593" s="138"/>
      <c r="F3593" s="50">
        <v>43647</v>
      </c>
      <c r="G3593" s="50">
        <v>43830</v>
      </c>
      <c r="H3593" s="150"/>
      <c r="I3593" s="119" t="s">
        <v>23</v>
      </c>
      <c r="J3593" s="119" t="s">
        <v>23</v>
      </c>
      <c r="K3593" s="13">
        <v>17.829999999999998</v>
      </c>
      <c r="L3593" s="13">
        <v>1241.5197966101696</v>
      </c>
      <c r="M3593" s="198"/>
    </row>
    <row r="3594" spans="1:13" ht="15" customHeight="1" outlineLevel="1" x14ac:dyDescent="0.25">
      <c r="A3594" s="148"/>
      <c r="B3594" s="148"/>
      <c r="C3594" s="148"/>
      <c r="D3594" s="138"/>
      <c r="E3594" s="138"/>
      <c r="F3594" s="50">
        <v>43466</v>
      </c>
      <c r="G3594" s="50">
        <v>43646</v>
      </c>
      <c r="H3594" s="150"/>
      <c r="I3594" s="119" t="s">
        <v>23</v>
      </c>
      <c r="J3594" s="119" t="s">
        <v>23</v>
      </c>
      <c r="K3594" s="13">
        <v>17.48</v>
      </c>
      <c r="L3594" s="13">
        <v>1305.3762711864406</v>
      </c>
      <c r="M3594" s="196" t="s">
        <v>423</v>
      </c>
    </row>
    <row r="3595" spans="1:13" ht="15" customHeight="1" outlineLevel="1" x14ac:dyDescent="0.25">
      <c r="A3595" s="148"/>
      <c r="B3595" s="148"/>
      <c r="C3595" s="148"/>
      <c r="D3595" s="138"/>
      <c r="E3595" s="138"/>
      <c r="F3595" s="50">
        <v>43647</v>
      </c>
      <c r="G3595" s="50">
        <v>43830</v>
      </c>
      <c r="H3595" s="150"/>
      <c r="I3595" s="119" t="s">
        <v>23</v>
      </c>
      <c r="J3595" s="119" t="s">
        <v>23</v>
      </c>
      <c r="K3595" s="13">
        <v>17.829999999999998</v>
      </c>
      <c r="L3595" s="13">
        <v>1331.4837966101695</v>
      </c>
      <c r="M3595" s="198"/>
    </row>
    <row r="3596" spans="1:13" ht="15" customHeight="1" outlineLevel="1" x14ac:dyDescent="0.25">
      <c r="A3596" s="148"/>
      <c r="B3596" s="148"/>
      <c r="C3596" s="148"/>
      <c r="D3596" s="138"/>
      <c r="E3596" s="138"/>
      <c r="F3596" s="50">
        <v>43466</v>
      </c>
      <c r="G3596" s="50">
        <v>43646</v>
      </c>
      <c r="H3596" s="150"/>
      <c r="I3596" s="119" t="s">
        <v>23</v>
      </c>
      <c r="J3596" s="119" t="s">
        <v>23</v>
      </c>
      <c r="K3596" s="13">
        <v>17.48</v>
      </c>
      <c r="L3596" s="13">
        <v>1364.715254237288</v>
      </c>
      <c r="M3596" s="196" t="s">
        <v>424</v>
      </c>
    </row>
    <row r="3597" spans="1:13" ht="15" customHeight="1" outlineLevel="1" x14ac:dyDescent="0.25">
      <c r="A3597" s="148"/>
      <c r="B3597" s="148"/>
      <c r="C3597" s="148"/>
      <c r="D3597" s="138"/>
      <c r="E3597" s="138"/>
      <c r="F3597" s="50">
        <v>43647</v>
      </c>
      <c r="G3597" s="50">
        <v>43830</v>
      </c>
      <c r="H3597" s="150"/>
      <c r="I3597" s="119" t="s">
        <v>23</v>
      </c>
      <c r="J3597" s="119" t="s">
        <v>23</v>
      </c>
      <c r="K3597" s="13">
        <v>17.829999999999998</v>
      </c>
      <c r="L3597" s="13">
        <v>1392.0095593220337</v>
      </c>
      <c r="M3597" s="198"/>
    </row>
    <row r="3598" spans="1:13" ht="15" customHeight="1" outlineLevel="1" x14ac:dyDescent="0.25">
      <c r="A3598" s="148"/>
      <c r="B3598" s="148"/>
      <c r="C3598" s="148"/>
      <c r="D3598" s="138"/>
      <c r="E3598" s="138"/>
      <c r="F3598" s="50">
        <v>43466</v>
      </c>
      <c r="G3598" s="50">
        <v>43646</v>
      </c>
      <c r="H3598" s="150"/>
      <c r="I3598" s="119" t="s">
        <v>23</v>
      </c>
      <c r="J3598" s="119" t="s">
        <v>23</v>
      </c>
      <c r="K3598" s="13">
        <v>17.48</v>
      </c>
      <c r="L3598" s="13">
        <v>1476.5796610169491</v>
      </c>
      <c r="M3598" s="196" t="s">
        <v>425</v>
      </c>
    </row>
    <row r="3599" spans="1:13" ht="15" customHeight="1" outlineLevel="1" x14ac:dyDescent="0.25">
      <c r="A3599" s="148"/>
      <c r="B3599" s="148"/>
      <c r="C3599" s="148"/>
      <c r="D3599" s="138"/>
      <c r="E3599" s="138"/>
      <c r="F3599" s="50">
        <v>43647</v>
      </c>
      <c r="G3599" s="50">
        <v>43830</v>
      </c>
      <c r="H3599" s="150"/>
      <c r="I3599" s="119" t="s">
        <v>23</v>
      </c>
      <c r="J3599" s="119" t="s">
        <v>23</v>
      </c>
      <c r="K3599" s="13">
        <v>17.829999999999998</v>
      </c>
      <c r="L3599" s="13">
        <v>1506.1112542372882</v>
      </c>
      <c r="M3599" s="198"/>
    </row>
    <row r="3600" spans="1:13" ht="15" customHeight="1" outlineLevel="1" x14ac:dyDescent="0.25">
      <c r="A3600" s="148"/>
      <c r="B3600" s="148"/>
      <c r="C3600" s="148"/>
      <c r="D3600" s="138"/>
      <c r="E3600" s="138"/>
      <c r="F3600" s="50">
        <v>43466</v>
      </c>
      <c r="G3600" s="50">
        <v>43646</v>
      </c>
      <c r="H3600" s="150"/>
      <c r="I3600" s="119" t="s">
        <v>23</v>
      </c>
      <c r="J3600" s="119" t="s">
        <v>23</v>
      </c>
      <c r="K3600" s="13">
        <v>17.48</v>
      </c>
      <c r="L3600" s="13">
        <v>1250.9898305084746</v>
      </c>
      <c r="M3600" s="196" t="s">
        <v>426</v>
      </c>
    </row>
    <row r="3601" spans="1:13" ht="15" customHeight="1" outlineLevel="1" x14ac:dyDescent="0.25">
      <c r="A3601" s="148"/>
      <c r="B3601" s="148"/>
      <c r="C3601" s="148"/>
      <c r="D3601" s="138"/>
      <c r="E3601" s="138"/>
      <c r="F3601" s="50">
        <v>43647</v>
      </c>
      <c r="G3601" s="50">
        <v>43830</v>
      </c>
      <c r="H3601" s="150"/>
      <c r="I3601" s="119" t="s">
        <v>23</v>
      </c>
      <c r="J3601" s="119" t="s">
        <v>23</v>
      </c>
      <c r="K3601" s="13">
        <v>17.829999999999998</v>
      </c>
      <c r="L3601" s="13">
        <v>1276.0096271186442</v>
      </c>
      <c r="M3601" s="198"/>
    </row>
    <row r="3602" spans="1:13" ht="15" customHeight="1" outlineLevel="1" x14ac:dyDescent="0.25">
      <c r="A3602" s="148"/>
      <c r="B3602" s="148"/>
      <c r="C3602" s="148"/>
      <c r="D3602" s="138"/>
      <c r="E3602" s="138"/>
      <c r="F3602" s="50">
        <v>43466</v>
      </c>
      <c r="G3602" s="50">
        <v>43646</v>
      </c>
      <c r="H3602" s="150"/>
      <c r="I3602" s="119" t="s">
        <v>23</v>
      </c>
      <c r="J3602" s="119" t="s">
        <v>23</v>
      </c>
      <c r="K3602" s="13">
        <v>17.48</v>
      </c>
      <c r="L3602" s="13">
        <v>1364.715254237288</v>
      </c>
      <c r="M3602" s="196" t="s">
        <v>427</v>
      </c>
    </row>
    <row r="3603" spans="1:13" ht="15" customHeight="1" outlineLevel="1" x14ac:dyDescent="0.25">
      <c r="A3603" s="147"/>
      <c r="B3603" s="147"/>
      <c r="C3603" s="147"/>
      <c r="D3603" s="141"/>
      <c r="E3603" s="141"/>
      <c r="F3603" s="50">
        <v>43647</v>
      </c>
      <c r="G3603" s="50">
        <v>43830</v>
      </c>
      <c r="H3603" s="151"/>
      <c r="I3603" s="119" t="s">
        <v>23</v>
      </c>
      <c r="J3603" s="119" t="s">
        <v>23</v>
      </c>
      <c r="K3603" s="13">
        <v>17.829999999999998</v>
      </c>
      <c r="L3603" s="13">
        <v>1392.0095593220337</v>
      </c>
      <c r="M3603" s="198"/>
    </row>
    <row r="3604" spans="1:13" ht="15" customHeight="1" outlineLevel="1" x14ac:dyDescent="0.25">
      <c r="A3604" s="146" t="s">
        <v>59</v>
      </c>
      <c r="B3604" s="146" t="s">
        <v>127</v>
      </c>
      <c r="C3604" s="146" t="s">
        <v>118</v>
      </c>
      <c r="D3604" s="156">
        <v>43453</v>
      </c>
      <c r="E3604" s="156" t="s">
        <v>735</v>
      </c>
      <c r="F3604" s="12">
        <v>43466</v>
      </c>
      <c r="G3604" s="12">
        <v>43646</v>
      </c>
      <c r="H3604" s="149" t="s">
        <v>826</v>
      </c>
      <c r="I3604" s="66">
        <v>32.99</v>
      </c>
      <c r="J3604" s="13">
        <v>2310.25</v>
      </c>
      <c r="K3604" s="119" t="s">
        <v>23</v>
      </c>
      <c r="L3604" s="119" t="s">
        <v>23</v>
      </c>
      <c r="M3604" s="153"/>
    </row>
    <row r="3605" spans="1:13" ht="15" customHeight="1" outlineLevel="1" x14ac:dyDescent="0.25">
      <c r="A3605" s="148"/>
      <c r="B3605" s="148"/>
      <c r="C3605" s="148"/>
      <c r="D3605" s="156"/>
      <c r="E3605" s="156"/>
      <c r="F3605" s="12">
        <v>43647</v>
      </c>
      <c r="G3605" s="12">
        <v>43830</v>
      </c>
      <c r="H3605" s="151"/>
      <c r="I3605" s="66">
        <v>37.114448142308703</v>
      </c>
      <c r="J3605" s="13">
        <v>2359.61</v>
      </c>
      <c r="K3605" s="119" t="s">
        <v>23</v>
      </c>
      <c r="L3605" s="119" t="s">
        <v>23</v>
      </c>
      <c r="M3605" s="152"/>
    </row>
    <row r="3606" spans="1:13" ht="15" customHeight="1" outlineLevel="1" x14ac:dyDescent="0.25">
      <c r="A3606" s="148"/>
      <c r="B3606" s="148"/>
      <c r="C3606" s="148"/>
      <c r="D3606" s="137">
        <f>D3588</f>
        <v>43454</v>
      </c>
      <c r="E3606" s="137" t="str">
        <f>E3588</f>
        <v>675-п</v>
      </c>
      <c r="F3606" s="50">
        <v>43466</v>
      </c>
      <c r="G3606" s="50">
        <v>43646</v>
      </c>
      <c r="H3606" s="149"/>
      <c r="I3606" s="119" t="s">
        <v>23</v>
      </c>
      <c r="J3606" s="119" t="s">
        <v>23</v>
      </c>
      <c r="K3606" s="13">
        <v>24.07</v>
      </c>
      <c r="L3606" s="13">
        <v>1787.4711864406781</v>
      </c>
      <c r="M3606" s="196" t="s">
        <v>420</v>
      </c>
    </row>
    <row r="3607" spans="1:13" ht="15" customHeight="1" outlineLevel="1" x14ac:dyDescent="0.25">
      <c r="A3607" s="148"/>
      <c r="B3607" s="148"/>
      <c r="C3607" s="148"/>
      <c r="D3607" s="138"/>
      <c r="E3607" s="138"/>
      <c r="F3607" s="50">
        <v>43647</v>
      </c>
      <c r="G3607" s="50">
        <v>43830</v>
      </c>
      <c r="H3607" s="150"/>
      <c r="I3607" s="119" t="s">
        <v>23</v>
      </c>
      <c r="J3607" s="119" t="s">
        <v>23</v>
      </c>
      <c r="K3607" s="13">
        <v>24.551400000000001</v>
      </c>
      <c r="L3607" s="13">
        <v>1823.2206101694917</v>
      </c>
      <c r="M3607" s="198"/>
    </row>
    <row r="3608" spans="1:13" ht="15" customHeight="1" outlineLevel="1" x14ac:dyDescent="0.25">
      <c r="A3608" s="148"/>
      <c r="B3608" s="148"/>
      <c r="C3608" s="148"/>
      <c r="D3608" s="138"/>
      <c r="E3608" s="138"/>
      <c r="F3608" s="50">
        <v>43466</v>
      </c>
      <c r="G3608" s="50">
        <v>43646</v>
      </c>
      <c r="H3608" s="150"/>
      <c r="I3608" s="119" t="s">
        <v>23</v>
      </c>
      <c r="J3608" s="119" t="s">
        <v>23</v>
      </c>
      <c r="K3608" s="13">
        <v>24.07</v>
      </c>
      <c r="L3608" s="13">
        <v>1957.7084745762711</v>
      </c>
      <c r="M3608" s="196" t="s">
        <v>421</v>
      </c>
    </row>
    <row r="3609" spans="1:13" ht="15" customHeight="1" outlineLevel="1" x14ac:dyDescent="0.25">
      <c r="A3609" s="148"/>
      <c r="B3609" s="148"/>
      <c r="C3609" s="148"/>
      <c r="D3609" s="138"/>
      <c r="E3609" s="138"/>
      <c r="F3609" s="50">
        <v>43647</v>
      </c>
      <c r="G3609" s="50">
        <v>43830</v>
      </c>
      <c r="H3609" s="150"/>
      <c r="I3609" s="119" t="s">
        <v>23</v>
      </c>
      <c r="J3609" s="119" t="s">
        <v>23</v>
      </c>
      <c r="K3609" s="13">
        <v>24.551400000000001</v>
      </c>
      <c r="L3609" s="13">
        <v>1996.8626440677965</v>
      </c>
      <c r="M3609" s="198"/>
    </row>
    <row r="3610" spans="1:13" ht="15" customHeight="1" outlineLevel="1" x14ac:dyDescent="0.25">
      <c r="A3610" s="148"/>
      <c r="B3610" s="148"/>
      <c r="C3610" s="148"/>
      <c r="D3610" s="138"/>
      <c r="E3610" s="138"/>
      <c r="F3610" s="50">
        <v>43466</v>
      </c>
      <c r="G3610" s="50">
        <v>43646</v>
      </c>
      <c r="H3610" s="150"/>
      <c r="I3610" s="119" t="s">
        <v>23</v>
      </c>
      <c r="J3610" s="119" t="s">
        <v>23</v>
      </c>
      <c r="K3610" s="13">
        <v>24.07</v>
      </c>
      <c r="L3610" s="13">
        <v>1666.6983050847459</v>
      </c>
      <c r="M3610" s="196" t="s">
        <v>422</v>
      </c>
    </row>
    <row r="3611" spans="1:13" ht="15" customHeight="1" outlineLevel="1" x14ac:dyDescent="0.25">
      <c r="A3611" s="148"/>
      <c r="B3611" s="148"/>
      <c r="C3611" s="148"/>
      <c r="D3611" s="138"/>
      <c r="E3611" s="138"/>
      <c r="F3611" s="50">
        <v>43647</v>
      </c>
      <c r="G3611" s="50">
        <v>43830</v>
      </c>
      <c r="H3611" s="150"/>
      <c r="I3611" s="119" t="s">
        <v>23</v>
      </c>
      <c r="J3611" s="119" t="s">
        <v>23</v>
      </c>
      <c r="K3611" s="13">
        <v>24.551400000000001</v>
      </c>
      <c r="L3611" s="13">
        <v>1700.0322711864408</v>
      </c>
      <c r="M3611" s="198"/>
    </row>
    <row r="3612" spans="1:13" ht="15" customHeight="1" outlineLevel="1" x14ac:dyDescent="0.25">
      <c r="A3612" s="148"/>
      <c r="B3612" s="148"/>
      <c r="C3612" s="148"/>
      <c r="D3612" s="138"/>
      <c r="E3612" s="138"/>
      <c r="F3612" s="50">
        <v>43466</v>
      </c>
      <c r="G3612" s="50">
        <v>43646</v>
      </c>
      <c r="H3612" s="150"/>
      <c r="I3612" s="119" t="s">
        <v>23</v>
      </c>
      <c r="J3612" s="119" t="s">
        <v>23</v>
      </c>
      <c r="K3612" s="13">
        <v>24.07</v>
      </c>
      <c r="L3612" s="13">
        <v>1787.4711864406781</v>
      </c>
      <c r="M3612" s="196" t="s">
        <v>423</v>
      </c>
    </row>
    <row r="3613" spans="1:13" ht="15" customHeight="1" outlineLevel="1" x14ac:dyDescent="0.25">
      <c r="A3613" s="148"/>
      <c r="B3613" s="148"/>
      <c r="C3613" s="148"/>
      <c r="D3613" s="138"/>
      <c r="E3613" s="138"/>
      <c r="F3613" s="50">
        <v>43647</v>
      </c>
      <c r="G3613" s="50">
        <v>43830</v>
      </c>
      <c r="H3613" s="150"/>
      <c r="I3613" s="119" t="s">
        <v>23</v>
      </c>
      <c r="J3613" s="119" t="s">
        <v>23</v>
      </c>
      <c r="K3613" s="13">
        <v>24.551400000000001</v>
      </c>
      <c r="L3613" s="13">
        <v>1823.2206101694917</v>
      </c>
      <c r="M3613" s="198"/>
    </row>
    <row r="3614" spans="1:13" ht="15" customHeight="1" outlineLevel="1" x14ac:dyDescent="0.25">
      <c r="A3614" s="148"/>
      <c r="B3614" s="148"/>
      <c r="C3614" s="148"/>
      <c r="D3614" s="138"/>
      <c r="E3614" s="138"/>
      <c r="F3614" s="50">
        <v>43466</v>
      </c>
      <c r="G3614" s="50">
        <v>43646</v>
      </c>
      <c r="H3614" s="150"/>
      <c r="I3614" s="119" t="s">
        <v>23</v>
      </c>
      <c r="J3614" s="119" t="s">
        <v>23</v>
      </c>
      <c r="K3614" s="13">
        <v>24.07</v>
      </c>
      <c r="L3614" s="13">
        <v>1868.7254237288137</v>
      </c>
      <c r="M3614" s="196" t="s">
        <v>424</v>
      </c>
    </row>
    <row r="3615" spans="1:13" ht="15" customHeight="1" outlineLevel="1" x14ac:dyDescent="0.25">
      <c r="A3615" s="148"/>
      <c r="B3615" s="148"/>
      <c r="C3615" s="148"/>
      <c r="D3615" s="138"/>
      <c r="E3615" s="138"/>
      <c r="F3615" s="50">
        <v>43647</v>
      </c>
      <c r="G3615" s="50">
        <v>43830</v>
      </c>
      <c r="H3615" s="150"/>
      <c r="I3615" s="119" t="s">
        <v>23</v>
      </c>
      <c r="J3615" s="119" t="s">
        <v>23</v>
      </c>
      <c r="K3615" s="13">
        <v>24.551400000000001</v>
      </c>
      <c r="L3615" s="13">
        <v>1906.0999322033899</v>
      </c>
      <c r="M3615" s="198"/>
    </row>
    <row r="3616" spans="1:13" ht="15" customHeight="1" outlineLevel="1" x14ac:dyDescent="0.25">
      <c r="A3616" s="148"/>
      <c r="B3616" s="148"/>
      <c r="C3616" s="148"/>
      <c r="D3616" s="138"/>
      <c r="E3616" s="138"/>
      <c r="F3616" s="50">
        <v>43466</v>
      </c>
      <c r="G3616" s="50">
        <v>43646</v>
      </c>
      <c r="H3616" s="150"/>
      <c r="I3616" s="119" t="s">
        <v>23</v>
      </c>
      <c r="J3616" s="119" t="s">
        <v>23</v>
      </c>
      <c r="K3616" s="13">
        <v>24.07</v>
      </c>
      <c r="L3616" s="13">
        <v>2021.898305084746</v>
      </c>
      <c r="M3616" s="196" t="s">
        <v>425</v>
      </c>
    </row>
    <row r="3617" spans="1:13" ht="15" customHeight="1" outlineLevel="1" x14ac:dyDescent="0.25">
      <c r="A3617" s="148"/>
      <c r="B3617" s="148"/>
      <c r="C3617" s="148"/>
      <c r="D3617" s="138"/>
      <c r="E3617" s="138"/>
      <c r="F3617" s="50">
        <v>43647</v>
      </c>
      <c r="G3617" s="50">
        <v>43830</v>
      </c>
      <c r="H3617" s="150"/>
      <c r="I3617" s="119" t="s">
        <v>23</v>
      </c>
      <c r="J3617" s="119" t="s">
        <v>23</v>
      </c>
      <c r="K3617" s="13">
        <v>24.551400000000001</v>
      </c>
      <c r="L3617" s="13">
        <v>2062.3362711864411</v>
      </c>
      <c r="M3617" s="198"/>
    </row>
    <row r="3618" spans="1:13" ht="15" customHeight="1" outlineLevel="1" x14ac:dyDescent="0.25">
      <c r="A3618" s="148"/>
      <c r="B3618" s="148"/>
      <c r="C3618" s="148"/>
      <c r="D3618" s="138"/>
      <c r="E3618" s="138"/>
      <c r="F3618" s="50">
        <v>43466</v>
      </c>
      <c r="G3618" s="50">
        <v>43646</v>
      </c>
      <c r="H3618" s="150"/>
      <c r="I3618" s="119" t="s">
        <v>23</v>
      </c>
      <c r="J3618" s="119" t="s">
        <v>23</v>
      </c>
      <c r="K3618" s="13">
        <v>24.07</v>
      </c>
      <c r="L3618" s="13">
        <v>1712.9898305084746</v>
      </c>
      <c r="M3618" s="196" t="s">
        <v>426</v>
      </c>
    </row>
    <row r="3619" spans="1:13" ht="15" customHeight="1" outlineLevel="1" x14ac:dyDescent="0.25">
      <c r="A3619" s="148"/>
      <c r="B3619" s="148"/>
      <c r="C3619" s="148"/>
      <c r="D3619" s="138"/>
      <c r="E3619" s="138"/>
      <c r="F3619" s="50">
        <v>43647</v>
      </c>
      <c r="G3619" s="50">
        <v>43830</v>
      </c>
      <c r="H3619" s="150"/>
      <c r="I3619" s="119" t="s">
        <v>23</v>
      </c>
      <c r="J3619" s="119" t="s">
        <v>23</v>
      </c>
      <c r="K3619" s="13">
        <v>24.551400000000001</v>
      </c>
      <c r="L3619" s="13">
        <v>1747.2496271186442</v>
      </c>
      <c r="M3619" s="198"/>
    </row>
    <row r="3620" spans="1:13" ht="15" customHeight="1" outlineLevel="1" x14ac:dyDescent="0.25">
      <c r="A3620" s="148"/>
      <c r="B3620" s="148"/>
      <c r="C3620" s="148"/>
      <c r="D3620" s="138"/>
      <c r="E3620" s="138"/>
      <c r="F3620" s="50">
        <v>43466</v>
      </c>
      <c r="G3620" s="50">
        <v>43646</v>
      </c>
      <c r="H3620" s="150"/>
      <c r="I3620" s="119" t="s">
        <v>23</v>
      </c>
      <c r="J3620" s="119" t="s">
        <v>23</v>
      </c>
      <c r="K3620" s="13">
        <v>24.07</v>
      </c>
      <c r="L3620" s="13">
        <v>1868.7254237288137</v>
      </c>
      <c r="M3620" s="196" t="s">
        <v>427</v>
      </c>
    </row>
    <row r="3621" spans="1:13" ht="15" customHeight="1" outlineLevel="1" x14ac:dyDescent="0.25">
      <c r="A3621" s="147"/>
      <c r="B3621" s="147"/>
      <c r="C3621" s="148"/>
      <c r="D3621" s="141"/>
      <c r="E3621" s="141"/>
      <c r="F3621" s="50">
        <v>43647</v>
      </c>
      <c r="G3621" s="50">
        <v>43830</v>
      </c>
      <c r="H3621" s="151"/>
      <c r="I3621" s="119" t="s">
        <v>23</v>
      </c>
      <c r="J3621" s="119" t="s">
        <v>23</v>
      </c>
      <c r="K3621" s="13">
        <v>24.551400000000001</v>
      </c>
      <c r="L3621" s="13">
        <v>1906.0999322033899</v>
      </c>
      <c r="M3621" s="198"/>
    </row>
    <row r="3622" spans="1:13" ht="15" customHeight="1" outlineLevel="1" x14ac:dyDescent="0.25">
      <c r="A3622" s="146" t="s">
        <v>59</v>
      </c>
      <c r="B3622" s="146" t="s">
        <v>128</v>
      </c>
      <c r="C3622" s="148"/>
      <c r="D3622" s="156">
        <v>43453</v>
      </c>
      <c r="E3622" s="156" t="s">
        <v>735</v>
      </c>
      <c r="F3622" s="12">
        <v>43466</v>
      </c>
      <c r="G3622" s="12">
        <v>43646</v>
      </c>
      <c r="H3622" s="149" t="s">
        <v>826</v>
      </c>
      <c r="I3622" s="66">
        <v>32.99</v>
      </c>
      <c r="J3622" s="13">
        <v>2310.25</v>
      </c>
      <c r="K3622" s="119" t="s">
        <v>23</v>
      </c>
      <c r="L3622" s="119" t="s">
        <v>23</v>
      </c>
      <c r="M3622" s="153"/>
    </row>
    <row r="3623" spans="1:13" ht="15" customHeight="1" outlineLevel="1" x14ac:dyDescent="0.25">
      <c r="A3623" s="148"/>
      <c r="B3623" s="148"/>
      <c r="C3623" s="148"/>
      <c r="D3623" s="156"/>
      <c r="E3623" s="156"/>
      <c r="F3623" s="12">
        <v>43647</v>
      </c>
      <c r="G3623" s="12">
        <v>43830</v>
      </c>
      <c r="H3623" s="151"/>
      <c r="I3623" s="66">
        <v>37.114448142308703</v>
      </c>
      <c r="J3623" s="13">
        <v>2359.61</v>
      </c>
      <c r="K3623" s="119" t="s">
        <v>23</v>
      </c>
      <c r="L3623" s="119" t="s">
        <v>23</v>
      </c>
      <c r="M3623" s="152"/>
    </row>
    <row r="3624" spans="1:13" ht="15" customHeight="1" outlineLevel="1" x14ac:dyDescent="0.25">
      <c r="A3624" s="148"/>
      <c r="B3624" s="148"/>
      <c r="C3624" s="148"/>
      <c r="D3624" s="137">
        <f>D3606</f>
        <v>43454</v>
      </c>
      <c r="E3624" s="137" t="str">
        <f>E3606</f>
        <v>675-п</v>
      </c>
      <c r="F3624" s="50">
        <v>43466</v>
      </c>
      <c r="G3624" s="50">
        <v>43646</v>
      </c>
      <c r="H3624" s="149"/>
      <c r="I3624" s="119" t="s">
        <v>23</v>
      </c>
      <c r="J3624" s="119" t="s">
        <v>23</v>
      </c>
      <c r="K3624" s="13">
        <v>24.07</v>
      </c>
      <c r="L3624" s="13">
        <v>1787.4711864406781</v>
      </c>
      <c r="M3624" s="196" t="s">
        <v>420</v>
      </c>
    </row>
    <row r="3625" spans="1:13" ht="15" customHeight="1" outlineLevel="1" x14ac:dyDescent="0.25">
      <c r="A3625" s="148"/>
      <c r="B3625" s="148"/>
      <c r="C3625" s="148"/>
      <c r="D3625" s="138"/>
      <c r="E3625" s="138"/>
      <c r="F3625" s="50">
        <v>43647</v>
      </c>
      <c r="G3625" s="50">
        <v>43830</v>
      </c>
      <c r="H3625" s="150"/>
      <c r="I3625" s="119" t="s">
        <v>23</v>
      </c>
      <c r="J3625" s="119" t="s">
        <v>23</v>
      </c>
      <c r="K3625" s="13">
        <v>24.551400000000001</v>
      </c>
      <c r="L3625" s="13">
        <v>1823.2206101694917</v>
      </c>
      <c r="M3625" s="198"/>
    </row>
    <row r="3626" spans="1:13" ht="15" customHeight="1" outlineLevel="1" x14ac:dyDescent="0.25">
      <c r="A3626" s="148"/>
      <c r="B3626" s="148"/>
      <c r="C3626" s="148"/>
      <c r="D3626" s="138"/>
      <c r="E3626" s="138"/>
      <c r="F3626" s="50">
        <v>43466</v>
      </c>
      <c r="G3626" s="50">
        <v>43646</v>
      </c>
      <c r="H3626" s="150"/>
      <c r="I3626" s="119" t="s">
        <v>23</v>
      </c>
      <c r="J3626" s="119" t="s">
        <v>23</v>
      </c>
      <c r="K3626" s="13">
        <v>24.07</v>
      </c>
      <c r="L3626" s="13">
        <v>1957.7084745762711</v>
      </c>
      <c r="M3626" s="196" t="s">
        <v>421</v>
      </c>
    </row>
    <row r="3627" spans="1:13" ht="15" customHeight="1" outlineLevel="1" x14ac:dyDescent="0.25">
      <c r="A3627" s="148"/>
      <c r="B3627" s="148"/>
      <c r="C3627" s="148"/>
      <c r="D3627" s="138"/>
      <c r="E3627" s="138"/>
      <c r="F3627" s="50">
        <v>43647</v>
      </c>
      <c r="G3627" s="50">
        <v>43830</v>
      </c>
      <c r="H3627" s="150"/>
      <c r="I3627" s="119" t="s">
        <v>23</v>
      </c>
      <c r="J3627" s="119" t="s">
        <v>23</v>
      </c>
      <c r="K3627" s="13">
        <v>24.551400000000001</v>
      </c>
      <c r="L3627" s="13">
        <v>1996.8626440677965</v>
      </c>
      <c r="M3627" s="198"/>
    </row>
    <row r="3628" spans="1:13" ht="15" customHeight="1" outlineLevel="1" x14ac:dyDescent="0.25">
      <c r="A3628" s="148"/>
      <c r="B3628" s="148"/>
      <c r="C3628" s="148"/>
      <c r="D3628" s="138"/>
      <c r="E3628" s="138"/>
      <c r="F3628" s="50">
        <v>43466</v>
      </c>
      <c r="G3628" s="50">
        <v>43646</v>
      </c>
      <c r="H3628" s="150"/>
      <c r="I3628" s="119" t="s">
        <v>23</v>
      </c>
      <c r="J3628" s="119" t="s">
        <v>23</v>
      </c>
      <c r="K3628" s="13">
        <v>24.07</v>
      </c>
      <c r="L3628" s="13">
        <v>1666.6983050847459</v>
      </c>
      <c r="M3628" s="196" t="s">
        <v>422</v>
      </c>
    </row>
    <row r="3629" spans="1:13" ht="15" customHeight="1" outlineLevel="1" x14ac:dyDescent="0.25">
      <c r="A3629" s="148"/>
      <c r="B3629" s="148"/>
      <c r="C3629" s="148"/>
      <c r="D3629" s="138"/>
      <c r="E3629" s="138"/>
      <c r="F3629" s="50">
        <v>43647</v>
      </c>
      <c r="G3629" s="50">
        <v>43830</v>
      </c>
      <c r="H3629" s="150"/>
      <c r="I3629" s="119" t="s">
        <v>23</v>
      </c>
      <c r="J3629" s="119" t="s">
        <v>23</v>
      </c>
      <c r="K3629" s="13">
        <v>24.551400000000001</v>
      </c>
      <c r="L3629" s="13">
        <v>1700.0322711864408</v>
      </c>
      <c r="M3629" s="198"/>
    </row>
    <row r="3630" spans="1:13" ht="15" customHeight="1" outlineLevel="1" x14ac:dyDescent="0.25">
      <c r="A3630" s="148"/>
      <c r="B3630" s="148"/>
      <c r="C3630" s="148"/>
      <c r="D3630" s="138"/>
      <c r="E3630" s="138"/>
      <c r="F3630" s="50">
        <v>43466</v>
      </c>
      <c r="G3630" s="50">
        <v>43646</v>
      </c>
      <c r="H3630" s="150"/>
      <c r="I3630" s="119" t="s">
        <v>23</v>
      </c>
      <c r="J3630" s="119" t="s">
        <v>23</v>
      </c>
      <c r="K3630" s="13">
        <v>24.07</v>
      </c>
      <c r="L3630" s="13">
        <v>1787.4711864406781</v>
      </c>
      <c r="M3630" s="196" t="s">
        <v>423</v>
      </c>
    </row>
    <row r="3631" spans="1:13" ht="15" customHeight="1" outlineLevel="1" x14ac:dyDescent="0.25">
      <c r="A3631" s="148"/>
      <c r="B3631" s="148"/>
      <c r="C3631" s="148"/>
      <c r="D3631" s="138"/>
      <c r="E3631" s="138"/>
      <c r="F3631" s="50">
        <v>43647</v>
      </c>
      <c r="G3631" s="50">
        <v>43830</v>
      </c>
      <c r="H3631" s="150"/>
      <c r="I3631" s="119" t="s">
        <v>23</v>
      </c>
      <c r="J3631" s="119" t="s">
        <v>23</v>
      </c>
      <c r="K3631" s="13">
        <v>24.551400000000001</v>
      </c>
      <c r="L3631" s="13">
        <v>1823.2206101694917</v>
      </c>
      <c r="M3631" s="198"/>
    </row>
    <row r="3632" spans="1:13" ht="15" customHeight="1" outlineLevel="1" x14ac:dyDescent="0.25">
      <c r="A3632" s="148"/>
      <c r="B3632" s="148"/>
      <c r="C3632" s="148"/>
      <c r="D3632" s="138"/>
      <c r="E3632" s="138"/>
      <c r="F3632" s="50">
        <v>43466</v>
      </c>
      <c r="G3632" s="50">
        <v>43646</v>
      </c>
      <c r="H3632" s="150"/>
      <c r="I3632" s="119" t="s">
        <v>23</v>
      </c>
      <c r="J3632" s="119" t="s">
        <v>23</v>
      </c>
      <c r="K3632" s="13">
        <v>24.07</v>
      </c>
      <c r="L3632" s="13">
        <v>1868.7254237288137</v>
      </c>
      <c r="M3632" s="196" t="s">
        <v>424</v>
      </c>
    </row>
    <row r="3633" spans="1:13" ht="15" customHeight="1" outlineLevel="1" x14ac:dyDescent="0.25">
      <c r="A3633" s="148"/>
      <c r="B3633" s="148"/>
      <c r="C3633" s="148"/>
      <c r="D3633" s="138"/>
      <c r="E3633" s="138"/>
      <c r="F3633" s="50">
        <v>43647</v>
      </c>
      <c r="G3633" s="50">
        <v>43830</v>
      </c>
      <c r="H3633" s="150"/>
      <c r="I3633" s="119" t="s">
        <v>23</v>
      </c>
      <c r="J3633" s="119" t="s">
        <v>23</v>
      </c>
      <c r="K3633" s="13">
        <v>24.551400000000001</v>
      </c>
      <c r="L3633" s="13">
        <v>1906.0999322033899</v>
      </c>
      <c r="M3633" s="198"/>
    </row>
    <row r="3634" spans="1:13" ht="15" customHeight="1" outlineLevel="1" x14ac:dyDescent="0.25">
      <c r="A3634" s="148"/>
      <c r="B3634" s="148"/>
      <c r="C3634" s="148"/>
      <c r="D3634" s="138"/>
      <c r="E3634" s="138"/>
      <c r="F3634" s="50">
        <v>43466</v>
      </c>
      <c r="G3634" s="50">
        <v>43646</v>
      </c>
      <c r="H3634" s="150"/>
      <c r="I3634" s="119" t="s">
        <v>23</v>
      </c>
      <c r="J3634" s="119" t="s">
        <v>23</v>
      </c>
      <c r="K3634" s="13">
        <v>24.07</v>
      </c>
      <c r="L3634" s="13">
        <v>2021.898305084746</v>
      </c>
      <c r="M3634" s="196" t="s">
        <v>425</v>
      </c>
    </row>
    <row r="3635" spans="1:13" ht="15" customHeight="1" outlineLevel="1" x14ac:dyDescent="0.25">
      <c r="A3635" s="148"/>
      <c r="B3635" s="148"/>
      <c r="C3635" s="148"/>
      <c r="D3635" s="138"/>
      <c r="E3635" s="138"/>
      <c r="F3635" s="50">
        <v>43647</v>
      </c>
      <c r="G3635" s="50">
        <v>43830</v>
      </c>
      <c r="H3635" s="150"/>
      <c r="I3635" s="119" t="s">
        <v>23</v>
      </c>
      <c r="J3635" s="119" t="s">
        <v>23</v>
      </c>
      <c r="K3635" s="13">
        <v>24.551400000000001</v>
      </c>
      <c r="L3635" s="13">
        <v>2062.3362711864411</v>
      </c>
      <c r="M3635" s="198"/>
    </row>
    <row r="3636" spans="1:13" ht="15" customHeight="1" outlineLevel="1" x14ac:dyDescent="0.25">
      <c r="A3636" s="148"/>
      <c r="B3636" s="148"/>
      <c r="C3636" s="148"/>
      <c r="D3636" s="138"/>
      <c r="E3636" s="138"/>
      <c r="F3636" s="50">
        <v>43466</v>
      </c>
      <c r="G3636" s="50">
        <v>43646</v>
      </c>
      <c r="H3636" s="150"/>
      <c r="I3636" s="119" t="s">
        <v>23</v>
      </c>
      <c r="J3636" s="119" t="s">
        <v>23</v>
      </c>
      <c r="K3636" s="13">
        <v>24.07</v>
      </c>
      <c r="L3636" s="13">
        <v>1712.9898305084746</v>
      </c>
      <c r="M3636" s="196" t="s">
        <v>426</v>
      </c>
    </row>
    <row r="3637" spans="1:13" ht="15" customHeight="1" outlineLevel="1" x14ac:dyDescent="0.25">
      <c r="A3637" s="148"/>
      <c r="B3637" s="148"/>
      <c r="C3637" s="148"/>
      <c r="D3637" s="138"/>
      <c r="E3637" s="138"/>
      <c r="F3637" s="50">
        <v>43647</v>
      </c>
      <c r="G3637" s="50">
        <v>43830</v>
      </c>
      <c r="H3637" s="150"/>
      <c r="I3637" s="119" t="s">
        <v>23</v>
      </c>
      <c r="J3637" s="119" t="s">
        <v>23</v>
      </c>
      <c r="K3637" s="13">
        <v>24.551400000000001</v>
      </c>
      <c r="L3637" s="13">
        <v>1747.2496271186442</v>
      </c>
      <c r="M3637" s="198"/>
    </row>
    <row r="3638" spans="1:13" ht="15" customHeight="1" outlineLevel="1" x14ac:dyDescent="0.25">
      <c r="A3638" s="148"/>
      <c r="B3638" s="148"/>
      <c r="C3638" s="148"/>
      <c r="D3638" s="138"/>
      <c r="E3638" s="138"/>
      <c r="F3638" s="50">
        <v>43466</v>
      </c>
      <c r="G3638" s="50">
        <v>43646</v>
      </c>
      <c r="H3638" s="150"/>
      <c r="I3638" s="119" t="s">
        <v>23</v>
      </c>
      <c r="J3638" s="119" t="s">
        <v>23</v>
      </c>
      <c r="K3638" s="13">
        <v>24.07</v>
      </c>
      <c r="L3638" s="13">
        <v>1868.7254237288137</v>
      </c>
      <c r="M3638" s="196" t="s">
        <v>427</v>
      </c>
    </row>
    <row r="3639" spans="1:13" ht="15" customHeight="1" outlineLevel="1" x14ac:dyDescent="0.25">
      <c r="A3639" s="147"/>
      <c r="B3639" s="147"/>
      <c r="C3639" s="148"/>
      <c r="D3639" s="141"/>
      <c r="E3639" s="141"/>
      <c r="F3639" s="50">
        <v>43647</v>
      </c>
      <c r="G3639" s="50">
        <v>43830</v>
      </c>
      <c r="H3639" s="151"/>
      <c r="I3639" s="119" t="s">
        <v>23</v>
      </c>
      <c r="J3639" s="119" t="s">
        <v>23</v>
      </c>
      <c r="K3639" s="13">
        <v>24.551400000000001</v>
      </c>
      <c r="L3639" s="13">
        <v>1906.0999322033899</v>
      </c>
      <c r="M3639" s="198"/>
    </row>
    <row r="3640" spans="1:13" ht="15" customHeight="1" outlineLevel="1" x14ac:dyDescent="0.25">
      <c r="A3640" s="146" t="s">
        <v>59</v>
      </c>
      <c r="B3640" s="146" t="s">
        <v>126</v>
      </c>
      <c r="C3640" s="148"/>
      <c r="D3640" s="156">
        <v>43453</v>
      </c>
      <c r="E3640" s="156" t="s">
        <v>735</v>
      </c>
      <c r="F3640" s="12">
        <v>43466</v>
      </c>
      <c r="G3640" s="12">
        <v>43646</v>
      </c>
      <c r="H3640" s="149" t="s">
        <v>826</v>
      </c>
      <c r="I3640" s="66">
        <v>32.99</v>
      </c>
      <c r="J3640" s="13">
        <v>2310.25</v>
      </c>
      <c r="K3640" s="119" t="s">
        <v>23</v>
      </c>
      <c r="L3640" s="119" t="s">
        <v>23</v>
      </c>
      <c r="M3640" s="153"/>
    </row>
    <row r="3641" spans="1:13" ht="15" customHeight="1" outlineLevel="1" x14ac:dyDescent="0.25">
      <c r="A3641" s="148"/>
      <c r="B3641" s="148"/>
      <c r="C3641" s="148"/>
      <c r="D3641" s="156"/>
      <c r="E3641" s="156"/>
      <c r="F3641" s="12">
        <v>43647</v>
      </c>
      <c r="G3641" s="12">
        <v>43830</v>
      </c>
      <c r="H3641" s="151"/>
      <c r="I3641" s="66">
        <v>37.114448142308703</v>
      </c>
      <c r="J3641" s="13">
        <v>2359.61</v>
      </c>
      <c r="K3641" s="119" t="s">
        <v>23</v>
      </c>
      <c r="L3641" s="119" t="s">
        <v>23</v>
      </c>
      <c r="M3641" s="152"/>
    </row>
    <row r="3642" spans="1:13" ht="15" customHeight="1" outlineLevel="1" x14ac:dyDescent="0.25">
      <c r="A3642" s="148"/>
      <c r="B3642" s="148"/>
      <c r="C3642" s="148"/>
      <c r="D3642" s="137">
        <f>D3624</f>
        <v>43454</v>
      </c>
      <c r="E3642" s="137" t="str">
        <f>E3624</f>
        <v>675-п</v>
      </c>
      <c r="F3642" s="50">
        <v>43466</v>
      </c>
      <c r="G3642" s="50">
        <v>43646</v>
      </c>
      <c r="H3642" s="149"/>
      <c r="I3642" s="119" t="s">
        <v>23</v>
      </c>
      <c r="J3642" s="119" t="s">
        <v>23</v>
      </c>
      <c r="K3642" s="13">
        <v>24.07</v>
      </c>
      <c r="L3642" s="13">
        <v>1787.4711864406781</v>
      </c>
      <c r="M3642" s="196" t="s">
        <v>420</v>
      </c>
    </row>
    <row r="3643" spans="1:13" ht="15" customHeight="1" outlineLevel="1" x14ac:dyDescent="0.25">
      <c r="A3643" s="148"/>
      <c r="B3643" s="148"/>
      <c r="C3643" s="148"/>
      <c r="D3643" s="138"/>
      <c r="E3643" s="138"/>
      <c r="F3643" s="50">
        <v>43647</v>
      </c>
      <c r="G3643" s="50">
        <v>43830</v>
      </c>
      <c r="H3643" s="150"/>
      <c r="I3643" s="119" t="s">
        <v>23</v>
      </c>
      <c r="J3643" s="119" t="s">
        <v>23</v>
      </c>
      <c r="K3643" s="13">
        <v>24.551400000000001</v>
      </c>
      <c r="L3643" s="13">
        <v>1823.2206101694917</v>
      </c>
      <c r="M3643" s="198"/>
    </row>
    <row r="3644" spans="1:13" ht="15" customHeight="1" outlineLevel="1" x14ac:dyDescent="0.25">
      <c r="A3644" s="148"/>
      <c r="B3644" s="148"/>
      <c r="C3644" s="148"/>
      <c r="D3644" s="138"/>
      <c r="E3644" s="138"/>
      <c r="F3644" s="50">
        <v>43466</v>
      </c>
      <c r="G3644" s="50">
        <v>43646</v>
      </c>
      <c r="H3644" s="150"/>
      <c r="I3644" s="119" t="s">
        <v>23</v>
      </c>
      <c r="J3644" s="119" t="s">
        <v>23</v>
      </c>
      <c r="K3644" s="13">
        <v>24.07</v>
      </c>
      <c r="L3644" s="13">
        <v>1957.7084745762711</v>
      </c>
      <c r="M3644" s="196" t="s">
        <v>421</v>
      </c>
    </row>
    <row r="3645" spans="1:13" ht="15" customHeight="1" outlineLevel="1" x14ac:dyDescent="0.25">
      <c r="A3645" s="148"/>
      <c r="B3645" s="148"/>
      <c r="C3645" s="148"/>
      <c r="D3645" s="138"/>
      <c r="E3645" s="138"/>
      <c r="F3645" s="50">
        <v>43647</v>
      </c>
      <c r="G3645" s="50">
        <v>43830</v>
      </c>
      <c r="H3645" s="150"/>
      <c r="I3645" s="119" t="s">
        <v>23</v>
      </c>
      <c r="J3645" s="119" t="s">
        <v>23</v>
      </c>
      <c r="K3645" s="13">
        <v>24.551400000000001</v>
      </c>
      <c r="L3645" s="13">
        <v>1996.8626440677965</v>
      </c>
      <c r="M3645" s="198"/>
    </row>
    <row r="3646" spans="1:13" ht="15" customHeight="1" outlineLevel="1" x14ac:dyDescent="0.25">
      <c r="A3646" s="148"/>
      <c r="B3646" s="148"/>
      <c r="C3646" s="148"/>
      <c r="D3646" s="138"/>
      <c r="E3646" s="138"/>
      <c r="F3646" s="50">
        <v>43466</v>
      </c>
      <c r="G3646" s="50">
        <v>43646</v>
      </c>
      <c r="H3646" s="150"/>
      <c r="I3646" s="119" t="s">
        <v>23</v>
      </c>
      <c r="J3646" s="119" t="s">
        <v>23</v>
      </c>
      <c r="K3646" s="13">
        <v>24.07</v>
      </c>
      <c r="L3646" s="13">
        <v>1666.6983050847459</v>
      </c>
      <c r="M3646" s="196" t="s">
        <v>422</v>
      </c>
    </row>
    <row r="3647" spans="1:13" ht="15" customHeight="1" outlineLevel="1" x14ac:dyDescent="0.25">
      <c r="A3647" s="148"/>
      <c r="B3647" s="148"/>
      <c r="C3647" s="148"/>
      <c r="D3647" s="138"/>
      <c r="E3647" s="138"/>
      <c r="F3647" s="50">
        <v>43647</v>
      </c>
      <c r="G3647" s="50">
        <v>43830</v>
      </c>
      <c r="H3647" s="150"/>
      <c r="I3647" s="119" t="s">
        <v>23</v>
      </c>
      <c r="J3647" s="119" t="s">
        <v>23</v>
      </c>
      <c r="K3647" s="13">
        <v>24.551400000000001</v>
      </c>
      <c r="L3647" s="13">
        <v>1700.0322711864408</v>
      </c>
      <c r="M3647" s="198"/>
    </row>
    <row r="3648" spans="1:13" ht="15" customHeight="1" outlineLevel="1" x14ac:dyDescent="0.25">
      <c r="A3648" s="148"/>
      <c r="B3648" s="148"/>
      <c r="C3648" s="148"/>
      <c r="D3648" s="138"/>
      <c r="E3648" s="138"/>
      <c r="F3648" s="50">
        <v>43466</v>
      </c>
      <c r="G3648" s="50">
        <v>43646</v>
      </c>
      <c r="H3648" s="150"/>
      <c r="I3648" s="119" t="s">
        <v>23</v>
      </c>
      <c r="J3648" s="119" t="s">
        <v>23</v>
      </c>
      <c r="K3648" s="13">
        <v>24.07</v>
      </c>
      <c r="L3648" s="13">
        <v>1787.4711864406781</v>
      </c>
      <c r="M3648" s="196" t="s">
        <v>423</v>
      </c>
    </row>
    <row r="3649" spans="1:13" ht="15" customHeight="1" outlineLevel="1" x14ac:dyDescent="0.25">
      <c r="A3649" s="148"/>
      <c r="B3649" s="148"/>
      <c r="C3649" s="148"/>
      <c r="D3649" s="138"/>
      <c r="E3649" s="138"/>
      <c r="F3649" s="50">
        <v>43647</v>
      </c>
      <c r="G3649" s="50">
        <v>43830</v>
      </c>
      <c r="H3649" s="150"/>
      <c r="I3649" s="119" t="s">
        <v>23</v>
      </c>
      <c r="J3649" s="119" t="s">
        <v>23</v>
      </c>
      <c r="K3649" s="13">
        <v>24.551400000000001</v>
      </c>
      <c r="L3649" s="13">
        <v>1823.2206101694917</v>
      </c>
      <c r="M3649" s="198"/>
    </row>
    <row r="3650" spans="1:13" ht="15" customHeight="1" outlineLevel="1" x14ac:dyDescent="0.25">
      <c r="A3650" s="148"/>
      <c r="B3650" s="148"/>
      <c r="C3650" s="148"/>
      <c r="D3650" s="138"/>
      <c r="E3650" s="138"/>
      <c r="F3650" s="50">
        <v>43466</v>
      </c>
      <c r="G3650" s="50">
        <v>43646</v>
      </c>
      <c r="H3650" s="150"/>
      <c r="I3650" s="119" t="s">
        <v>23</v>
      </c>
      <c r="J3650" s="119" t="s">
        <v>23</v>
      </c>
      <c r="K3650" s="13">
        <v>24.07</v>
      </c>
      <c r="L3650" s="13">
        <v>1868.7254237288137</v>
      </c>
      <c r="M3650" s="196" t="s">
        <v>424</v>
      </c>
    </row>
    <row r="3651" spans="1:13" ht="15" customHeight="1" outlineLevel="1" x14ac:dyDescent="0.25">
      <c r="A3651" s="148"/>
      <c r="B3651" s="148"/>
      <c r="C3651" s="148"/>
      <c r="D3651" s="138"/>
      <c r="E3651" s="138"/>
      <c r="F3651" s="50">
        <v>43647</v>
      </c>
      <c r="G3651" s="50">
        <v>43830</v>
      </c>
      <c r="H3651" s="150"/>
      <c r="I3651" s="119" t="s">
        <v>23</v>
      </c>
      <c r="J3651" s="119" t="s">
        <v>23</v>
      </c>
      <c r="K3651" s="13">
        <v>24.551400000000001</v>
      </c>
      <c r="L3651" s="13">
        <v>1906.0999322033899</v>
      </c>
      <c r="M3651" s="198"/>
    </row>
    <row r="3652" spans="1:13" ht="15" customHeight="1" outlineLevel="1" x14ac:dyDescent="0.25">
      <c r="A3652" s="148"/>
      <c r="B3652" s="148"/>
      <c r="C3652" s="148"/>
      <c r="D3652" s="138"/>
      <c r="E3652" s="138"/>
      <c r="F3652" s="50">
        <v>43466</v>
      </c>
      <c r="G3652" s="50">
        <v>43646</v>
      </c>
      <c r="H3652" s="150"/>
      <c r="I3652" s="119" t="s">
        <v>23</v>
      </c>
      <c r="J3652" s="119" t="s">
        <v>23</v>
      </c>
      <c r="K3652" s="13">
        <v>24.07</v>
      </c>
      <c r="L3652" s="13">
        <v>2021.898305084746</v>
      </c>
      <c r="M3652" s="196" t="s">
        <v>425</v>
      </c>
    </row>
    <row r="3653" spans="1:13" ht="15" customHeight="1" outlineLevel="1" x14ac:dyDescent="0.25">
      <c r="A3653" s="148"/>
      <c r="B3653" s="148"/>
      <c r="C3653" s="148"/>
      <c r="D3653" s="138"/>
      <c r="E3653" s="138"/>
      <c r="F3653" s="50">
        <v>43647</v>
      </c>
      <c r="G3653" s="50">
        <v>43830</v>
      </c>
      <c r="H3653" s="150"/>
      <c r="I3653" s="119" t="s">
        <v>23</v>
      </c>
      <c r="J3653" s="119" t="s">
        <v>23</v>
      </c>
      <c r="K3653" s="13">
        <v>24.551400000000001</v>
      </c>
      <c r="L3653" s="13">
        <v>2062.3362711864411</v>
      </c>
      <c r="M3653" s="198"/>
    </row>
    <row r="3654" spans="1:13" ht="15" customHeight="1" outlineLevel="1" x14ac:dyDescent="0.25">
      <c r="A3654" s="148"/>
      <c r="B3654" s="148"/>
      <c r="C3654" s="148"/>
      <c r="D3654" s="138"/>
      <c r="E3654" s="138"/>
      <c r="F3654" s="50">
        <v>43466</v>
      </c>
      <c r="G3654" s="50">
        <v>43646</v>
      </c>
      <c r="H3654" s="150"/>
      <c r="I3654" s="119" t="s">
        <v>23</v>
      </c>
      <c r="J3654" s="119" t="s">
        <v>23</v>
      </c>
      <c r="K3654" s="13">
        <v>24.07</v>
      </c>
      <c r="L3654" s="13">
        <v>1712.9898305084746</v>
      </c>
      <c r="M3654" s="196" t="s">
        <v>426</v>
      </c>
    </row>
    <row r="3655" spans="1:13" ht="15" customHeight="1" outlineLevel="1" x14ac:dyDescent="0.25">
      <c r="A3655" s="148"/>
      <c r="B3655" s="148"/>
      <c r="C3655" s="148"/>
      <c r="D3655" s="138"/>
      <c r="E3655" s="138"/>
      <c r="F3655" s="50">
        <v>43647</v>
      </c>
      <c r="G3655" s="50">
        <v>43830</v>
      </c>
      <c r="H3655" s="150"/>
      <c r="I3655" s="119" t="s">
        <v>23</v>
      </c>
      <c r="J3655" s="119" t="s">
        <v>23</v>
      </c>
      <c r="K3655" s="13">
        <v>24.551400000000001</v>
      </c>
      <c r="L3655" s="13">
        <v>1747.2496271186442</v>
      </c>
      <c r="M3655" s="198"/>
    </row>
    <row r="3656" spans="1:13" ht="15" customHeight="1" outlineLevel="1" x14ac:dyDescent="0.25">
      <c r="A3656" s="148"/>
      <c r="B3656" s="148"/>
      <c r="C3656" s="148"/>
      <c r="D3656" s="138"/>
      <c r="E3656" s="138"/>
      <c r="F3656" s="50">
        <v>43466</v>
      </c>
      <c r="G3656" s="50">
        <v>43646</v>
      </c>
      <c r="H3656" s="150"/>
      <c r="I3656" s="119" t="s">
        <v>23</v>
      </c>
      <c r="J3656" s="119" t="s">
        <v>23</v>
      </c>
      <c r="K3656" s="13">
        <v>24.07</v>
      </c>
      <c r="L3656" s="13">
        <v>1868.7254237288137</v>
      </c>
      <c r="M3656" s="196" t="s">
        <v>427</v>
      </c>
    </row>
    <row r="3657" spans="1:13" ht="15" customHeight="1" outlineLevel="1" x14ac:dyDescent="0.25">
      <c r="A3657" s="147"/>
      <c r="B3657" s="147"/>
      <c r="C3657" s="148"/>
      <c r="D3657" s="141"/>
      <c r="E3657" s="141"/>
      <c r="F3657" s="50">
        <v>43647</v>
      </c>
      <c r="G3657" s="50">
        <v>43830</v>
      </c>
      <c r="H3657" s="151"/>
      <c r="I3657" s="119" t="s">
        <v>23</v>
      </c>
      <c r="J3657" s="119" t="s">
        <v>23</v>
      </c>
      <c r="K3657" s="13">
        <v>24.551400000000001</v>
      </c>
      <c r="L3657" s="13">
        <v>1906.0999322033899</v>
      </c>
      <c r="M3657" s="198"/>
    </row>
    <row r="3658" spans="1:13" ht="15" customHeight="1" outlineLevel="1" x14ac:dyDescent="0.25">
      <c r="A3658" s="146" t="s">
        <v>59</v>
      </c>
      <c r="B3658" s="146" t="s">
        <v>122</v>
      </c>
      <c r="C3658" s="148"/>
      <c r="D3658" s="156">
        <v>43453</v>
      </c>
      <c r="E3658" s="156" t="s">
        <v>735</v>
      </c>
      <c r="F3658" s="12">
        <v>43466</v>
      </c>
      <c r="G3658" s="12">
        <v>43646</v>
      </c>
      <c r="H3658" s="149" t="s">
        <v>826</v>
      </c>
      <c r="I3658" s="66">
        <v>32.99</v>
      </c>
      <c r="J3658" s="13">
        <v>2310.25</v>
      </c>
      <c r="K3658" s="119" t="s">
        <v>23</v>
      </c>
      <c r="L3658" s="119" t="s">
        <v>23</v>
      </c>
      <c r="M3658" s="153"/>
    </row>
    <row r="3659" spans="1:13" ht="15" customHeight="1" outlineLevel="1" x14ac:dyDescent="0.25">
      <c r="A3659" s="148"/>
      <c r="B3659" s="148"/>
      <c r="C3659" s="148"/>
      <c r="D3659" s="156"/>
      <c r="E3659" s="156"/>
      <c r="F3659" s="12">
        <v>43647</v>
      </c>
      <c r="G3659" s="12">
        <v>43830</v>
      </c>
      <c r="H3659" s="151"/>
      <c r="I3659" s="66">
        <v>37.114448142308703</v>
      </c>
      <c r="J3659" s="13">
        <v>2359.61</v>
      </c>
      <c r="K3659" s="119" t="s">
        <v>23</v>
      </c>
      <c r="L3659" s="119" t="s">
        <v>23</v>
      </c>
      <c r="M3659" s="152"/>
    </row>
    <row r="3660" spans="1:13" ht="15" customHeight="1" outlineLevel="1" x14ac:dyDescent="0.25">
      <c r="A3660" s="148"/>
      <c r="B3660" s="148"/>
      <c r="C3660" s="148"/>
      <c r="D3660" s="137">
        <f>D3642</f>
        <v>43454</v>
      </c>
      <c r="E3660" s="137" t="str">
        <f>E3642</f>
        <v>675-п</v>
      </c>
      <c r="F3660" s="50">
        <v>43466</v>
      </c>
      <c r="G3660" s="50">
        <v>43646</v>
      </c>
      <c r="H3660" s="149"/>
      <c r="I3660" s="119" t="s">
        <v>23</v>
      </c>
      <c r="J3660" s="119" t="s">
        <v>23</v>
      </c>
      <c r="K3660" s="13">
        <v>24.07</v>
      </c>
      <c r="L3660" s="13">
        <v>1787.4711864406781</v>
      </c>
      <c r="M3660" s="196" t="s">
        <v>420</v>
      </c>
    </row>
    <row r="3661" spans="1:13" ht="15" customHeight="1" outlineLevel="1" x14ac:dyDescent="0.25">
      <c r="A3661" s="148"/>
      <c r="B3661" s="148"/>
      <c r="C3661" s="148"/>
      <c r="D3661" s="138"/>
      <c r="E3661" s="138"/>
      <c r="F3661" s="50">
        <v>43647</v>
      </c>
      <c r="G3661" s="50">
        <v>43830</v>
      </c>
      <c r="H3661" s="150"/>
      <c r="I3661" s="119" t="s">
        <v>23</v>
      </c>
      <c r="J3661" s="119" t="s">
        <v>23</v>
      </c>
      <c r="K3661" s="13">
        <v>24.551400000000001</v>
      </c>
      <c r="L3661" s="13">
        <v>1823.2206101694917</v>
      </c>
      <c r="M3661" s="198"/>
    </row>
    <row r="3662" spans="1:13" ht="15" customHeight="1" outlineLevel="1" x14ac:dyDescent="0.25">
      <c r="A3662" s="148"/>
      <c r="B3662" s="148"/>
      <c r="C3662" s="148"/>
      <c r="D3662" s="138"/>
      <c r="E3662" s="138"/>
      <c r="F3662" s="50">
        <v>43466</v>
      </c>
      <c r="G3662" s="50">
        <v>43646</v>
      </c>
      <c r="H3662" s="150"/>
      <c r="I3662" s="119" t="s">
        <v>23</v>
      </c>
      <c r="J3662" s="119" t="s">
        <v>23</v>
      </c>
      <c r="K3662" s="13">
        <v>24.07</v>
      </c>
      <c r="L3662" s="13">
        <v>1957.7084745762711</v>
      </c>
      <c r="M3662" s="196" t="s">
        <v>421</v>
      </c>
    </row>
    <row r="3663" spans="1:13" ht="15" customHeight="1" outlineLevel="1" x14ac:dyDescent="0.25">
      <c r="A3663" s="148"/>
      <c r="B3663" s="148"/>
      <c r="C3663" s="148"/>
      <c r="D3663" s="138"/>
      <c r="E3663" s="138"/>
      <c r="F3663" s="50">
        <v>43647</v>
      </c>
      <c r="G3663" s="50">
        <v>43830</v>
      </c>
      <c r="H3663" s="150"/>
      <c r="I3663" s="119" t="s">
        <v>23</v>
      </c>
      <c r="J3663" s="119" t="s">
        <v>23</v>
      </c>
      <c r="K3663" s="13">
        <v>24.551400000000001</v>
      </c>
      <c r="L3663" s="13">
        <v>1996.8626440677965</v>
      </c>
      <c r="M3663" s="198"/>
    </row>
    <row r="3664" spans="1:13" ht="15" customHeight="1" outlineLevel="1" x14ac:dyDescent="0.25">
      <c r="A3664" s="148"/>
      <c r="B3664" s="148"/>
      <c r="C3664" s="148"/>
      <c r="D3664" s="138"/>
      <c r="E3664" s="138"/>
      <c r="F3664" s="50">
        <v>43466</v>
      </c>
      <c r="G3664" s="50">
        <v>43646</v>
      </c>
      <c r="H3664" s="150"/>
      <c r="I3664" s="119" t="s">
        <v>23</v>
      </c>
      <c r="J3664" s="119" t="s">
        <v>23</v>
      </c>
      <c r="K3664" s="13">
        <v>24.07</v>
      </c>
      <c r="L3664" s="13">
        <v>1666.6983050847459</v>
      </c>
      <c r="M3664" s="196" t="s">
        <v>422</v>
      </c>
    </row>
    <row r="3665" spans="1:13" ht="15" customHeight="1" outlineLevel="1" x14ac:dyDescent="0.25">
      <c r="A3665" s="148"/>
      <c r="B3665" s="148"/>
      <c r="C3665" s="148"/>
      <c r="D3665" s="138"/>
      <c r="E3665" s="138"/>
      <c r="F3665" s="50">
        <v>43647</v>
      </c>
      <c r="G3665" s="50">
        <v>43830</v>
      </c>
      <c r="H3665" s="150"/>
      <c r="I3665" s="119" t="s">
        <v>23</v>
      </c>
      <c r="J3665" s="119" t="s">
        <v>23</v>
      </c>
      <c r="K3665" s="13">
        <v>24.551400000000001</v>
      </c>
      <c r="L3665" s="13">
        <v>1700.0322711864408</v>
      </c>
      <c r="M3665" s="198"/>
    </row>
    <row r="3666" spans="1:13" ht="15" customHeight="1" outlineLevel="1" x14ac:dyDescent="0.25">
      <c r="A3666" s="148"/>
      <c r="B3666" s="148"/>
      <c r="C3666" s="148"/>
      <c r="D3666" s="138"/>
      <c r="E3666" s="138"/>
      <c r="F3666" s="50">
        <v>43466</v>
      </c>
      <c r="G3666" s="50">
        <v>43646</v>
      </c>
      <c r="H3666" s="150"/>
      <c r="I3666" s="119" t="s">
        <v>23</v>
      </c>
      <c r="J3666" s="119" t="s">
        <v>23</v>
      </c>
      <c r="K3666" s="13">
        <v>24.07</v>
      </c>
      <c r="L3666" s="13">
        <v>1787.4711864406781</v>
      </c>
      <c r="M3666" s="196" t="s">
        <v>423</v>
      </c>
    </row>
    <row r="3667" spans="1:13" ht="15" customHeight="1" outlineLevel="1" x14ac:dyDescent="0.25">
      <c r="A3667" s="148"/>
      <c r="B3667" s="148"/>
      <c r="C3667" s="148"/>
      <c r="D3667" s="138"/>
      <c r="E3667" s="138"/>
      <c r="F3667" s="50">
        <v>43647</v>
      </c>
      <c r="G3667" s="50">
        <v>43830</v>
      </c>
      <c r="H3667" s="150"/>
      <c r="I3667" s="119" t="s">
        <v>23</v>
      </c>
      <c r="J3667" s="119" t="s">
        <v>23</v>
      </c>
      <c r="K3667" s="13">
        <v>24.551400000000001</v>
      </c>
      <c r="L3667" s="13">
        <v>1823.2206101694917</v>
      </c>
      <c r="M3667" s="198"/>
    </row>
    <row r="3668" spans="1:13" ht="15" customHeight="1" outlineLevel="1" x14ac:dyDescent="0.25">
      <c r="A3668" s="148"/>
      <c r="B3668" s="148"/>
      <c r="C3668" s="148"/>
      <c r="D3668" s="138"/>
      <c r="E3668" s="138"/>
      <c r="F3668" s="50">
        <v>43466</v>
      </c>
      <c r="G3668" s="50">
        <v>43646</v>
      </c>
      <c r="H3668" s="150"/>
      <c r="I3668" s="119" t="s">
        <v>23</v>
      </c>
      <c r="J3668" s="119" t="s">
        <v>23</v>
      </c>
      <c r="K3668" s="13">
        <v>24.07</v>
      </c>
      <c r="L3668" s="13">
        <v>1868.7254237288137</v>
      </c>
      <c r="M3668" s="196" t="s">
        <v>424</v>
      </c>
    </row>
    <row r="3669" spans="1:13" ht="15" customHeight="1" outlineLevel="1" x14ac:dyDescent="0.25">
      <c r="A3669" s="148"/>
      <c r="B3669" s="148"/>
      <c r="C3669" s="148"/>
      <c r="D3669" s="138"/>
      <c r="E3669" s="138"/>
      <c r="F3669" s="50">
        <v>43647</v>
      </c>
      <c r="G3669" s="50">
        <v>43830</v>
      </c>
      <c r="H3669" s="150"/>
      <c r="I3669" s="119" t="s">
        <v>23</v>
      </c>
      <c r="J3669" s="119" t="s">
        <v>23</v>
      </c>
      <c r="K3669" s="13">
        <v>24.551400000000001</v>
      </c>
      <c r="L3669" s="13">
        <v>1906.0999322033899</v>
      </c>
      <c r="M3669" s="198"/>
    </row>
    <row r="3670" spans="1:13" ht="15" customHeight="1" outlineLevel="1" x14ac:dyDescent="0.25">
      <c r="A3670" s="148"/>
      <c r="B3670" s="148"/>
      <c r="C3670" s="148"/>
      <c r="D3670" s="138"/>
      <c r="E3670" s="138"/>
      <c r="F3670" s="50">
        <v>43466</v>
      </c>
      <c r="G3670" s="50">
        <v>43646</v>
      </c>
      <c r="H3670" s="150"/>
      <c r="I3670" s="119" t="s">
        <v>23</v>
      </c>
      <c r="J3670" s="119" t="s">
        <v>23</v>
      </c>
      <c r="K3670" s="13">
        <v>24.07</v>
      </c>
      <c r="L3670" s="13">
        <v>2021.898305084746</v>
      </c>
      <c r="M3670" s="196" t="s">
        <v>425</v>
      </c>
    </row>
    <row r="3671" spans="1:13" ht="15" customHeight="1" outlineLevel="1" x14ac:dyDescent="0.25">
      <c r="A3671" s="148"/>
      <c r="B3671" s="148"/>
      <c r="C3671" s="148"/>
      <c r="D3671" s="138"/>
      <c r="E3671" s="138"/>
      <c r="F3671" s="50">
        <v>43647</v>
      </c>
      <c r="G3671" s="50">
        <v>43830</v>
      </c>
      <c r="H3671" s="150"/>
      <c r="I3671" s="119" t="s">
        <v>23</v>
      </c>
      <c r="J3671" s="119" t="s">
        <v>23</v>
      </c>
      <c r="K3671" s="13">
        <v>24.551400000000001</v>
      </c>
      <c r="L3671" s="13">
        <v>2062.3362711864411</v>
      </c>
      <c r="M3671" s="198"/>
    </row>
    <row r="3672" spans="1:13" ht="15" customHeight="1" outlineLevel="1" x14ac:dyDescent="0.25">
      <c r="A3672" s="148"/>
      <c r="B3672" s="148"/>
      <c r="C3672" s="148"/>
      <c r="D3672" s="138"/>
      <c r="E3672" s="138"/>
      <c r="F3672" s="50">
        <v>43466</v>
      </c>
      <c r="G3672" s="50">
        <v>43646</v>
      </c>
      <c r="H3672" s="150"/>
      <c r="I3672" s="119" t="s">
        <v>23</v>
      </c>
      <c r="J3672" s="119" t="s">
        <v>23</v>
      </c>
      <c r="K3672" s="13">
        <v>24.07</v>
      </c>
      <c r="L3672" s="13">
        <v>1712.9898305084746</v>
      </c>
      <c r="M3672" s="196" t="s">
        <v>426</v>
      </c>
    </row>
    <row r="3673" spans="1:13" ht="15" customHeight="1" outlineLevel="1" x14ac:dyDescent="0.25">
      <c r="A3673" s="148"/>
      <c r="B3673" s="148"/>
      <c r="C3673" s="148"/>
      <c r="D3673" s="138"/>
      <c r="E3673" s="138"/>
      <c r="F3673" s="50">
        <v>43647</v>
      </c>
      <c r="G3673" s="50">
        <v>43830</v>
      </c>
      <c r="H3673" s="150"/>
      <c r="I3673" s="119" t="s">
        <v>23</v>
      </c>
      <c r="J3673" s="119" t="s">
        <v>23</v>
      </c>
      <c r="K3673" s="13">
        <v>24.551400000000001</v>
      </c>
      <c r="L3673" s="13">
        <v>1747.2496271186442</v>
      </c>
      <c r="M3673" s="198"/>
    </row>
    <row r="3674" spans="1:13" ht="15" customHeight="1" outlineLevel="1" x14ac:dyDescent="0.25">
      <c r="A3674" s="148"/>
      <c r="B3674" s="148"/>
      <c r="C3674" s="148"/>
      <c r="D3674" s="138"/>
      <c r="E3674" s="138"/>
      <c r="F3674" s="50">
        <v>43466</v>
      </c>
      <c r="G3674" s="50">
        <v>43646</v>
      </c>
      <c r="H3674" s="150"/>
      <c r="I3674" s="119" t="s">
        <v>23</v>
      </c>
      <c r="J3674" s="119" t="s">
        <v>23</v>
      </c>
      <c r="K3674" s="13">
        <v>24.07</v>
      </c>
      <c r="L3674" s="13">
        <v>1868.7254237288137</v>
      </c>
      <c r="M3674" s="196" t="s">
        <v>427</v>
      </c>
    </row>
    <row r="3675" spans="1:13" ht="15" customHeight="1" outlineLevel="1" x14ac:dyDescent="0.25">
      <c r="A3675" s="147"/>
      <c r="B3675" s="147"/>
      <c r="C3675" s="148"/>
      <c r="D3675" s="141"/>
      <c r="E3675" s="141"/>
      <c r="F3675" s="50">
        <v>43647</v>
      </c>
      <c r="G3675" s="50">
        <v>43830</v>
      </c>
      <c r="H3675" s="151"/>
      <c r="I3675" s="119" t="s">
        <v>23</v>
      </c>
      <c r="J3675" s="119" t="s">
        <v>23</v>
      </c>
      <c r="K3675" s="13">
        <v>24.551400000000001</v>
      </c>
      <c r="L3675" s="13">
        <v>1906.0999322033899</v>
      </c>
      <c r="M3675" s="198"/>
    </row>
    <row r="3676" spans="1:13" ht="15" customHeight="1" outlineLevel="1" x14ac:dyDescent="0.25">
      <c r="A3676" s="146" t="s">
        <v>59</v>
      </c>
      <c r="B3676" s="146" t="s">
        <v>129</v>
      </c>
      <c r="C3676" s="148"/>
      <c r="D3676" s="156">
        <v>43453</v>
      </c>
      <c r="E3676" s="156" t="s">
        <v>735</v>
      </c>
      <c r="F3676" s="12">
        <v>43466</v>
      </c>
      <c r="G3676" s="12">
        <v>43646</v>
      </c>
      <c r="H3676" s="149" t="s">
        <v>826</v>
      </c>
      <c r="I3676" s="66">
        <v>32.99</v>
      </c>
      <c r="J3676" s="13">
        <v>2310.25</v>
      </c>
      <c r="K3676" s="119" t="s">
        <v>23</v>
      </c>
      <c r="L3676" s="119" t="s">
        <v>23</v>
      </c>
      <c r="M3676" s="153"/>
    </row>
    <row r="3677" spans="1:13" ht="15" customHeight="1" outlineLevel="1" x14ac:dyDescent="0.25">
      <c r="A3677" s="148"/>
      <c r="B3677" s="148"/>
      <c r="C3677" s="148"/>
      <c r="D3677" s="156"/>
      <c r="E3677" s="156"/>
      <c r="F3677" s="12">
        <v>43647</v>
      </c>
      <c r="G3677" s="12">
        <v>43830</v>
      </c>
      <c r="H3677" s="151"/>
      <c r="I3677" s="66">
        <v>37.114448142308703</v>
      </c>
      <c r="J3677" s="13">
        <v>2359.61</v>
      </c>
      <c r="K3677" s="119" t="s">
        <v>23</v>
      </c>
      <c r="L3677" s="119" t="s">
        <v>23</v>
      </c>
      <c r="M3677" s="152"/>
    </row>
    <row r="3678" spans="1:13" ht="15" customHeight="1" outlineLevel="1" x14ac:dyDescent="0.25">
      <c r="A3678" s="148"/>
      <c r="B3678" s="148"/>
      <c r="C3678" s="148"/>
      <c r="D3678" s="137">
        <f>D3660</f>
        <v>43454</v>
      </c>
      <c r="E3678" s="137" t="str">
        <f>E3660</f>
        <v>675-п</v>
      </c>
      <c r="F3678" s="50">
        <v>43466</v>
      </c>
      <c r="G3678" s="50">
        <v>43646</v>
      </c>
      <c r="H3678" s="149"/>
      <c r="I3678" s="119" t="s">
        <v>23</v>
      </c>
      <c r="J3678" s="119" t="s">
        <v>23</v>
      </c>
      <c r="K3678" s="13">
        <v>24.07</v>
      </c>
      <c r="L3678" s="13">
        <v>1787.4711864406781</v>
      </c>
      <c r="M3678" s="196" t="s">
        <v>420</v>
      </c>
    </row>
    <row r="3679" spans="1:13" ht="15" customHeight="1" outlineLevel="1" x14ac:dyDescent="0.25">
      <c r="A3679" s="148"/>
      <c r="B3679" s="148"/>
      <c r="C3679" s="148"/>
      <c r="D3679" s="138"/>
      <c r="E3679" s="138"/>
      <c r="F3679" s="50">
        <v>43647</v>
      </c>
      <c r="G3679" s="50">
        <v>43830</v>
      </c>
      <c r="H3679" s="150"/>
      <c r="I3679" s="119" t="s">
        <v>23</v>
      </c>
      <c r="J3679" s="119" t="s">
        <v>23</v>
      </c>
      <c r="K3679" s="13">
        <v>24.551400000000001</v>
      </c>
      <c r="L3679" s="13">
        <v>1823.2206101694917</v>
      </c>
      <c r="M3679" s="198"/>
    </row>
    <row r="3680" spans="1:13" ht="15" customHeight="1" outlineLevel="1" x14ac:dyDescent="0.25">
      <c r="A3680" s="148"/>
      <c r="B3680" s="148"/>
      <c r="C3680" s="148"/>
      <c r="D3680" s="138"/>
      <c r="E3680" s="138"/>
      <c r="F3680" s="50">
        <v>43466</v>
      </c>
      <c r="G3680" s="50">
        <v>43646</v>
      </c>
      <c r="H3680" s="150"/>
      <c r="I3680" s="119" t="s">
        <v>23</v>
      </c>
      <c r="J3680" s="119" t="s">
        <v>23</v>
      </c>
      <c r="K3680" s="13">
        <v>24.07</v>
      </c>
      <c r="L3680" s="13">
        <v>1957.7084745762711</v>
      </c>
      <c r="M3680" s="196" t="s">
        <v>421</v>
      </c>
    </row>
    <row r="3681" spans="1:13" ht="15" customHeight="1" outlineLevel="1" x14ac:dyDescent="0.25">
      <c r="A3681" s="148"/>
      <c r="B3681" s="148"/>
      <c r="C3681" s="148"/>
      <c r="D3681" s="138"/>
      <c r="E3681" s="138"/>
      <c r="F3681" s="50">
        <v>43647</v>
      </c>
      <c r="G3681" s="50">
        <v>43830</v>
      </c>
      <c r="H3681" s="150"/>
      <c r="I3681" s="119" t="s">
        <v>23</v>
      </c>
      <c r="J3681" s="119" t="s">
        <v>23</v>
      </c>
      <c r="K3681" s="13">
        <v>24.551400000000001</v>
      </c>
      <c r="L3681" s="13">
        <v>1996.8626440677965</v>
      </c>
      <c r="M3681" s="198"/>
    </row>
    <row r="3682" spans="1:13" ht="15" customHeight="1" outlineLevel="1" x14ac:dyDescent="0.25">
      <c r="A3682" s="148"/>
      <c r="B3682" s="148"/>
      <c r="C3682" s="148"/>
      <c r="D3682" s="138"/>
      <c r="E3682" s="138"/>
      <c r="F3682" s="50">
        <v>43466</v>
      </c>
      <c r="G3682" s="50">
        <v>43646</v>
      </c>
      <c r="H3682" s="150"/>
      <c r="I3682" s="119" t="s">
        <v>23</v>
      </c>
      <c r="J3682" s="119" t="s">
        <v>23</v>
      </c>
      <c r="K3682" s="13">
        <v>24.07</v>
      </c>
      <c r="L3682" s="13">
        <v>1666.6983050847459</v>
      </c>
      <c r="M3682" s="196" t="s">
        <v>422</v>
      </c>
    </row>
    <row r="3683" spans="1:13" ht="15" customHeight="1" outlineLevel="1" x14ac:dyDescent="0.25">
      <c r="A3683" s="148"/>
      <c r="B3683" s="148"/>
      <c r="C3683" s="148"/>
      <c r="D3683" s="138"/>
      <c r="E3683" s="138"/>
      <c r="F3683" s="50">
        <v>43647</v>
      </c>
      <c r="G3683" s="50">
        <v>43830</v>
      </c>
      <c r="H3683" s="150"/>
      <c r="I3683" s="119" t="s">
        <v>23</v>
      </c>
      <c r="J3683" s="119" t="s">
        <v>23</v>
      </c>
      <c r="K3683" s="13">
        <v>24.551400000000001</v>
      </c>
      <c r="L3683" s="13">
        <v>1700.0322711864408</v>
      </c>
      <c r="M3683" s="198"/>
    </row>
    <row r="3684" spans="1:13" ht="15" customHeight="1" outlineLevel="1" x14ac:dyDescent="0.25">
      <c r="A3684" s="148"/>
      <c r="B3684" s="148"/>
      <c r="C3684" s="148"/>
      <c r="D3684" s="138"/>
      <c r="E3684" s="138"/>
      <c r="F3684" s="50">
        <v>43466</v>
      </c>
      <c r="G3684" s="50">
        <v>43646</v>
      </c>
      <c r="H3684" s="150"/>
      <c r="I3684" s="119" t="s">
        <v>23</v>
      </c>
      <c r="J3684" s="119" t="s">
        <v>23</v>
      </c>
      <c r="K3684" s="13">
        <v>24.07</v>
      </c>
      <c r="L3684" s="13">
        <v>1787.4711864406781</v>
      </c>
      <c r="M3684" s="196" t="s">
        <v>423</v>
      </c>
    </row>
    <row r="3685" spans="1:13" ht="15" customHeight="1" outlineLevel="1" x14ac:dyDescent="0.25">
      <c r="A3685" s="148"/>
      <c r="B3685" s="148"/>
      <c r="C3685" s="148"/>
      <c r="D3685" s="138"/>
      <c r="E3685" s="138"/>
      <c r="F3685" s="50">
        <v>43647</v>
      </c>
      <c r="G3685" s="50">
        <v>43830</v>
      </c>
      <c r="H3685" s="150"/>
      <c r="I3685" s="119" t="s">
        <v>23</v>
      </c>
      <c r="J3685" s="119" t="s">
        <v>23</v>
      </c>
      <c r="K3685" s="13">
        <v>24.551400000000001</v>
      </c>
      <c r="L3685" s="13">
        <v>1823.2206101694917</v>
      </c>
      <c r="M3685" s="198"/>
    </row>
    <row r="3686" spans="1:13" ht="15" customHeight="1" outlineLevel="1" x14ac:dyDescent="0.25">
      <c r="A3686" s="148"/>
      <c r="B3686" s="148"/>
      <c r="C3686" s="148"/>
      <c r="D3686" s="138"/>
      <c r="E3686" s="138"/>
      <c r="F3686" s="50">
        <v>43466</v>
      </c>
      <c r="G3686" s="50">
        <v>43646</v>
      </c>
      <c r="H3686" s="150"/>
      <c r="I3686" s="119" t="s">
        <v>23</v>
      </c>
      <c r="J3686" s="119" t="s">
        <v>23</v>
      </c>
      <c r="K3686" s="13">
        <v>24.07</v>
      </c>
      <c r="L3686" s="13">
        <v>1868.7254237288137</v>
      </c>
      <c r="M3686" s="196" t="s">
        <v>424</v>
      </c>
    </row>
    <row r="3687" spans="1:13" ht="15" customHeight="1" outlineLevel="1" x14ac:dyDescent="0.25">
      <c r="A3687" s="148"/>
      <c r="B3687" s="148"/>
      <c r="C3687" s="148"/>
      <c r="D3687" s="138"/>
      <c r="E3687" s="138"/>
      <c r="F3687" s="50">
        <v>43647</v>
      </c>
      <c r="G3687" s="50">
        <v>43830</v>
      </c>
      <c r="H3687" s="150"/>
      <c r="I3687" s="119" t="s">
        <v>23</v>
      </c>
      <c r="J3687" s="119" t="s">
        <v>23</v>
      </c>
      <c r="K3687" s="13">
        <v>24.551400000000001</v>
      </c>
      <c r="L3687" s="13">
        <v>1906.0999322033899</v>
      </c>
      <c r="M3687" s="198"/>
    </row>
    <row r="3688" spans="1:13" ht="15" customHeight="1" outlineLevel="1" x14ac:dyDescent="0.25">
      <c r="A3688" s="148"/>
      <c r="B3688" s="148"/>
      <c r="C3688" s="148"/>
      <c r="D3688" s="138"/>
      <c r="E3688" s="138"/>
      <c r="F3688" s="50">
        <v>43466</v>
      </c>
      <c r="G3688" s="50">
        <v>43646</v>
      </c>
      <c r="H3688" s="150"/>
      <c r="I3688" s="119" t="s">
        <v>23</v>
      </c>
      <c r="J3688" s="119" t="s">
        <v>23</v>
      </c>
      <c r="K3688" s="13">
        <v>24.07</v>
      </c>
      <c r="L3688" s="13">
        <v>2021.898305084746</v>
      </c>
      <c r="M3688" s="196" t="s">
        <v>425</v>
      </c>
    </row>
    <row r="3689" spans="1:13" ht="15" customHeight="1" outlineLevel="1" x14ac:dyDescent="0.25">
      <c r="A3689" s="148"/>
      <c r="B3689" s="148"/>
      <c r="C3689" s="148"/>
      <c r="D3689" s="138"/>
      <c r="E3689" s="138"/>
      <c r="F3689" s="50">
        <v>43647</v>
      </c>
      <c r="G3689" s="50">
        <v>43830</v>
      </c>
      <c r="H3689" s="150"/>
      <c r="I3689" s="119" t="s">
        <v>23</v>
      </c>
      <c r="J3689" s="119" t="s">
        <v>23</v>
      </c>
      <c r="K3689" s="13">
        <v>24.551400000000001</v>
      </c>
      <c r="L3689" s="13">
        <v>2062.3362711864411</v>
      </c>
      <c r="M3689" s="198"/>
    </row>
    <row r="3690" spans="1:13" ht="15" customHeight="1" outlineLevel="1" x14ac:dyDescent="0.25">
      <c r="A3690" s="148"/>
      <c r="B3690" s="148"/>
      <c r="C3690" s="148"/>
      <c r="D3690" s="138"/>
      <c r="E3690" s="138"/>
      <c r="F3690" s="50">
        <v>43466</v>
      </c>
      <c r="G3690" s="50">
        <v>43646</v>
      </c>
      <c r="H3690" s="150"/>
      <c r="I3690" s="119" t="s">
        <v>23</v>
      </c>
      <c r="J3690" s="119" t="s">
        <v>23</v>
      </c>
      <c r="K3690" s="13">
        <v>24.07</v>
      </c>
      <c r="L3690" s="13">
        <v>1712.9898305084746</v>
      </c>
      <c r="M3690" s="196" t="s">
        <v>426</v>
      </c>
    </row>
    <row r="3691" spans="1:13" ht="15" customHeight="1" outlineLevel="1" x14ac:dyDescent="0.25">
      <c r="A3691" s="148"/>
      <c r="B3691" s="148"/>
      <c r="C3691" s="148"/>
      <c r="D3691" s="138"/>
      <c r="E3691" s="138"/>
      <c r="F3691" s="50">
        <v>43647</v>
      </c>
      <c r="G3691" s="50">
        <v>43830</v>
      </c>
      <c r="H3691" s="150"/>
      <c r="I3691" s="119" t="s">
        <v>23</v>
      </c>
      <c r="J3691" s="119" t="s">
        <v>23</v>
      </c>
      <c r="K3691" s="13">
        <v>24.551400000000001</v>
      </c>
      <c r="L3691" s="13">
        <v>1747.2496271186442</v>
      </c>
      <c r="M3691" s="198"/>
    </row>
    <row r="3692" spans="1:13" ht="15" customHeight="1" outlineLevel="1" x14ac:dyDescent="0.25">
      <c r="A3692" s="148"/>
      <c r="B3692" s="148"/>
      <c r="C3692" s="148"/>
      <c r="D3692" s="138"/>
      <c r="E3692" s="138"/>
      <c r="F3692" s="50">
        <v>43466</v>
      </c>
      <c r="G3692" s="50">
        <v>43646</v>
      </c>
      <c r="H3692" s="150"/>
      <c r="I3692" s="119" t="s">
        <v>23</v>
      </c>
      <c r="J3692" s="119" t="s">
        <v>23</v>
      </c>
      <c r="K3692" s="13">
        <v>24.07</v>
      </c>
      <c r="L3692" s="13">
        <v>1868.7254237288137</v>
      </c>
      <c r="M3692" s="196" t="s">
        <v>427</v>
      </c>
    </row>
    <row r="3693" spans="1:13" ht="15" customHeight="1" outlineLevel="1" x14ac:dyDescent="0.25">
      <c r="A3693" s="147"/>
      <c r="B3693" s="147"/>
      <c r="C3693" s="148"/>
      <c r="D3693" s="141"/>
      <c r="E3693" s="141"/>
      <c r="F3693" s="50">
        <v>43647</v>
      </c>
      <c r="G3693" s="50">
        <v>43830</v>
      </c>
      <c r="H3693" s="151"/>
      <c r="I3693" s="119" t="s">
        <v>23</v>
      </c>
      <c r="J3693" s="119" t="s">
        <v>23</v>
      </c>
      <c r="K3693" s="13">
        <v>24.551400000000001</v>
      </c>
      <c r="L3693" s="13">
        <v>1906.0999322033899</v>
      </c>
      <c r="M3693" s="198"/>
    </row>
    <row r="3694" spans="1:13" ht="15" customHeight="1" outlineLevel="1" x14ac:dyDescent="0.25">
      <c r="A3694" s="146" t="s">
        <v>59</v>
      </c>
      <c r="B3694" s="146" t="s">
        <v>133</v>
      </c>
      <c r="C3694" s="148"/>
      <c r="D3694" s="156">
        <v>43453</v>
      </c>
      <c r="E3694" s="156" t="s">
        <v>735</v>
      </c>
      <c r="F3694" s="12">
        <v>43466</v>
      </c>
      <c r="G3694" s="12">
        <v>43646</v>
      </c>
      <c r="H3694" s="149" t="s">
        <v>826</v>
      </c>
      <c r="I3694" s="66">
        <v>32.99</v>
      </c>
      <c r="J3694" s="13">
        <v>2310.25</v>
      </c>
      <c r="K3694" s="119" t="s">
        <v>23</v>
      </c>
      <c r="L3694" s="119" t="s">
        <v>23</v>
      </c>
      <c r="M3694" s="153"/>
    </row>
    <row r="3695" spans="1:13" ht="15" customHeight="1" outlineLevel="1" x14ac:dyDescent="0.25">
      <c r="A3695" s="148"/>
      <c r="B3695" s="148"/>
      <c r="C3695" s="148"/>
      <c r="D3695" s="156"/>
      <c r="E3695" s="156"/>
      <c r="F3695" s="12">
        <v>43647</v>
      </c>
      <c r="G3695" s="12">
        <v>43830</v>
      </c>
      <c r="H3695" s="151"/>
      <c r="I3695" s="66">
        <v>37.114448142308703</v>
      </c>
      <c r="J3695" s="13">
        <v>2359.61</v>
      </c>
      <c r="K3695" s="119" t="s">
        <v>23</v>
      </c>
      <c r="L3695" s="119" t="s">
        <v>23</v>
      </c>
      <c r="M3695" s="152"/>
    </row>
    <row r="3696" spans="1:13" ht="15" customHeight="1" outlineLevel="1" x14ac:dyDescent="0.25">
      <c r="A3696" s="148"/>
      <c r="B3696" s="148"/>
      <c r="C3696" s="148"/>
      <c r="D3696" s="137">
        <f>D3678</f>
        <v>43454</v>
      </c>
      <c r="E3696" s="137" t="str">
        <f>E3678</f>
        <v>675-п</v>
      </c>
      <c r="F3696" s="50">
        <v>43466</v>
      </c>
      <c r="G3696" s="50">
        <v>43646</v>
      </c>
      <c r="H3696" s="149"/>
      <c r="I3696" s="119" t="s">
        <v>23</v>
      </c>
      <c r="J3696" s="119" t="s">
        <v>23</v>
      </c>
      <c r="K3696" s="13">
        <v>24.07</v>
      </c>
      <c r="L3696" s="13">
        <v>1787.4711864406781</v>
      </c>
      <c r="M3696" s="196" t="s">
        <v>420</v>
      </c>
    </row>
    <row r="3697" spans="1:13" ht="15" customHeight="1" outlineLevel="1" x14ac:dyDescent="0.25">
      <c r="A3697" s="148"/>
      <c r="B3697" s="148"/>
      <c r="C3697" s="148"/>
      <c r="D3697" s="138"/>
      <c r="E3697" s="138"/>
      <c r="F3697" s="50">
        <v>43647</v>
      </c>
      <c r="G3697" s="50">
        <v>43830</v>
      </c>
      <c r="H3697" s="150"/>
      <c r="I3697" s="119" t="s">
        <v>23</v>
      </c>
      <c r="J3697" s="119" t="s">
        <v>23</v>
      </c>
      <c r="K3697" s="13">
        <v>24.551400000000001</v>
      </c>
      <c r="L3697" s="13">
        <v>1823.2206101694917</v>
      </c>
      <c r="M3697" s="198"/>
    </row>
    <row r="3698" spans="1:13" ht="15" customHeight="1" outlineLevel="1" x14ac:dyDescent="0.25">
      <c r="A3698" s="148"/>
      <c r="B3698" s="148"/>
      <c r="C3698" s="148"/>
      <c r="D3698" s="138"/>
      <c r="E3698" s="138"/>
      <c r="F3698" s="50">
        <v>43466</v>
      </c>
      <c r="G3698" s="50">
        <v>43646</v>
      </c>
      <c r="H3698" s="150"/>
      <c r="I3698" s="119" t="s">
        <v>23</v>
      </c>
      <c r="J3698" s="119" t="s">
        <v>23</v>
      </c>
      <c r="K3698" s="13">
        <v>24.07</v>
      </c>
      <c r="L3698" s="13">
        <v>1957.7084745762711</v>
      </c>
      <c r="M3698" s="196" t="s">
        <v>421</v>
      </c>
    </row>
    <row r="3699" spans="1:13" ht="15" customHeight="1" outlineLevel="1" x14ac:dyDescent="0.25">
      <c r="A3699" s="148"/>
      <c r="B3699" s="148"/>
      <c r="C3699" s="148"/>
      <c r="D3699" s="138"/>
      <c r="E3699" s="138"/>
      <c r="F3699" s="50">
        <v>43647</v>
      </c>
      <c r="G3699" s="50">
        <v>43830</v>
      </c>
      <c r="H3699" s="150"/>
      <c r="I3699" s="119" t="s">
        <v>23</v>
      </c>
      <c r="J3699" s="119" t="s">
        <v>23</v>
      </c>
      <c r="K3699" s="13">
        <v>24.551400000000001</v>
      </c>
      <c r="L3699" s="13">
        <v>1996.8626440677965</v>
      </c>
      <c r="M3699" s="198"/>
    </row>
    <row r="3700" spans="1:13" ht="15" customHeight="1" outlineLevel="1" x14ac:dyDescent="0.25">
      <c r="A3700" s="148"/>
      <c r="B3700" s="148"/>
      <c r="C3700" s="148"/>
      <c r="D3700" s="138"/>
      <c r="E3700" s="138"/>
      <c r="F3700" s="50">
        <v>43466</v>
      </c>
      <c r="G3700" s="50">
        <v>43646</v>
      </c>
      <c r="H3700" s="150"/>
      <c r="I3700" s="119" t="s">
        <v>23</v>
      </c>
      <c r="J3700" s="119" t="s">
        <v>23</v>
      </c>
      <c r="K3700" s="13">
        <v>24.07</v>
      </c>
      <c r="L3700" s="13">
        <v>1666.6983050847459</v>
      </c>
      <c r="M3700" s="196" t="s">
        <v>422</v>
      </c>
    </row>
    <row r="3701" spans="1:13" ht="15" customHeight="1" outlineLevel="1" x14ac:dyDescent="0.25">
      <c r="A3701" s="148"/>
      <c r="B3701" s="148"/>
      <c r="C3701" s="148"/>
      <c r="D3701" s="138"/>
      <c r="E3701" s="138"/>
      <c r="F3701" s="50">
        <v>43647</v>
      </c>
      <c r="G3701" s="50">
        <v>43830</v>
      </c>
      <c r="H3701" s="150"/>
      <c r="I3701" s="119" t="s">
        <v>23</v>
      </c>
      <c r="J3701" s="119" t="s">
        <v>23</v>
      </c>
      <c r="K3701" s="13">
        <v>24.551400000000001</v>
      </c>
      <c r="L3701" s="13">
        <v>1700.0322711864408</v>
      </c>
      <c r="M3701" s="198"/>
    </row>
    <row r="3702" spans="1:13" ht="15" customHeight="1" outlineLevel="1" x14ac:dyDescent="0.25">
      <c r="A3702" s="148"/>
      <c r="B3702" s="148"/>
      <c r="C3702" s="148"/>
      <c r="D3702" s="138"/>
      <c r="E3702" s="138"/>
      <c r="F3702" s="50">
        <v>43466</v>
      </c>
      <c r="G3702" s="50">
        <v>43646</v>
      </c>
      <c r="H3702" s="150"/>
      <c r="I3702" s="119" t="s">
        <v>23</v>
      </c>
      <c r="J3702" s="119" t="s">
        <v>23</v>
      </c>
      <c r="K3702" s="13">
        <v>24.07</v>
      </c>
      <c r="L3702" s="13">
        <v>1787.4711864406781</v>
      </c>
      <c r="M3702" s="196" t="s">
        <v>423</v>
      </c>
    </row>
    <row r="3703" spans="1:13" ht="15" customHeight="1" outlineLevel="1" x14ac:dyDescent="0.25">
      <c r="A3703" s="148"/>
      <c r="B3703" s="148"/>
      <c r="C3703" s="148"/>
      <c r="D3703" s="138"/>
      <c r="E3703" s="138"/>
      <c r="F3703" s="50">
        <v>43647</v>
      </c>
      <c r="G3703" s="50">
        <v>43830</v>
      </c>
      <c r="H3703" s="150"/>
      <c r="I3703" s="119" t="s">
        <v>23</v>
      </c>
      <c r="J3703" s="119" t="s">
        <v>23</v>
      </c>
      <c r="K3703" s="13">
        <v>24.551400000000001</v>
      </c>
      <c r="L3703" s="13">
        <v>1823.2206101694917</v>
      </c>
      <c r="M3703" s="198"/>
    </row>
    <row r="3704" spans="1:13" ht="15" customHeight="1" outlineLevel="1" x14ac:dyDescent="0.25">
      <c r="A3704" s="148"/>
      <c r="B3704" s="148"/>
      <c r="C3704" s="148"/>
      <c r="D3704" s="138"/>
      <c r="E3704" s="138"/>
      <c r="F3704" s="50">
        <v>43466</v>
      </c>
      <c r="G3704" s="50">
        <v>43646</v>
      </c>
      <c r="H3704" s="150"/>
      <c r="I3704" s="119" t="s">
        <v>23</v>
      </c>
      <c r="J3704" s="119" t="s">
        <v>23</v>
      </c>
      <c r="K3704" s="13">
        <v>24.07</v>
      </c>
      <c r="L3704" s="13">
        <v>1868.7254237288137</v>
      </c>
      <c r="M3704" s="196" t="s">
        <v>424</v>
      </c>
    </row>
    <row r="3705" spans="1:13" ht="15" customHeight="1" outlineLevel="1" x14ac:dyDescent="0.25">
      <c r="A3705" s="148"/>
      <c r="B3705" s="148"/>
      <c r="C3705" s="148"/>
      <c r="D3705" s="138"/>
      <c r="E3705" s="138"/>
      <c r="F3705" s="50">
        <v>43647</v>
      </c>
      <c r="G3705" s="50">
        <v>43830</v>
      </c>
      <c r="H3705" s="150"/>
      <c r="I3705" s="119" t="s">
        <v>23</v>
      </c>
      <c r="J3705" s="119" t="s">
        <v>23</v>
      </c>
      <c r="K3705" s="13">
        <v>24.551400000000001</v>
      </c>
      <c r="L3705" s="13">
        <v>1906.0999322033899</v>
      </c>
      <c r="M3705" s="198"/>
    </row>
    <row r="3706" spans="1:13" ht="15" customHeight="1" outlineLevel="1" x14ac:dyDescent="0.25">
      <c r="A3706" s="148"/>
      <c r="B3706" s="148"/>
      <c r="C3706" s="148"/>
      <c r="D3706" s="138"/>
      <c r="E3706" s="138"/>
      <c r="F3706" s="50">
        <v>43466</v>
      </c>
      <c r="G3706" s="50">
        <v>43646</v>
      </c>
      <c r="H3706" s="150"/>
      <c r="I3706" s="119" t="s">
        <v>23</v>
      </c>
      <c r="J3706" s="119" t="s">
        <v>23</v>
      </c>
      <c r="K3706" s="13">
        <v>24.07</v>
      </c>
      <c r="L3706" s="13">
        <v>2021.898305084746</v>
      </c>
      <c r="M3706" s="196" t="s">
        <v>425</v>
      </c>
    </row>
    <row r="3707" spans="1:13" ht="15" customHeight="1" outlineLevel="1" x14ac:dyDescent="0.25">
      <c r="A3707" s="148"/>
      <c r="B3707" s="148"/>
      <c r="C3707" s="148"/>
      <c r="D3707" s="138"/>
      <c r="E3707" s="138"/>
      <c r="F3707" s="50">
        <v>43647</v>
      </c>
      <c r="G3707" s="50">
        <v>43830</v>
      </c>
      <c r="H3707" s="150"/>
      <c r="I3707" s="119" t="s">
        <v>23</v>
      </c>
      <c r="J3707" s="119" t="s">
        <v>23</v>
      </c>
      <c r="K3707" s="13">
        <v>24.551400000000001</v>
      </c>
      <c r="L3707" s="13">
        <v>2062.3362711864411</v>
      </c>
      <c r="M3707" s="198"/>
    </row>
    <row r="3708" spans="1:13" ht="15" customHeight="1" outlineLevel="1" x14ac:dyDescent="0.25">
      <c r="A3708" s="148"/>
      <c r="B3708" s="148"/>
      <c r="C3708" s="148"/>
      <c r="D3708" s="138"/>
      <c r="E3708" s="138"/>
      <c r="F3708" s="50">
        <v>43466</v>
      </c>
      <c r="G3708" s="50">
        <v>43646</v>
      </c>
      <c r="H3708" s="150"/>
      <c r="I3708" s="119" t="s">
        <v>23</v>
      </c>
      <c r="J3708" s="119" t="s">
        <v>23</v>
      </c>
      <c r="K3708" s="13">
        <v>24.07</v>
      </c>
      <c r="L3708" s="13">
        <v>1712.9898305084746</v>
      </c>
      <c r="M3708" s="196" t="s">
        <v>426</v>
      </c>
    </row>
    <row r="3709" spans="1:13" ht="15" customHeight="1" outlineLevel="1" x14ac:dyDescent="0.25">
      <c r="A3709" s="148"/>
      <c r="B3709" s="148"/>
      <c r="C3709" s="148"/>
      <c r="D3709" s="138"/>
      <c r="E3709" s="138"/>
      <c r="F3709" s="50">
        <v>43647</v>
      </c>
      <c r="G3709" s="50">
        <v>43830</v>
      </c>
      <c r="H3709" s="150"/>
      <c r="I3709" s="119" t="s">
        <v>23</v>
      </c>
      <c r="J3709" s="119" t="s">
        <v>23</v>
      </c>
      <c r="K3709" s="13">
        <v>24.551400000000001</v>
      </c>
      <c r="L3709" s="13">
        <v>1747.2496271186442</v>
      </c>
      <c r="M3709" s="198"/>
    </row>
    <row r="3710" spans="1:13" ht="15" customHeight="1" outlineLevel="1" x14ac:dyDescent="0.25">
      <c r="A3710" s="148"/>
      <c r="B3710" s="148"/>
      <c r="C3710" s="148"/>
      <c r="D3710" s="138"/>
      <c r="E3710" s="138"/>
      <c r="F3710" s="50">
        <v>43466</v>
      </c>
      <c r="G3710" s="50">
        <v>43646</v>
      </c>
      <c r="H3710" s="150"/>
      <c r="I3710" s="119" t="s">
        <v>23</v>
      </c>
      <c r="J3710" s="119" t="s">
        <v>23</v>
      </c>
      <c r="K3710" s="13">
        <v>24.07</v>
      </c>
      <c r="L3710" s="13">
        <v>1868.7254237288137</v>
      </c>
      <c r="M3710" s="196" t="s">
        <v>427</v>
      </c>
    </row>
    <row r="3711" spans="1:13" ht="15" customHeight="1" outlineLevel="1" x14ac:dyDescent="0.25">
      <c r="A3711" s="147"/>
      <c r="B3711" s="147"/>
      <c r="C3711" s="148"/>
      <c r="D3711" s="141"/>
      <c r="E3711" s="141"/>
      <c r="F3711" s="50">
        <v>43647</v>
      </c>
      <c r="G3711" s="50">
        <v>43830</v>
      </c>
      <c r="H3711" s="151"/>
      <c r="I3711" s="119" t="s">
        <v>23</v>
      </c>
      <c r="J3711" s="119" t="s">
        <v>23</v>
      </c>
      <c r="K3711" s="13">
        <v>24.551400000000001</v>
      </c>
      <c r="L3711" s="13">
        <v>1906.0999322033899</v>
      </c>
      <c r="M3711" s="198"/>
    </row>
    <row r="3712" spans="1:13" ht="15" customHeight="1" outlineLevel="1" x14ac:dyDescent="0.25">
      <c r="A3712" s="146" t="s">
        <v>59</v>
      </c>
      <c r="B3712" s="146" t="s">
        <v>134</v>
      </c>
      <c r="C3712" s="148"/>
      <c r="D3712" s="156">
        <v>43453</v>
      </c>
      <c r="E3712" s="156" t="s">
        <v>735</v>
      </c>
      <c r="F3712" s="12">
        <v>43466</v>
      </c>
      <c r="G3712" s="12">
        <v>43646</v>
      </c>
      <c r="H3712" s="149" t="s">
        <v>826</v>
      </c>
      <c r="I3712" s="66">
        <v>32.99</v>
      </c>
      <c r="J3712" s="13">
        <v>2310.25</v>
      </c>
      <c r="K3712" s="119" t="s">
        <v>23</v>
      </c>
      <c r="L3712" s="119" t="s">
        <v>23</v>
      </c>
      <c r="M3712" s="153"/>
    </row>
    <row r="3713" spans="1:13" ht="15" customHeight="1" outlineLevel="1" x14ac:dyDescent="0.25">
      <c r="A3713" s="148"/>
      <c r="B3713" s="148"/>
      <c r="C3713" s="148"/>
      <c r="D3713" s="156"/>
      <c r="E3713" s="156"/>
      <c r="F3713" s="12">
        <v>43647</v>
      </c>
      <c r="G3713" s="12">
        <v>43830</v>
      </c>
      <c r="H3713" s="151"/>
      <c r="I3713" s="66">
        <v>37.114448142308703</v>
      </c>
      <c r="J3713" s="13">
        <v>2359.61</v>
      </c>
      <c r="K3713" s="119" t="s">
        <v>23</v>
      </c>
      <c r="L3713" s="119" t="s">
        <v>23</v>
      </c>
      <c r="M3713" s="152"/>
    </row>
    <row r="3714" spans="1:13" ht="15" customHeight="1" outlineLevel="1" x14ac:dyDescent="0.25">
      <c r="A3714" s="148"/>
      <c r="B3714" s="148"/>
      <c r="C3714" s="148"/>
      <c r="D3714" s="137">
        <f>D3696</f>
        <v>43454</v>
      </c>
      <c r="E3714" s="137" t="str">
        <f>E3696</f>
        <v>675-п</v>
      </c>
      <c r="F3714" s="50">
        <v>43466</v>
      </c>
      <c r="G3714" s="50">
        <v>43646</v>
      </c>
      <c r="H3714" s="149"/>
      <c r="I3714" s="119" t="s">
        <v>23</v>
      </c>
      <c r="J3714" s="119" t="s">
        <v>23</v>
      </c>
      <c r="K3714" s="13">
        <v>24.07</v>
      </c>
      <c r="L3714" s="13">
        <v>1787.4711864406781</v>
      </c>
      <c r="M3714" s="196" t="s">
        <v>420</v>
      </c>
    </row>
    <row r="3715" spans="1:13" ht="15" customHeight="1" outlineLevel="1" x14ac:dyDescent="0.25">
      <c r="A3715" s="148"/>
      <c r="B3715" s="148"/>
      <c r="C3715" s="148"/>
      <c r="D3715" s="138"/>
      <c r="E3715" s="138"/>
      <c r="F3715" s="50">
        <v>43647</v>
      </c>
      <c r="G3715" s="50">
        <v>43830</v>
      </c>
      <c r="H3715" s="150"/>
      <c r="I3715" s="119" t="s">
        <v>23</v>
      </c>
      <c r="J3715" s="119" t="s">
        <v>23</v>
      </c>
      <c r="K3715" s="13">
        <v>24.551400000000001</v>
      </c>
      <c r="L3715" s="13">
        <v>1823.2206101694917</v>
      </c>
      <c r="M3715" s="198"/>
    </row>
    <row r="3716" spans="1:13" ht="15" customHeight="1" outlineLevel="1" x14ac:dyDescent="0.25">
      <c r="A3716" s="148"/>
      <c r="B3716" s="148"/>
      <c r="C3716" s="148"/>
      <c r="D3716" s="138"/>
      <c r="E3716" s="138"/>
      <c r="F3716" s="50">
        <v>43466</v>
      </c>
      <c r="G3716" s="50">
        <v>43646</v>
      </c>
      <c r="H3716" s="150"/>
      <c r="I3716" s="119" t="s">
        <v>23</v>
      </c>
      <c r="J3716" s="119" t="s">
        <v>23</v>
      </c>
      <c r="K3716" s="13">
        <v>24.07</v>
      </c>
      <c r="L3716" s="13">
        <v>1957.7084745762711</v>
      </c>
      <c r="M3716" s="196" t="s">
        <v>421</v>
      </c>
    </row>
    <row r="3717" spans="1:13" ht="15" customHeight="1" outlineLevel="1" x14ac:dyDescent="0.25">
      <c r="A3717" s="148"/>
      <c r="B3717" s="148"/>
      <c r="C3717" s="148"/>
      <c r="D3717" s="138"/>
      <c r="E3717" s="138"/>
      <c r="F3717" s="50">
        <v>43647</v>
      </c>
      <c r="G3717" s="50">
        <v>43830</v>
      </c>
      <c r="H3717" s="150"/>
      <c r="I3717" s="119" t="s">
        <v>23</v>
      </c>
      <c r="J3717" s="119" t="s">
        <v>23</v>
      </c>
      <c r="K3717" s="13">
        <v>24.551400000000001</v>
      </c>
      <c r="L3717" s="13">
        <v>1996.8626440677965</v>
      </c>
      <c r="M3717" s="198"/>
    </row>
    <row r="3718" spans="1:13" ht="15" customHeight="1" outlineLevel="1" x14ac:dyDescent="0.25">
      <c r="A3718" s="148"/>
      <c r="B3718" s="148"/>
      <c r="C3718" s="148"/>
      <c r="D3718" s="138"/>
      <c r="E3718" s="138"/>
      <c r="F3718" s="50">
        <v>43466</v>
      </c>
      <c r="G3718" s="50">
        <v>43646</v>
      </c>
      <c r="H3718" s="150"/>
      <c r="I3718" s="119" t="s">
        <v>23</v>
      </c>
      <c r="J3718" s="119" t="s">
        <v>23</v>
      </c>
      <c r="K3718" s="13">
        <v>24.07</v>
      </c>
      <c r="L3718" s="13">
        <v>1666.6983050847459</v>
      </c>
      <c r="M3718" s="196" t="s">
        <v>422</v>
      </c>
    </row>
    <row r="3719" spans="1:13" ht="15" customHeight="1" outlineLevel="1" x14ac:dyDescent="0.25">
      <c r="A3719" s="148"/>
      <c r="B3719" s="148"/>
      <c r="C3719" s="148"/>
      <c r="D3719" s="138"/>
      <c r="E3719" s="138"/>
      <c r="F3719" s="50">
        <v>43647</v>
      </c>
      <c r="G3719" s="50">
        <v>43830</v>
      </c>
      <c r="H3719" s="150"/>
      <c r="I3719" s="119" t="s">
        <v>23</v>
      </c>
      <c r="J3719" s="119" t="s">
        <v>23</v>
      </c>
      <c r="K3719" s="13">
        <v>24.551400000000001</v>
      </c>
      <c r="L3719" s="13">
        <v>1700.0322711864408</v>
      </c>
      <c r="M3719" s="198"/>
    </row>
    <row r="3720" spans="1:13" ht="15" customHeight="1" outlineLevel="1" x14ac:dyDescent="0.25">
      <c r="A3720" s="148"/>
      <c r="B3720" s="148"/>
      <c r="C3720" s="148"/>
      <c r="D3720" s="138"/>
      <c r="E3720" s="138"/>
      <c r="F3720" s="50">
        <v>43466</v>
      </c>
      <c r="G3720" s="50">
        <v>43646</v>
      </c>
      <c r="H3720" s="150"/>
      <c r="I3720" s="119" t="s">
        <v>23</v>
      </c>
      <c r="J3720" s="119" t="s">
        <v>23</v>
      </c>
      <c r="K3720" s="13">
        <v>24.07</v>
      </c>
      <c r="L3720" s="13">
        <v>1787.4711864406781</v>
      </c>
      <c r="M3720" s="196" t="s">
        <v>423</v>
      </c>
    </row>
    <row r="3721" spans="1:13" ht="15" customHeight="1" outlineLevel="1" x14ac:dyDescent="0.25">
      <c r="A3721" s="148"/>
      <c r="B3721" s="148"/>
      <c r="C3721" s="148"/>
      <c r="D3721" s="138"/>
      <c r="E3721" s="138"/>
      <c r="F3721" s="50">
        <v>43647</v>
      </c>
      <c r="G3721" s="50">
        <v>43830</v>
      </c>
      <c r="H3721" s="150"/>
      <c r="I3721" s="119" t="s">
        <v>23</v>
      </c>
      <c r="J3721" s="119" t="s">
        <v>23</v>
      </c>
      <c r="K3721" s="13">
        <v>24.551400000000001</v>
      </c>
      <c r="L3721" s="13">
        <v>1823.2206101694917</v>
      </c>
      <c r="M3721" s="198"/>
    </row>
    <row r="3722" spans="1:13" ht="15" customHeight="1" outlineLevel="1" x14ac:dyDescent="0.25">
      <c r="A3722" s="148"/>
      <c r="B3722" s="148"/>
      <c r="C3722" s="148"/>
      <c r="D3722" s="138"/>
      <c r="E3722" s="138"/>
      <c r="F3722" s="50">
        <v>43466</v>
      </c>
      <c r="G3722" s="50">
        <v>43646</v>
      </c>
      <c r="H3722" s="150"/>
      <c r="I3722" s="119" t="s">
        <v>23</v>
      </c>
      <c r="J3722" s="119" t="s">
        <v>23</v>
      </c>
      <c r="K3722" s="13">
        <v>24.07</v>
      </c>
      <c r="L3722" s="13">
        <v>1868.7254237288137</v>
      </c>
      <c r="M3722" s="196" t="s">
        <v>424</v>
      </c>
    </row>
    <row r="3723" spans="1:13" ht="15" customHeight="1" outlineLevel="1" x14ac:dyDescent="0.25">
      <c r="A3723" s="148"/>
      <c r="B3723" s="148"/>
      <c r="C3723" s="148"/>
      <c r="D3723" s="138"/>
      <c r="E3723" s="138"/>
      <c r="F3723" s="50">
        <v>43647</v>
      </c>
      <c r="G3723" s="50">
        <v>43830</v>
      </c>
      <c r="H3723" s="150"/>
      <c r="I3723" s="119" t="s">
        <v>23</v>
      </c>
      <c r="J3723" s="119" t="s">
        <v>23</v>
      </c>
      <c r="K3723" s="13">
        <v>24.551400000000001</v>
      </c>
      <c r="L3723" s="13">
        <v>1906.0999322033899</v>
      </c>
      <c r="M3723" s="198"/>
    </row>
    <row r="3724" spans="1:13" ht="15" customHeight="1" outlineLevel="1" x14ac:dyDescent="0.25">
      <c r="A3724" s="148"/>
      <c r="B3724" s="148"/>
      <c r="C3724" s="148"/>
      <c r="D3724" s="138"/>
      <c r="E3724" s="138"/>
      <c r="F3724" s="50">
        <v>43466</v>
      </c>
      <c r="G3724" s="50">
        <v>43646</v>
      </c>
      <c r="H3724" s="150"/>
      <c r="I3724" s="119" t="s">
        <v>23</v>
      </c>
      <c r="J3724" s="119" t="s">
        <v>23</v>
      </c>
      <c r="K3724" s="13">
        <v>24.07</v>
      </c>
      <c r="L3724" s="13">
        <v>2021.898305084746</v>
      </c>
      <c r="M3724" s="196" t="s">
        <v>425</v>
      </c>
    </row>
    <row r="3725" spans="1:13" ht="15" customHeight="1" outlineLevel="1" x14ac:dyDescent="0.25">
      <c r="A3725" s="148"/>
      <c r="B3725" s="148"/>
      <c r="C3725" s="148"/>
      <c r="D3725" s="138"/>
      <c r="E3725" s="138"/>
      <c r="F3725" s="50">
        <v>43647</v>
      </c>
      <c r="G3725" s="50">
        <v>43830</v>
      </c>
      <c r="H3725" s="150"/>
      <c r="I3725" s="119" t="s">
        <v>23</v>
      </c>
      <c r="J3725" s="119" t="s">
        <v>23</v>
      </c>
      <c r="K3725" s="13">
        <v>24.551400000000001</v>
      </c>
      <c r="L3725" s="13">
        <v>2062.3362711864411</v>
      </c>
      <c r="M3725" s="198"/>
    </row>
    <row r="3726" spans="1:13" ht="15" customHeight="1" outlineLevel="1" x14ac:dyDescent="0.25">
      <c r="A3726" s="148"/>
      <c r="B3726" s="148"/>
      <c r="C3726" s="148"/>
      <c r="D3726" s="138"/>
      <c r="E3726" s="138"/>
      <c r="F3726" s="50">
        <v>43466</v>
      </c>
      <c r="G3726" s="50">
        <v>43646</v>
      </c>
      <c r="H3726" s="150"/>
      <c r="I3726" s="119" t="s">
        <v>23</v>
      </c>
      <c r="J3726" s="119" t="s">
        <v>23</v>
      </c>
      <c r="K3726" s="13">
        <v>24.07</v>
      </c>
      <c r="L3726" s="13">
        <v>1712.9898305084746</v>
      </c>
      <c r="M3726" s="196" t="s">
        <v>426</v>
      </c>
    </row>
    <row r="3727" spans="1:13" ht="15" customHeight="1" outlineLevel="1" x14ac:dyDescent="0.25">
      <c r="A3727" s="148"/>
      <c r="B3727" s="148"/>
      <c r="C3727" s="148"/>
      <c r="D3727" s="138"/>
      <c r="E3727" s="138"/>
      <c r="F3727" s="50">
        <v>43647</v>
      </c>
      <c r="G3727" s="50">
        <v>43830</v>
      </c>
      <c r="H3727" s="150"/>
      <c r="I3727" s="119" t="s">
        <v>23</v>
      </c>
      <c r="J3727" s="119" t="s">
        <v>23</v>
      </c>
      <c r="K3727" s="13">
        <v>24.551400000000001</v>
      </c>
      <c r="L3727" s="13">
        <v>1747.2496271186442</v>
      </c>
      <c r="M3727" s="198"/>
    </row>
    <row r="3728" spans="1:13" ht="15" customHeight="1" outlineLevel="1" x14ac:dyDescent="0.25">
      <c r="A3728" s="148"/>
      <c r="B3728" s="148"/>
      <c r="C3728" s="148"/>
      <c r="D3728" s="138"/>
      <c r="E3728" s="138"/>
      <c r="F3728" s="50">
        <v>43466</v>
      </c>
      <c r="G3728" s="50">
        <v>43646</v>
      </c>
      <c r="H3728" s="150"/>
      <c r="I3728" s="119" t="s">
        <v>23</v>
      </c>
      <c r="J3728" s="119" t="s">
        <v>23</v>
      </c>
      <c r="K3728" s="13">
        <v>24.07</v>
      </c>
      <c r="L3728" s="13">
        <v>1868.7254237288137</v>
      </c>
      <c r="M3728" s="196" t="s">
        <v>427</v>
      </c>
    </row>
    <row r="3729" spans="1:13" ht="15" customHeight="1" outlineLevel="1" x14ac:dyDescent="0.25">
      <c r="A3729" s="147"/>
      <c r="B3729" s="147"/>
      <c r="C3729" s="148"/>
      <c r="D3729" s="141"/>
      <c r="E3729" s="141"/>
      <c r="F3729" s="50">
        <v>43647</v>
      </c>
      <c r="G3729" s="50">
        <v>43830</v>
      </c>
      <c r="H3729" s="151"/>
      <c r="I3729" s="119" t="s">
        <v>23</v>
      </c>
      <c r="J3729" s="119" t="s">
        <v>23</v>
      </c>
      <c r="K3729" s="13">
        <v>24.551400000000001</v>
      </c>
      <c r="L3729" s="13">
        <v>1906.0999322033899</v>
      </c>
      <c r="M3729" s="198"/>
    </row>
    <row r="3730" spans="1:13" ht="15" customHeight="1" outlineLevel="1" x14ac:dyDescent="0.25">
      <c r="A3730" s="146" t="s">
        <v>59</v>
      </c>
      <c r="B3730" s="146" t="s">
        <v>124</v>
      </c>
      <c r="C3730" s="148"/>
      <c r="D3730" s="156">
        <v>43453</v>
      </c>
      <c r="E3730" s="156" t="s">
        <v>735</v>
      </c>
      <c r="F3730" s="12">
        <v>43466</v>
      </c>
      <c r="G3730" s="12">
        <v>43646</v>
      </c>
      <c r="H3730" s="149" t="s">
        <v>826</v>
      </c>
      <c r="I3730" s="66">
        <v>32.99</v>
      </c>
      <c r="J3730" s="13">
        <v>2310.25</v>
      </c>
      <c r="K3730" s="119" t="s">
        <v>23</v>
      </c>
      <c r="L3730" s="119" t="s">
        <v>23</v>
      </c>
      <c r="M3730" s="153"/>
    </row>
    <row r="3731" spans="1:13" ht="15" customHeight="1" outlineLevel="1" x14ac:dyDescent="0.25">
      <c r="A3731" s="148"/>
      <c r="B3731" s="148"/>
      <c r="C3731" s="148"/>
      <c r="D3731" s="156"/>
      <c r="E3731" s="156"/>
      <c r="F3731" s="12">
        <v>43647</v>
      </c>
      <c r="G3731" s="12">
        <v>43830</v>
      </c>
      <c r="H3731" s="151"/>
      <c r="I3731" s="66">
        <v>37.114448142308703</v>
      </c>
      <c r="J3731" s="13">
        <v>2359.61</v>
      </c>
      <c r="K3731" s="119" t="s">
        <v>23</v>
      </c>
      <c r="L3731" s="119" t="s">
        <v>23</v>
      </c>
      <c r="M3731" s="152"/>
    </row>
    <row r="3732" spans="1:13" ht="15" customHeight="1" outlineLevel="1" x14ac:dyDescent="0.25">
      <c r="A3732" s="148"/>
      <c r="B3732" s="148"/>
      <c r="C3732" s="148"/>
      <c r="D3732" s="137">
        <f>D3714</f>
        <v>43454</v>
      </c>
      <c r="E3732" s="137" t="str">
        <f>E3714</f>
        <v>675-п</v>
      </c>
      <c r="F3732" s="50">
        <v>43466</v>
      </c>
      <c r="G3732" s="50">
        <v>43646</v>
      </c>
      <c r="H3732" s="149"/>
      <c r="I3732" s="119" t="s">
        <v>23</v>
      </c>
      <c r="J3732" s="119" t="s">
        <v>23</v>
      </c>
      <c r="K3732" s="13">
        <v>24.07</v>
      </c>
      <c r="L3732" s="13">
        <v>1787.4711864406781</v>
      </c>
      <c r="M3732" s="196" t="s">
        <v>420</v>
      </c>
    </row>
    <row r="3733" spans="1:13" ht="15" customHeight="1" outlineLevel="1" x14ac:dyDescent="0.25">
      <c r="A3733" s="148"/>
      <c r="B3733" s="148"/>
      <c r="C3733" s="148"/>
      <c r="D3733" s="138"/>
      <c r="E3733" s="138"/>
      <c r="F3733" s="50">
        <v>43647</v>
      </c>
      <c r="G3733" s="50">
        <v>43830</v>
      </c>
      <c r="H3733" s="150"/>
      <c r="I3733" s="119" t="s">
        <v>23</v>
      </c>
      <c r="J3733" s="119" t="s">
        <v>23</v>
      </c>
      <c r="K3733" s="13">
        <v>24.551400000000001</v>
      </c>
      <c r="L3733" s="13">
        <v>1823.2206101694917</v>
      </c>
      <c r="M3733" s="198"/>
    </row>
    <row r="3734" spans="1:13" ht="15" customHeight="1" outlineLevel="1" x14ac:dyDescent="0.25">
      <c r="A3734" s="148"/>
      <c r="B3734" s="148"/>
      <c r="C3734" s="148"/>
      <c r="D3734" s="138"/>
      <c r="E3734" s="138"/>
      <c r="F3734" s="50">
        <v>43466</v>
      </c>
      <c r="G3734" s="50">
        <v>43646</v>
      </c>
      <c r="H3734" s="150"/>
      <c r="I3734" s="119" t="s">
        <v>23</v>
      </c>
      <c r="J3734" s="119" t="s">
        <v>23</v>
      </c>
      <c r="K3734" s="13">
        <v>24.07</v>
      </c>
      <c r="L3734" s="13">
        <v>1957.7084745762711</v>
      </c>
      <c r="M3734" s="196" t="s">
        <v>421</v>
      </c>
    </row>
    <row r="3735" spans="1:13" ht="15" customHeight="1" outlineLevel="1" x14ac:dyDescent="0.25">
      <c r="A3735" s="148"/>
      <c r="B3735" s="148"/>
      <c r="C3735" s="148"/>
      <c r="D3735" s="138"/>
      <c r="E3735" s="138"/>
      <c r="F3735" s="50">
        <v>43647</v>
      </c>
      <c r="G3735" s="50">
        <v>43830</v>
      </c>
      <c r="H3735" s="150"/>
      <c r="I3735" s="119" t="s">
        <v>23</v>
      </c>
      <c r="J3735" s="119" t="s">
        <v>23</v>
      </c>
      <c r="K3735" s="13">
        <v>24.551400000000001</v>
      </c>
      <c r="L3735" s="13">
        <v>1996.8626440677965</v>
      </c>
      <c r="M3735" s="198"/>
    </row>
    <row r="3736" spans="1:13" ht="15" customHeight="1" outlineLevel="1" x14ac:dyDescent="0.25">
      <c r="A3736" s="148"/>
      <c r="B3736" s="148"/>
      <c r="C3736" s="148"/>
      <c r="D3736" s="138"/>
      <c r="E3736" s="138"/>
      <c r="F3736" s="50">
        <v>43466</v>
      </c>
      <c r="G3736" s="50">
        <v>43646</v>
      </c>
      <c r="H3736" s="150"/>
      <c r="I3736" s="119" t="s">
        <v>23</v>
      </c>
      <c r="J3736" s="119" t="s">
        <v>23</v>
      </c>
      <c r="K3736" s="13">
        <v>24.07</v>
      </c>
      <c r="L3736" s="13">
        <v>1666.6983050847459</v>
      </c>
      <c r="M3736" s="196" t="s">
        <v>422</v>
      </c>
    </row>
    <row r="3737" spans="1:13" ht="15" customHeight="1" outlineLevel="1" x14ac:dyDescent="0.25">
      <c r="A3737" s="148"/>
      <c r="B3737" s="148"/>
      <c r="C3737" s="148"/>
      <c r="D3737" s="138"/>
      <c r="E3737" s="138"/>
      <c r="F3737" s="50">
        <v>43647</v>
      </c>
      <c r="G3737" s="50">
        <v>43830</v>
      </c>
      <c r="H3737" s="150"/>
      <c r="I3737" s="119" t="s">
        <v>23</v>
      </c>
      <c r="J3737" s="119" t="s">
        <v>23</v>
      </c>
      <c r="K3737" s="13">
        <v>24.551400000000001</v>
      </c>
      <c r="L3737" s="13">
        <v>1700.0322711864408</v>
      </c>
      <c r="M3737" s="198"/>
    </row>
    <row r="3738" spans="1:13" ht="15" customHeight="1" outlineLevel="1" x14ac:dyDescent="0.25">
      <c r="A3738" s="148"/>
      <c r="B3738" s="148"/>
      <c r="C3738" s="148"/>
      <c r="D3738" s="138"/>
      <c r="E3738" s="138"/>
      <c r="F3738" s="50">
        <v>43466</v>
      </c>
      <c r="G3738" s="50">
        <v>43646</v>
      </c>
      <c r="H3738" s="150"/>
      <c r="I3738" s="119" t="s">
        <v>23</v>
      </c>
      <c r="J3738" s="119" t="s">
        <v>23</v>
      </c>
      <c r="K3738" s="13">
        <v>24.07</v>
      </c>
      <c r="L3738" s="13">
        <v>1787.4711864406781</v>
      </c>
      <c r="M3738" s="196" t="s">
        <v>423</v>
      </c>
    </row>
    <row r="3739" spans="1:13" ht="15" customHeight="1" outlineLevel="1" x14ac:dyDescent="0.25">
      <c r="A3739" s="148"/>
      <c r="B3739" s="148"/>
      <c r="C3739" s="148"/>
      <c r="D3739" s="138"/>
      <c r="E3739" s="138"/>
      <c r="F3739" s="50">
        <v>43647</v>
      </c>
      <c r="G3739" s="50">
        <v>43830</v>
      </c>
      <c r="H3739" s="150"/>
      <c r="I3739" s="119" t="s">
        <v>23</v>
      </c>
      <c r="J3739" s="119" t="s">
        <v>23</v>
      </c>
      <c r="K3739" s="13">
        <v>24.551400000000001</v>
      </c>
      <c r="L3739" s="13">
        <v>1823.2206101694917</v>
      </c>
      <c r="M3739" s="198"/>
    </row>
    <row r="3740" spans="1:13" ht="15" customHeight="1" outlineLevel="1" x14ac:dyDescent="0.25">
      <c r="A3740" s="148"/>
      <c r="B3740" s="148"/>
      <c r="C3740" s="148"/>
      <c r="D3740" s="138"/>
      <c r="E3740" s="138"/>
      <c r="F3740" s="50">
        <v>43466</v>
      </c>
      <c r="G3740" s="50">
        <v>43646</v>
      </c>
      <c r="H3740" s="150"/>
      <c r="I3740" s="119" t="s">
        <v>23</v>
      </c>
      <c r="J3740" s="119" t="s">
        <v>23</v>
      </c>
      <c r="K3740" s="13">
        <v>24.07</v>
      </c>
      <c r="L3740" s="13">
        <v>1868.7254237288137</v>
      </c>
      <c r="M3740" s="196" t="s">
        <v>424</v>
      </c>
    </row>
    <row r="3741" spans="1:13" ht="15" customHeight="1" outlineLevel="1" x14ac:dyDescent="0.25">
      <c r="A3741" s="148"/>
      <c r="B3741" s="148"/>
      <c r="C3741" s="148"/>
      <c r="D3741" s="138"/>
      <c r="E3741" s="138"/>
      <c r="F3741" s="50">
        <v>43647</v>
      </c>
      <c r="G3741" s="50">
        <v>43830</v>
      </c>
      <c r="H3741" s="150"/>
      <c r="I3741" s="119" t="s">
        <v>23</v>
      </c>
      <c r="J3741" s="119" t="s">
        <v>23</v>
      </c>
      <c r="K3741" s="13">
        <v>24.551400000000001</v>
      </c>
      <c r="L3741" s="13">
        <v>1906.0999322033899</v>
      </c>
      <c r="M3741" s="198"/>
    </row>
    <row r="3742" spans="1:13" ht="15" customHeight="1" outlineLevel="1" x14ac:dyDescent="0.25">
      <c r="A3742" s="148"/>
      <c r="B3742" s="148"/>
      <c r="C3742" s="148"/>
      <c r="D3742" s="138"/>
      <c r="E3742" s="138"/>
      <c r="F3742" s="50">
        <v>43466</v>
      </c>
      <c r="G3742" s="50">
        <v>43646</v>
      </c>
      <c r="H3742" s="150"/>
      <c r="I3742" s="119" t="s">
        <v>23</v>
      </c>
      <c r="J3742" s="119" t="s">
        <v>23</v>
      </c>
      <c r="K3742" s="13">
        <v>24.07</v>
      </c>
      <c r="L3742" s="13">
        <v>2021.898305084746</v>
      </c>
      <c r="M3742" s="196" t="s">
        <v>425</v>
      </c>
    </row>
    <row r="3743" spans="1:13" ht="15" customHeight="1" outlineLevel="1" x14ac:dyDescent="0.25">
      <c r="A3743" s="148"/>
      <c r="B3743" s="148"/>
      <c r="C3743" s="148"/>
      <c r="D3743" s="138"/>
      <c r="E3743" s="138"/>
      <c r="F3743" s="50">
        <v>43647</v>
      </c>
      <c r="G3743" s="50">
        <v>43830</v>
      </c>
      <c r="H3743" s="150"/>
      <c r="I3743" s="119" t="s">
        <v>23</v>
      </c>
      <c r="J3743" s="119" t="s">
        <v>23</v>
      </c>
      <c r="K3743" s="13">
        <v>24.551400000000001</v>
      </c>
      <c r="L3743" s="13">
        <v>2062.3362711864411</v>
      </c>
      <c r="M3743" s="198"/>
    </row>
    <row r="3744" spans="1:13" ht="15" customHeight="1" outlineLevel="1" x14ac:dyDescent="0.25">
      <c r="A3744" s="148"/>
      <c r="B3744" s="148"/>
      <c r="C3744" s="148"/>
      <c r="D3744" s="138"/>
      <c r="E3744" s="138"/>
      <c r="F3744" s="50">
        <v>43466</v>
      </c>
      <c r="G3744" s="50">
        <v>43646</v>
      </c>
      <c r="H3744" s="150"/>
      <c r="I3744" s="119" t="s">
        <v>23</v>
      </c>
      <c r="J3744" s="119" t="s">
        <v>23</v>
      </c>
      <c r="K3744" s="13">
        <v>24.07</v>
      </c>
      <c r="L3744" s="13">
        <v>1712.9898305084746</v>
      </c>
      <c r="M3744" s="196" t="s">
        <v>426</v>
      </c>
    </row>
    <row r="3745" spans="1:13" ht="15" customHeight="1" outlineLevel="1" x14ac:dyDescent="0.25">
      <c r="A3745" s="148"/>
      <c r="B3745" s="148"/>
      <c r="C3745" s="148"/>
      <c r="D3745" s="138"/>
      <c r="E3745" s="138"/>
      <c r="F3745" s="50">
        <v>43647</v>
      </c>
      <c r="G3745" s="50">
        <v>43830</v>
      </c>
      <c r="H3745" s="150"/>
      <c r="I3745" s="119" t="s">
        <v>23</v>
      </c>
      <c r="J3745" s="119" t="s">
        <v>23</v>
      </c>
      <c r="K3745" s="13">
        <v>24.551400000000001</v>
      </c>
      <c r="L3745" s="13">
        <v>1747.2496271186442</v>
      </c>
      <c r="M3745" s="198"/>
    </row>
    <row r="3746" spans="1:13" ht="15" customHeight="1" outlineLevel="1" x14ac:dyDescent="0.25">
      <c r="A3746" s="148"/>
      <c r="B3746" s="148"/>
      <c r="C3746" s="148"/>
      <c r="D3746" s="138"/>
      <c r="E3746" s="138"/>
      <c r="F3746" s="50">
        <v>43466</v>
      </c>
      <c r="G3746" s="50">
        <v>43646</v>
      </c>
      <c r="H3746" s="150"/>
      <c r="I3746" s="119" t="s">
        <v>23</v>
      </c>
      <c r="J3746" s="119" t="s">
        <v>23</v>
      </c>
      <c r="K3746" s="13">
        <v>24.07</v>
      </c>
      <c r="L3746" s="13">
        <v>1868.7254237288137</v>
      </c>
      <c r="M3746" s="196" t="s">
        <v>427</v>
      </c>
    </row>
    <row r="3747" spans="1:13" ht="15" customHeight="1" outlineLevel="1" x14ac:dyDescent="0.25">
      <c r="A3747" s="147"/>
      <c r="B3747" s="147"/>
      <c r="C3747" s="148"/>
      <c r="D3747" s="141"/>
      <c r="E3747" s="141"/>
      <c r="F3747" s="50">
        <v>43647</v>
      </c>
      <c r="G3747" s="50">
        <v>43830</v>
      </c>
      <c r="H3747" s="151"/>
      <c r="I3747" s="119" t="s">
        <v>23</v>
      </c>
      <c r="J3747" s="119" t="s">
        <v>23</v>
      </c>
      <c r="K3747" s="13">
        <v>24.551400000000001</v>
      </c>
      <c r="L3747" s="13">
        <v>1906.0999322033899</v>
      </c>
      <c r="M3747" s="198"/>
    </row>
    <row r="3748" spans="1:13" ht="15" customHeight="1" outlineLevel="1" x14ac:dyDescent="0.25">
      <c r="A3748" s="146" t="s">
        <v>59</v>
      </c>
      <c r="B3748" s="146" t="s">
        <v>132</v>
      </c>
      <c r="C3748" s="148"/>
      <c r="D3748" s="156">
        <v>43453</v>
      </c>
      <c r="E3748" s="156" t="s">
        <v>735</v>
      </c>
      <c r="F3748" s="12">
        <v>43466</v>
      </c>
      <c r="G3748" s="12">
        <v>43646</v>
      </c>
      <c r="H3748" s="149" t="s">
        <v>826</v>
      </c>
      <c r="I3748" s="66">
        <v>32.99</v>
      </c>
      <c r="J3748" s="13">
        <v>2310.25</v>
      </c>
      <c r="K3748" s="119" t="s">
        <v>23</v>
      </c>
      <c r="L3748" s="119" t="s">
        <v>23</v>
      </c>
      <c r="M3748" s="153"/>
    </row>
    <row r="3749" spans="1:13" ht="15" customHeight="1" outlineLevel="1" x14ac:dyDescent="0.25">
      <c r="A3749" s="148"/>
      <c r="B3749" s="148"/>
      <c r="C3749" s="148"/>
      <c r="D3749" s="156"/>
      <c r="E3749" s="156"/>
      <c r="F3749" s="12">
        <v>43647</v>
      </c>
      <c r="G3749" s="12">
        <v>43830</v>
      </c>
      <c r="H3749" s="151"/>
      <c r="I3749" s="66">
        <v>37.114448142308703</v>
      </c>
      <c r="J3749" s="13">
        <v>2359.61</v>
      </c>
      <c r="K3749" s="119" t="s">
        <v>23</v>
      </c>
      <c r="L3749" s="119" t="s">
        <v>23</v>
      </c>
      <c r="M3749" s="152"/>
    </row>
    <row r="3750" spans="1:13" ht="15" customHeight="1" outlineLevel="1" x14ac:dyDescent="0.25">
      <c r="A3750" s="148"/>
      <c r="B3750" s="148"/>
      <c r="C3750" s="148"/>
      <c r="D3750" s="137">
        <f>D3732</f>
        <v>43454</v>
      </c>
      <c r="E3750" s="137" t="str">
        <f>E3732</f>
        <v>675-п</v>
      </c>
      <c r="F3750" s="50">
        <v>43466</v>
      </c>
      <c r="G3750" s="50">
        <v>43646</v>
      </c>
      <c r="H3750" s="149"/>
      <c r="I3750" s="119" t="s">
        <v>23</v>
      </c>
      <c r="J3750" s="119" t="s">
        <v>23</v>
      </c>
      <c r="K3750" s="13">
        <v>24.07</v>
      </c>
      <c r="L3750" s="13">
        <v>1787.4711864406781</v>
      </c>
      <c r="M3750" s="196" t="s">
        <v>420</v>
      </c>
    </row>
    <row r="3751" spans="1:13" ht="15" customHeight="1" outlineLevel="1" x14ac:dyDescent="0.25">
      <c r="A3751" s="148"/>
      <c r="B3751" s="148"/>
      <c r="C3751" s="148"/>
      <c r="D3751" s="138"/>
      <c r="E3751" s="138"/>
      <c r="F3751" s="50">
        <v>43647</v>
      </c>
      <c r="G3751" s="50">
        <v>43830</v>
      </c>
      <c r="H3751" s="150"/>
      <c r="I3751" s="119" t="s">
        <v>23</v>
      </c>
      <c r="J3751" s="119" t="s">
        <v>23</v>
      </c>
      <c r="K3751" s="13">
        <v>24.551400000000001</v>
      </c>
      <c r="L3751" s="13">
        <v>1823.2206101694917</v>
      </c>
      <c r="M3751" s="198"/>
    </row>
    <row r="3752" spans="1:13" ht="15" customHeight="1" outlineLevel="1" x14ac:dyDescent="0.25">
      <c r="A3752" s="148"/>
      <c r="B3752" s="148"/>
      <c r="C3752" s="148"/>
      <c r="D3752" s="138"/>
      <c r="E3752" s="138"/>
      <c r="F3752" s="50">
        <v>43466</v>
      </c>
      <c r="G3752" s="50">
        <v>43646</v>
      </c>
      <c r="H3752" s="150"/>
      <c r="I3752" s="119" t="s">
        <v>23</v>
      </c>
      <c r="J3752" s="119" t="s">
        <v>23</v>
      </c>
      <c r="K3752" s="13">
        <v>24.07</v>
      </c>
      <c r="L3752" s="13">
        <v>1957.7084745762711</v>
      </c>
      <c r="M3752" s="196" t="s">
        <v>421</v>
      </c>
    </row>
    <row r="3753" spans="1:13" ht="15" customHeight="1" outlineLevel="1" x14ac:dyDescent="0.25">
      <c r="A3753" s="148"/>
      <c r="B3753" s="148"/>
      <c r="C3753" s="148"/>
      <c r="D3753" s="138"/>
      <c r="E3753" s="138"/>
      <c r="F3753" s="50">
        <v>43647</v>
      </c>
      <c r="G3753" s="50">
        <v>43830</v>
      </c>
      <c r="H3753" s="150"/>
      <c r="I3753" s="119" t="s">
        <v>23</v>
      </c>
      <c r="J3753" s="119" t="s">
        <v>23</v>
      </c>
      <c r="K3753" s="13">
        <v>24.551400000000001</v>
      </c>
      <c r="L3753" s="13">
        <v>1996.8626440677965</v>
      </c>
      <c r="M3753" s="198"/>
    </row>
    <row r="3754" spans="1:13" ht="15" customHeight="1" outlineLevel="1" x14ac:dyDescent="0.25">
      <c r="A3754" s="148"/>
      <c r="B3754" s="148"/>
      <c r="C3754" s="148"/>
      <c r="D3754" s="138"/>
      <c r="E3754" s="138"/>
      <c r="F3754" s="50">
        <v>43466</v>
      </c>
      <c r="G3754" s="50">
        <v>43646</v>
      </c>
      <c r="H3754" s="150"/>
      <c r="I3754" s="119" t="s">
        <v>23</v>
      </c>
      <c r="J3754" s="119" t="s">
        <v>23</v>
      </c>
      <c r="K3754" s="13">
        <v>24.07</v>
      </c>
      <c r="L3754" s="13">
        <v>1666.6983050847459</v>
      </c>
      <c r="M3754" s="196" t="s">
        <v>422</v>
      </c>
    </row>
    <row r="3755" spans="1:13" ht="15" customHeight="1" outlineLevel="1" x14ac:dyDescent="0.25">
      <c r="A3755" s="148"/>
      <c r="B3755" s="148"/>
      <c r="C3755" s="148"/>
      <c r="D3755" s="138"/>
      <c r="E3755" s="138"/>
      <c r="F3755" s="50">
        <v>43647</v>
      </c>
      <c r="G3755" s="50">
        <v>43830</v>
      </c>
      <c r="H3755" s="150"/>
      <c r="I3755" s="119" t="s">
        <v>23</v>
      </c>
      <c r="J3755" s="119" t="s">
        <v>23</v>
      </c>
      <c r="K3755" s="13">
        <v>24.551400000000001</v>
      </c>
      <c r="L3755" s="13">
        <v>1700.0322711864408</v>
      </c>
      <c r="M3755" s="198"/>
    </row>
    <row r="3756" spans="1:13" ht="15" customHeight="1" outlineLevel="1" x14ac:dyDescent="0.25">
      <c r="A3756" s="148"/>
      <c r="B3756" s="148"/>
      <c r="C3756" s="148"/>
      <c r="D3756" s="138"/>
      <c r="E3756" s="138"/>
      <c r="F3756" s="50">
        <v>43466</v>
      </c>
      <c r="G3756" s="50">
        <v>43646</v>
      </c>
      <c r="H3756" s="150"/>
      <c r="I3756" s="119" t="s">
        <v>23</v>
      </c>
      <c r="J3756" s="119" t="s">
        <v>23</v>
      </c>
      <c r="K3756" s="13">
        <v>24.07</v>
      </c>
      <c r="L3756" s="13">
        <v>1787.4711864406781</v>
      </c>
      <c r="M3756" s="196" t="s">
        <v>423</v>
      </c>
    </row>
    <row r="3757" spans="1:13" ht="15" customHeight="1" outlineLevel="1" x14ac:dyDescent="0.25">
      <c r="A3757" s="148"/>
      <c r="B3757" s="148"/>
      <c r="C3757" s="148"/>
      <c r="D3757" s="138"/>
      <c r="E3757" s="138"/>
      <c r="F3757" s="50">
        <v>43647</v>
      </c>
      <c r="G3757" s="50">
        <v>43830</v>
      </c>
      <c r="H3757" s="150"/>
      <c r="I3757" s="119" t="s">
        <v>23</v>
      </c>
      <c r="J3757" s="119" t="s">
        <v>23</v>
      </c>
      <c r="K3757" s="13">
        <v>24.551400000000001</v>
      </c>
      <c r="L3757" s="13">
        <v>1823.2206101694917</v>
      </c>
      <c r="M3757" s="198"/>
    </row>
    <row r="3758" spans="1:13" ht="15" customHeight="1" outlineLevel="1" x14ac:dyDescent="0.25">
      <c r="A3758" s="148"/>
      <c r="B3758" s="148"/>
      <c r="C3758" s="148"/>
      <c r="D3758" s="138"/>
      <c r="E3758" s="138"/>
      <c r="F3758" s="50">
        <v>43466</v>
      </c>
      <c r="G3758" s="50">
        <v>43646</v>
      </c>
      <c r="H3758" s="150"/>
      <c r="I3758" s="119" t="s">
        <v>23</v>
      </c>
      <c r="J3758" s="119" t="s">
        <v>23</v>
      </c>
      <c r="K3758" s="13">
        <v>24.07</v>
      </c>
      <c r="L3758" s="13">
        <v>1868.7254237288137</v>
      </c>
      <c r="M3758" s="196" t="s">
        <v>424</v>
      </c>
    </row>
    <row r="3759" spans="1:13" ht="15" customHeight="1" outlineLevel="1" x14ac:dyDescent="0.25">
      <c r="A3759" s="148"/>
      <c r="B3759" s="148"/>
      <c r="C3759" s="148"/>
      <c r="D3759" s="138"/>
      <c r="E3759" s="138"/>
      <c r="F3759" s="50">
        <v>43647</v>
      </c>
      <c r="G3759" s="50">
        <v>43830</v>
      </c>
      <c r="H3759" s="150"/>
      <c r="I3759" s="119" t="s">
        <v>23</v>
      </c>
      <c r="J3759" s="119" t="s">
        <v>23</v>
      </c>
      <c r="K3759" s="13">
        <v>24.551400000000001</v>
      </c>
      <c r="L3759" s="13">
        <v>1906.0999322033899</v>
      </c>
      <c r="M3759" s="198"/>
    </row>
    <row r="3760" spans="1:13" ht="15" customHeight="1" outlineLevel="1" x14ac:dyDescent="0.25">
      <c r="A3760" s="148"/>
      <c r="B3760" s="148"/>
      <c r="C3760" s="148"/>
      <c r="D3760" s="138"/>
      <c r="E3760" s="138"/>
      <c r="F3760" s="50">
        <v>43466</v>
      </c>
      <c r="G3760" s="50">
        <v>43646</v>
      </c>
      <c r="H3760" s="150"/>
      <c r="I3760" s="119" t="s">
        <v>23</v>
      </c>
      <c r="J3760" s="119" t="s">
        <v>23</v>
      </c>
      <c r="K3760" s="13">
        <v>24.07</v>
      </c>
      <c r="L3760" s="13">
        <v>2021.898305084746</v>
      </c>
      <c r="M3760" s="196" t="s">
        <v>425</v>
      </c>
    </row>
    <row r="3761" spans="1:13" ht="15" customHeight="1" outlineLevel="1" x14ac:dyDescent="0.25">
      <c r="A3761" s="148"/>
      <c r="B3761" s="148"/>
      <c r="C3761" s="148"/>
      <c r="D3761" s="138"/>
      <c r="E3761" s="138"/>
      <c r="F3761" s="50">
        <v>43647</v>
      </c>
      <c r="G3761" s="50">
        <v>43830</v>
      </c>
      <c r="H3761" s="150"/>
      <c r="I3761" s="119" t="s">
        <v>23</v>
      </c>
      <c r="J3761" s="119" t="s">
        <v>23</v>
      </c>
      <c r="K3761" s="13">
        <v>24.551400000000001</v>
      </c>
      <c r="L3761" s="13">
        <v>2062.3362711864411</v>
      </c>
      <c r="M3761" s="198"/>
    </row>
    <row r="3762" spans="1:13" ht="15" customHeight="1" outlineLevel="1" x14ac:dyDescent="0.25">
      <c r="A3762" s="148"/>
      <c r="B3762" s="148"/>
      <c r="C3762" s="148"/>
      <c r="D3762" s="138"/>
      <c r="E3762" s="138"/>
      <c r="F3762" s="50">
        <v>43466</v>
      </c>
      <c r="G3762" s="50">
        <v>43646</v>
      </c>
      <c r="H3762" s="150"/>
      <c r="I3762" s="119" t="s">
        <v>23</v>
      </c>
      <c r="J3762" s="119" t="s">
        <v>23</v>
      </c>
      <c r="K3762" s="13">
        <v>24.07</v>
      </c>
      <c r="L3762" s="13">
        <v>1712.9898305084746</v>
      </c>
      <c r="M3762" s="196" t="s">
        <v>426</v>
      </c>
    </row>
    <row r="3763" spans="1:13" ht="15" customHeight="1" outlineLevel="1" x14ac:dyDescent="0.25">
      <c r="A3763" s="148"/>
      <c r="B3763" s="148"/>
      <c r="C3763" s="148"/>
      <c r="D3763" s="138"/>
      <c r="E3763" s="138"/>
      <c r="F3763" s="50">
        <v>43647</v>
      </c>
      <c r="G3763" s="50">
        <v>43830</v>
      </c>
      <c r="H3763" s="150"/>
      <c r="I3763" s="119" t="s">
        <v>23</v>
      </c>
      <c r="J3763" s="119" t="s">
        <v>23</v>
      </c>
      <c r="K3763" s="13">
        <v>24.551400000000001</v>
      </c>
      <c r="L3763" s="13">
        <v>1747.2496271186442</v>
      </c>
      <c r="M3763" s="198"/>
    </row>
    <row r="3764" spans="1:13" ht="15" customHeight="1" outlineLevel="1" x14ac:dyDescent="0.25">
      <c r="A3764" s="148"/>
      <c r="B3764" s="148"/>
      <c r="C3764" s="148"/>
      <c r="D3764" s="138"/>
      <c r="E3764" s="138"/>
      <c r="F3764" s="50">
        <v>43466</v>
      </c>
      <c r="G3764" s="50">
        <v>43646</v>
      </c>
      <c r="H3764" s="150"/>
      <c r="I3764" s="119" t="s">
        <v>23</v>
      </c>
      <c r="J3764" s="119" t="s">
        <v>23</v>
      </c>
      <c r="K3764" s="13">
        <v>24.07</v>
      </c>
      <c r="L3764" s="13">
        <v>1868.7254237288137</v>
      </c>
      <c r="M3764" s="196" t="s">
        <v>427</v>
      </c>
    </row>
    <row r="3765" spans="1:13" ht="15" customHeight="1" outlineLevel="1" x14ac:dyDescent="0.25">
      <c r="A3765" s="147"/>
      <c r="B3765" s="147"/>
      <c r="C3765" s="148"/>
      <c r="D3765" s="141"/>
      <c r="E3765" s="141"/>
      <c r="F3765" s="50">
        <v>43647</v>
      </c>
      <c r="G3765" s="50">
        <v>43830</v>
      </c>
      <c r="H3765" s="151"/>
      <c r="I3765" s="119" t="s">
        <v>23</v>
      </c>
      <c r="J3765" s="119" t="s">
        <v>23</v>
      </c>
      <c r="K3765" s="13">
        <v>24.551400000000001</v>
      </c>
      <c r="L3765" s="13">
        <v>1906.0999322033899</v>
      </c>
      <c r="M3765" s="198"/>
    </row>
    <row r="3766" spans="1:13" ht="15" customHeight="1" outlineLevel="1" x14ac:dyDescent="0.25">
      <c r="A3766" s="146" t="s">
        <v>59</v>
      </c>
      <c r="B3766" s="146" t="s">
        <v>130</v>
      </c>
      <c r="C3766" s="148"/>
      <c r="D3766" s="156">
        <v>43453</v>
      </c>
      <c r="E3766" s="156" t="s">
        <v>735</v>
      </c>
      <c r="F3766" s="12">
        <v>43466</v>
      </c>
      <c r="G3766" s="12">
        <v>43646</v>
      </c>
      <c r="H3766" s="149" t="s">
        <v>826</v>
      </c>
      <c r="I3766" s="66">
        <v>32.99</v>
      </c>
      <c r="J3766" s="13">
        <v>2310.25</v>
      </c>
      <c r="K3766" s="119" t="s">
        <v>23</v>
      </c>
      <c r="L3766" s="119" t="s">
        <v>23</v>
      </c>
      <c r="M3766" s="153"/>
    </row>
    <row r="3767" spans="1:13" ht="15" customHeight="1" outlineLevel="1" x14ac:dyDescent="0.25">
      <c r="A3767" s="148"/>
      <c r="B3767" s="148"/>
      <c r="C3767" s="148"/>
      <c r="D3767" s="156"/>
      <c r="E3767" s="156"/>
      <c r="F3767" s="12">
        <v>43647</v>
      </c>
      <c r="G3767" s="12">
        <v>43830</v>
      </c>
      <c r="H3767" s="151"/>
      <c r="I3767" s="66">
        <v>37.114448142308703</v>
      </c>
      <c r="J3767" s="13">
        <v>2359.61</v>
      </c>
      <c r="K3767" s="119" t="s">
        <v>23</v>
      </c>
      <c r="L3767" s="119" t="s">
        <v>23</v>
      </c>
      <c r="M3767" s="152"/>
    </row>
    <row r="3768" spans="1:13" ht="15" customHeight="1" outlineLevel="1" x14ac:dyDescent="0.25">
      <c r="A3768" s="148"/>
      <c r="B3768" s="148"/>
      <c r="C3768" s="148"/>
      <c r="D3768" s="137">
        <f>D3750</f>
        <v>43454</v>
      </c>
      <c r="E3768" s="137" t="str">
        <f>E3750</f>
        <v>675-п</v>
      </c>
      <c r="F3768" s="50">
        <v>43466</v>
      </c>
      <c r="G3768" s="50">
        <v>43646</v>
      </c>
      <c r="H3768" s="149"/>
      <c r="I3768" s="119" t="s">
        <v>23</v>
      </c>
      <c r="J3768" s="119" t="s">
        <v>23</v>
      </c>
      <c r="K3768" s="13">
        <v>24.07</v>
      </c>
      <c r="L3768" s="13">
        <v>1787.4711864406781</v>
      </c>
      <c r="M3768" s="196" t="s">
        <v>420</v>
      </c>
    </row>
    <row r="3769" spans="1:13" ht="15" customHeight="1" outlineLevel="1" x14ac:dyDescent="0.25">
      <c r="A3769" s="148"/>
      <c r="B3769" s="148"/>
      <c r="C3769" s="148"/>
      <c r="D3769" s="138"/>
      <c r="E3769" s="138"/>
      <c r="F3769" s="50">
        <v>43647</v>
      </c>
      <c r="G3769" s="50">
        <v>43830</v>
      </c>
      <c r="H3769" s="150"/>
      <c r="I3769" s="119" t="s">
        <v>23</v>
      </c>
      <c r="J3769" s="119" t="s">
        <v>23</v>
      </c>
      <c r="K3769" s="13">
        <v>24.551400000000001</v>
      </c>
      <c r="L3769" s="13">
        <v>1823.2206101694917</v>
      </c>
      <c r="M3769" s="198"/>
    </row>
    <row r="3770" spans="1:13" ht="15" customHeight="1" outlineLevel="1" x14ac:dyDescent="0.25">
      <c r="A3770" s="148"/>
      <c r="B3770" s="148"/>
      <c r="C3770" s="148"/>
      <c r="D3770" s="138"/>
      <c r="E3770" s="138"/>
      <c r="F3770" s="50">
        <v>43466</v>
      </c>
      <c r="G3770" s="50">
        <v>43646</v>
      </c>
      <c r="H3770" s="150"/>
      <c r="I3770" s="119" t="s">
        <v>23</v>
      </c>
      <c r="J3770" s="119" t="s">
        <v>23</v>
      </c>
      <c r="K3770" s="13">
        <v>24.07</v>
      </c>
      <c r="L3770" s="13">
        <v>1957.7084745762711</v>
      </c>
      <c r="M3770" s="196" t="s">
        <v>421</v>
      </c>
    </row>
    <row r="3771" spans="1:13" ht="15" customHeight="1" outlineLevel="1" x14ac:dyDescent="0.25">
      <c r="A3771" s="148"/>
      <c r="B3771" s="148"/>
      <c r="C3771" s="148"/>
      <c r="D3771" s="138"/>
      <c r="E3771" s="138"/>
      <c r="F3771" s="50">
        <v>43647</v>
      </c>
      <c r="G3771" s="50">
        <v>43830</v>
      </c>
      <c r="H3771" s="150"/>
      <c r="I3771" s="119" t="s">
        <v>23</v>
      </c>
      <c r="J3771" s="119" t="s">
        <v>23</v>
      </c>
      <c r="K3771" s="13">
        <v>24.551400000000001</v>
      </c>
      <c r="L3771" s="13">
        <v>1996.8626440677965</v>
      </c>
      <c r="M3771" s="198"/>
    </row>
    <row r="3772" spans="1:13" ht="15" customHeight="1" outlineLevel="1" x14ac:dyDescent="0.25">
      <c r="A3772" s="148"/>
      <c r="B3772" s="148"/>
      <c r="C3772" s="148"/>
      <c r="D3772" s="138"/>
      <c r="E3772" s="138"/>
      <c r="F3772" s="50">
        <v>43466</v>
      </c>
      <c r="G3772" s="50">
        <v>43646</v>
      </c>
      <c r="H3772" s="150"/>
      <c r="I3772" s="119" t="s">
        <v>23</v>
      </c>
      <c r="J3772" s="119" t="s">
        <v>23</v>
      </c>
      <c r="K3772" s="13">
        <v>24.07</v>
      </c>
      <c r="L3772" s="13">
        <v>1666.6983050847459</v>
      </c>
      <c r="M3772" s="196" t="s">
        <v>422</v>
      </c>
    </row>
    <row r="3773" spans="1:13" ht="15" customHeight="1" outlineLevel="1" x14ac:dyDescent="0.25">
      <c r="A3773" s="148"/>
      <c r="B3773" s="148"/>
      <c r="C3773" s="148"/>
      <c r="D3773" s="138"/>
      <c r="E3773" s="138"/>
      <c r="F3773" s="50">
        <v>43647</v>
      </c>
      <c r="G3773" s="50">
        <v>43830</v>
      </c>
      <c r="H3773" s="150"/>
      <c r="I3773" s="119" t="s">
        <v>23</v>
      </c>
      <c r="J3773" s="119" t="s">
        <v>23</v>
      </c>
      <c r="K3773" s="13">
        <v>24.551400000000001</v>
      </c>
      <c r="L3773" s="13">
        <v>1700.0322711864408</v>
      </c>
      <c r="M3773" s="198"/>
    </row>
    <row r="3774" spans="1:13" ht="15" customHeight="1" outlineLevel="1" x14ac:dyDescent="0.25">
      <c r="A3774" s="148"/>
      <c r="B3774" s="148"/>
      <c r="C3774" s="148"/>
      <c r="D3774" s="138"/>
      <c r="E3774" s="138"/>
      <c r="F3774" s="50">
        <v>43466</v>
      </c>
      <c r="G3774" s="50">
        <v>43646</v>
      </c>
      <c r="H3774" s="150"/>
      <c r="I3774" s="119" t="s">
        <v>23</v>
      </c>
      <c r="J3774" s="119" t="s">
        <v>23</v>
      </c>
      <c r="K3774" s="13">
        <v>24.07</v>
      </c>
      <c r="L3774" s="13">
        <v>1787.4711864406781</v>
      </c>
      <c r="M3774" s="196" t="s">
        <v>423</v>
      </c>
    </row>
    <row r="3775" spans="1:13" ht="15" customHeight="1" outlineLevel="1" x14ac:dyDescent="0.25">
      <c r="A3775" s="148"/>
      <c r="B3775" s="148"/>
      <c r="C3775" s="148"/>
      <c r="D3775" s="138"/>
      <c r="E3775" s="138"/>
      <c r="F3775" s="50">
        <v>43647</v>
      </c>
      <c r="G3775" s="50">
        <v>43830</v>
      </c>
      <c r="H3775" s="150"/>
      <c r="I3775" s="119" t="s">
        <v>23</v>
      </c>
      <c r="J3775" s="119" t="s">
        <v>23</v>
      </c>
      <c r="K3775" s="13">
        <v>24.551400000000001</v>
      </c>
      <c r="L3775" s="13">
        <v>1823.2206101694917</v>
      </c>
      <c r="M3775" s="198"/>
    </row>
    <row r="3776" spans="1:13" ht="15" customHeight="1" outlineLevel="1" x14ac:dyDescent="0.25">
      <c r="A3776" s="148"/>
      <c r="B3776" s="148"/>
      <c r="C3776" s="148"/>
      <c r="D3776" s="138"/>
      <c r="E3776" s="138"/>
      <c r="F3776" s="50">
        <v>43466</v>
      </c>
      <c r="G3776" s="50">
        <v>43646</v>
      </c>
      <c r="H3776" s="150"/>
      <c r="I3776" s="119" t="s">
        <v>23</v>
      </c>
      <c r="J3776" s="119" t="s">
        <v>23</v>
      </c>
      <c r="K3776" s="13">
        <v>24.07</v>
      </c>
      <c r="L3776" s="13">
        <v>1868.7254237288137</v>
      </c>
      <c r="M3776" s="196" t="s">
        <v>424</v>
      </c>
    </row>
    <row r="3777" spans="1:13" ht="15" customHeight="1" outlineLevel="1" x14ac:dyDescent="0.25">
      <c r="A3777" s="148"/>
      <c r="B3777" s="148"/>
      <c r="C3777" s="148"/>
      <c r="D3777" s="138"/>
      <c r="E3777" s="138"/>
      <c r="F3777" s="50">
        <v>43647</v>
      </c>
      <c r="G3777" s="50">
        <v>43830</v>
      </c>
      <c r="H3777" s="150"/>
      <c r="I3777" s="119" t="s">
        <v>23</v>
      </c>
      <c r="J3777" s="119" t="s">
        <v>23</v>
      </c>
      <c r="K3777" s="13">
        <v>24.551400000000001</v>
      </c>
      <c r="L3777" s="13">
        <v>1906.0999322033899</v>
      </c>
      <c r="M3777" s="198"/>
    </row>
    <row r="3778" spans="1:13" ht="15" customHeight="1" outlineLevel="1" x14ac:dyDescent="0.25">
      <c r="A3778" s="148"/>
      <c r="B3778" s="148"/>
      <c r="C3778" s="148"/>
      <c r="D3778" s="138"/>
      <c r="E3778" s="138"/>
      <c r="F3778" s="50">
        <v>43466</v>
      </c>
      <c r="G3778" s="50">
        <v>43646</v>
      </c>
      <c r="H3778" s="150"/>
      <c r="I3778" s="119" t="s">
        <v>23</v>
      </c>
      <c r="J3778" s="119" t="s">
        <v>23</v>
      </c>
      <c r="K3778" s="13">
        <v>24.07</v>
      </c>
      <c r="L3778" s="13">
        <v>2021.898305084746</v>
      </c>
      <c r="M3778" s="196" t="s">
        <v>425</v>
      </c>
    </row>
    <row r="3779" spans="1:13" ht="15" customHeight="1" outlineLevel="1" x14ac:dyDescent="0.25">
      <c r="A3779" s="148"/>
      <c r="B3779" s="148"/>
      <c r="C3779" s="148"/>
      <c r="D3779" s="138"/>
      <c r="E3779" s="138"/>
      <c r="F3779" s="50">
        <v>43647</v>
      </c>
      <c r="G3779" s="50">
        <v>43830</v>
      </c>
      <c r="H3779" s="150"/>
      <c r="I3779" s="119" t="s">
        <v>23</v>
      </c>
      <c r="J3779" s="119" t="s">
        <v>23</v>
      </c>
      <c r="K3779" s="13">
        <v>24.551400000000001</v>
      </c>
      <c r="L3779" s="13">
        <v>2062.3362711864411</v>
      </c>
      <c r="M3779" s="198"/>
    </row>
    <row r="3780" spans="1:13" ht="15" customHeight="1" outlineLevel="1" x14ac:dyDescent="0.25">
      <c r="A3780" s="148"/>
      <c r="B3780" s="148"/>
      <c r="C3780" s="148"/>
      <c r="D3780" s="138"/>
      <c r="E3780" s="138"/>
      <c r="F3780" s="50">
        <v>43466</v>
      </c>
      <c r="G3780" s="50">
        <v>43646</v>
      </c>
      <c r="H3780" s="150"/>
      <c r="I3780" s="119" t="s">
        <v>23</v>
      </c>
      <c r="J3780" s="119" t="s">
        <v>23</v>
      </c>
      <c r="K3780" s="13">
        <v>24.07</v>
      </c>
      <c r="L3780" s="13">
        <v>1712.9898305084746</v>
      </c>
      <c r="M3780" s="196" t="s">
        <v>426</v>
      </c>
    </row>
    <row r="3781" spans="1:13" ht="15" customHeight="1" outlineLevel="1" x14ac:dyDescent="0.25">
      <c r="A3781" s="148"/>
      <c r="B3781" s="148"/>
      <c r="C3781" s="148"/>
      <c r="D3781" s="138"/>
      <c r="E3781" s="138"/>
      <c r="F3781" s="50">
        <v>43647</v>
      </c>
      <c r="G3781" s="50">
        <v>43830</v>
      </c>
      <c r="H3781" s="150"/>
      <c r="I3781" s="119" t="s">
        <v>23</v>
      </c>
      <c r="J3781" s="119" t="s">
        <v>23</v>
      </c>
      <c r="K3781" s="13">
        <v>24.551400000000001</v>
      </c>
      <c r="L3781" s="13">
        <v>1747.2496271186442</v>
      </c>
      <c r="M3781" s="198"/>
    </row>
    <row r="3782" spans="1:13" ht="15" customHeight="1" outlineLevel="1" x14ac:dyDescent="0.25">
      <c r="A3782" s="148"/>
      <c r="B3782" s="148"/>
      <c r="C3782" s="148"/>
      <c r="D3782" s="138"/>
      <c r="E3782" s="138"/>
      <c r="F3782" s="50">
        <v>43466</v>
      </c>
      <c r="G3782" s="50">
        <v>43646</v>
      </c>
      <c r="H3782" s="150"/>
      <c r="I3782" s="119" t="s">
        <v>23</v>
      </c>
      <c r="J3782" s="119" t="s">
        <v>23</v>
      </c>
      <c r="K3782" s="13">
        <v>24.07</v>
      </c>
      <c r="L3782" s="13">
        <v>1868.7254237288137</v>
      </c>
      <c r="M3782" s="196" t="s">
        <v>427</v>
      </c>
    </row>
    <row r="3783" spans="1:13" ht="15" customHeight="1" outlineLevel="1" x14ac:dyDescent="0.25">
      <c r="A3783" s="147"/>
      <c r="B3783" s="147"/>
      <c r="C3783" s="148"/>
      <c r="D3783" s="141"/>
      <c r="E3783" s="141"/>
      <c r="F3783" s="50">
        <v>43647</v>
      </c>
      <c r="G3783" s="50">
        <v>43830</v>
      </c>
      <c r="H3783" s="151"/>
      <c r="I3783" s="119" t="s">
        <v>23</v>
      </c>
      <c r="J3783" s="119" t="s">
        <v>23</v>
      </c>
      <c r="K3783" s="13">
        <v>24.551400000000001</v>
      </c>
      <c r="L3783" s="13">
        <v>1906.0999322033899</v>
      </c>
      <c r="M3783" s="198"/>
    </row>
    <row r="3784" spans="1:13" ht="15" customHeight="1" outlineLevel="1" x14ac:dyDescent="0.25">
      <c r="A3784" s="146" t="s">
        <v>59</v>
      </c>
      <c r="B3784" s="146" t="s">
        <v>131</v>
      </c>
      <c r="C3784" s="148"/>
      <c r="D3784" s="156">
        <v>43453</v>
      </c>
      <c r="E3784" s="156" t="s">
        <v>735</v>
      </c>
      <c r="F3784" s="12">
        <v>43466</v>
      </c>
      <c r="G3784" s="12">
        <v>43646</v>
      </c>
      <c r="H3784" s="149" t="s">
        <v>826</v>
      </c>
      <c r="I3784" s="66">
        <v>32.99</v>
      </c>
      <c r="J3784" s="13">
        <v>2310.25</v>
      </c>
      <c r="K3784" s="119" t="s">
        <v>23</v>
      </c>
      <c r="L3784" s="119" t="s">
        <v>23</v>
      </c>
      <c r="M3784" s="153"/>
    </row>
    <row r="3785" spans="1:13" ht="15" customHeight="1" outlineLevel="1" x14ac:dyDescent="0.25">
      <c r="A3785" s="148"/>
      <c r="B3785" s="148"/>
      <c r="C3785" s="148"/>
      <c r="D3785" s="156"/>
      <c r="E3785" s="156"/>
      <c r="F3785" s="12">
        <v>43647</v>
      </c>
      <c r="G3785" s="12">
        <v>43830</v>
      </c>
      <c r="H3785" s="151"/>
      <c r="I3785" s="66">
        <v>37.114448142308703</v>
      </c>
      <c r="J3785" s="13">
        <v>2359.61</v>
      </c>
      <c r="K3785" s="119" t="s">
        <v>23</v>
      </c>
      <c r="L3785" s="119" t="s">
        <v>23</v>
      </c>
      <c r="M3785" s="152"/>
    </row>
    <row r="3786" spans="1:13" ht="15" customHeight="1" outlineLevel="1" x14ac:dyDescent="0.25">
      <c r="A3786" s="148"/>
      <c r="B3786" s="148"/>
      <c r="C3786" s="148"/>
      <c r="D3786" s="137">
        <f>D3768</f>
        <v>43454</v>
      </c>
      <c r="E3786" s="137" t="str">
        <f>E3768</f>
        <v>675-п</v>
      </c>
      <c r="F3786" s="50">
        <v>43466</v>
      </c>
      <c r="G3786" s="50">
        <v>43646</v>
      </c>
      <c r="H3786" s="149"/>
      <c r="I3786" s="119" t="s">
        <v>23</v>
      </c>
      <c r="J3786" s="119" t="s">
        <v>23</v>
      </c>
      <c r="K3786" s="13">
        <v>24.07</v>
      </c>
      <c r="L3786" s="13">
        <v>1787.4711864406781</v>
      </c>
      <c r="M3786" s="196" t="s">
        <v>420</v>
      </c>
    </row>
    <row r="3787" spans="1:13" ht="15" customHeight="1" outlineLevel="1" x14ac:dyDescent="0.25">
      <c r="A3787" s="148"/>
      <c r="B3787" s="148"/>
      <c r="C3787" s="148"/>
      <c r="D3787" s="138"/>
      <c r="E3787" s="138"/>
      <c r="F3787" s="50">
        <v>43647</v>
      </c>
      <c r="G3787" s="50">
        <v>43830</v>
      </c>
      <c r="H3787" s="150"/>
      <c r="I3787" s="119" t="s">
        <v>23</v>
      </c>
      <c r="J3787" s="119" t="s">
        <v>23</v>
      </c>
      <c r="K3787" s="13">
        <v>24.551400000000001</v>
      </c>
      <c r="L3787" s="13">
        <v>1823.2206101694917</v>
      </c>
      <c r="M3787" s="198"/>
    </row>
    <row r="3788" spans="1:13" ht="15" customHeight="1" outlineLevel="1" x14ac:dyDescent="0.25">
      <c r="A3788" s="148"/>
      <c r="B3788" s="148"/>
      <c r="C3788" s="148"/>
      <c r="D3788" s="138"/>
      <c r="E3788" s="138"/>
      <c r="F3788" s="50">
        <v>43466</v>
      </c>
      <c r="G3788" s="50">
        <v>43646</v>
      </c>
      <c r="H3788" s="150"/>
      <c r="I3788" s="119" t="s">
        <v>23</v>
      </c>
      <c r="J3788" s="119" t="s">
        <v>23</v>
      </c>
      <c r="K3788" s="13">
        <v>24.07</v>
      </c>
      <c r="L3788" s="13">
        <v>1957.7084745762711</v>
      </c>
      <c r="M3788" s="196" t="s">
        <v>421</v>
      </c>
    </row>
    <row r="3789" spans="1:13" ht="15" customHeight="1" outlineLevel="1" x14ac:dyDescent="0.25">
      <c r="A3789" s="148"/>
      <c r="B3789" s="148"/>
      <c r="C3789" s="148"/>
      <c r="D3789" s="138"/>
      <c r="E3789" s="138"/>
      <c r="F3789" s="50">
        <v>43647</v>
      </c>
      <c r="G3789" s="50">
        <v>43830</v>
      </c>
      <c r="H3789" s="150"/>
      <c r="I3789" s="119" t="s">
        <v>23</v>
      </c>
      <c r="J3789" s="119" t="s">
        <v>23</v>
      </c>
      <c r="K3789" s="13">
        <v>24.551400000000001</v>
      </c>
      <c r="L3789" s="13">
        <v>1996.8626440677965</v>
      </c>
      <c r="M3789" s="198"/>
    </row>
    <row r="3790" spans="1:13" ht="15" customHeight="1" outlineLevel="1" x14ac:dyDescent="0.25">
      <c r="A3790" s="148"/>
      <c r="B3790" s="148"/>
      <c r="C3790" s="148"/>
      <c r="D3790" s="138"/>
      <c r="E3790" s="138"/>
      <c r="F3790" s="50">
        <v>43466</v>
      </c>
      <c r="G3790" s="50">
        <v>43646</v>
      </c>
      <c r="H3790" s="150"/>
      <c r="I3790" s="119" t="s">
        <v>23</v>
      </c>
      <c r="J3790" s="119" t="s">
        <v>23</v>
      </c>
      <c r="K3790" s="13">
        <v>24.07</v>
      </c>
      <c r="L3790" s="13">
        <v>1666.6983050847459</v>
      </c>
      <c r="M3790" s="196" t="s">
        <v>422</v>
      </c>
    </row>
    <row r="3791" spans="1:13" ht="15" customHeight="1" outlineLevel="1" x14ac:dyDescent="0.25">
      <c r="A3791" s="148"/>
      <c r="B3791" s="148"/>
      <c r="C3791" s="148"/>
      <c r="D3791" s="138"/>
      <c r="E3791" s="138"/>
      <c r="F3791" s="50">
        <v>43647</v>
      </c>
      <c r="G3791" s="50">
        <v>43830</v>
      </c>
      <c r="H3791" s="150"/>
      <c r="I3791" s="119" t="s">
        <v>23</v>
      </c>
      <c r="J3791" s="119" t="s">
        <v>23</v>
      </c>
      <c r="K3791" s="13">
        <v>24.551400000000001</v>
      </c>
      <c r="L3791" s="13">
        <v>1700.0322711864408</v>
      </c>
      <c r="M3791" s="198"/>
    </row>
    <row r="3792" spans="1:13" ht="15" customHeight="1" outlineLevel="1" x14ac:dyDescent="0.25">
      <c r="A3792" s="148"/>
      <c r="B3792" s="148"/>
      <c r="C3792" s="148"/>
      <c r="D3792" s="138"/>
      <c r="E3792" s="138"/>
      <c r="F3792" s="50">
        <v>43466</v>
      </c>
      <c r="G3792" s="50">
        <v>43646</v>
      </c>
      <c r="H3792" s="150"/>
      <c r="I3792" s="119" t="s">
        <v>23</v>
      </c>
      <c r="J3792" s="119" t="s">
        <v>23</v>
      </c>
      <c r="K3792" s="13">
        <v>24.07</v>
      </c>
      <c r="L3792" s="13">
        <v>1787.4711864406781</v>
      </c>
      <c r="M3792" s="196" t="s">
        <v>423</v>
      </c>
    </row>
    <row r="3793" spans="1:13" ht="15" customHeight="1" outlineLevel="1" x14ac:dyDescent="0.25">
      <c r="A3793" s="148"/>
      <c r="B3793" s="148"/>
      <c r="C3793" s="148"/>
      <c r="D3793" s="138"/>
      <c r="E3793" s="138"/>
      <c r="F3793" s="50">
        <v>43647</v>
      </c>
      <c r="G3793" s="50">
        <v>43830</v>
      </c>
      <c r="H3793" s="150"/>
      <c r="I3793" s="119" t="s">
        <v>23</v>
      </c>
      <c r="J3793" s="119" t="s">
        <v>23</v>
      </c>
      <c r="K3793" s="13">
        <v>24.551400000000001</v>
      </c>
      <c r="L3793" s="13">
        <v>1823.2206101694917</v>
      </c>
      <c r="M3793" s="198"/>
    </row>
    <row r="3794" spans="1:13" ht="15" customHeight="1" outlineLevel="1" x14ac:dyDescent="0.25">
      <c r="A3794" s="148"/>
      <c r="B3794" s="148"/>
      <c r="C3794" s="148"/>
      <c r="D3794" s="138"/>
      <c r="E3794" s="138"/>
      <c r="F3794" s="50">
        <v>43466</v>
      </c>
      <c r="G3794" s="50">
        <v>43646</v>
      </c>
      <c r="H3794" s="150"/>
      <c r="I3794" s="119" t="s">
        <v>23</v>
      </c>
      <c r="J3794" s="119" t="s">
        <v>23</v>
      </c>
      <c r="K3794" s="13">
        <v>24.07</v>
      </c>
      <c r="L3794" s="13">
        <v>1868.7254237288137</v>
      </c>
      <c r="M3794" s="196" t="s">
        <v>424</v>
      </c>
    </row>
    <row r="3795" spans="1:13" ht="15" customHeight="1" outlineLevel="1" x14ac:dyDescent="0.25">
      <c r="A3795" s="148"/>
      <c r="B3795" s="148"/>
      <c r="C3795" s="148"/>
      <c r="D3795" s="138"/>
      <c r="E3795" s="138"/>
      <c r="F3795" s="50">
        <v>43647</v>
      </c>
      <c r="G3795" s="50">
        <v>43830</v>
      </c>
      <c r="H3795" s="150"/>
      <c r="I3795" s="119" t="s">
        <v>23</v>
      </c>
      <c r="J3795" s="119" t="s">
        <v>23</v>
      </c>
      <c r="K3795" s="13">
        <v>24.551400000000001</v>
      </c>
      <c r="L3795" s="13">
        <v>1906.0999322033899</v>
      </c>
      <c r="M3795" s="198"/>
    </row>
    <row r="3796" spans="1:13" ht="15" customHeight="1" outlineLevel="1" x14ac:dyDescent="0.25">
      <c r="A3796" s="148"/>
      <c r="B3796" s="148"/>
      <c r="C3796" s="148"/>
      <c r="D3796" s="138"/>
      <c r="E3796" s="138"/>
      <c r="F3796" s="50">
        <v>43466</v>
      </c>
      <c r="G3796" s="50">
        <v>43646</v>
      </c>
      <c r="H3796" s="150"/>
      <c r="I3796" s="119" t="s">
        <v>23</v>
      </c>
      <c r="J3796" s="119" t="s">
        <v>23</v>
      </c>
      <c r="K3796" s="13">
        <v>24.07</v>
      </c>
      <c r="L3796" s="13">
        <v>2021.898305084746</v>
      </c>
      <c r="M3796" s="196" t="s">
        <v>425</v>
      </c>
    </row>
    <row r="3797" spans="1:13" ht="15" customHeight="1" outlineLevel="1" x14ac:dyDescent="0.25">
      <c r="A3797" s="148"/>
      <c r="B3797" s="148"/>
      <c r="C3797" s="148"/>
      <c r="D3797" s="138"/>
      <c r="E3797" s="138"/>
      <c r="F3797" s="50">
        <v>43647</v>
      </c>
      <c r="G3797" s="50">
        <v>43830</v>
      </c>
      <c r="H3797" s="150"/>
      <c r="I3797" s="119" t="s">
        <v>23</v>
      </c>
      <c r="J3797" s="119" t="s">
        <v>23</v>
      </c>
      <c r="K3797" s="13">
        <v>24.551400000000001</v>
      </c>
      <c r="L3797" s="13">
        <v>2062.3362711864411</v>
      </c>
      <c r="M3797" s="198"/>
    </row>
    <row r="3798" spans="1:13" ht="15" customHeight="1" outlineLevel="1" x14ac:dyDescent="0.25">
      <c r="A3798" s="148"/>
      <c r="B3798" s="148"/>
      <c r="C3798" s="148"/>
      <c r="D3798" s="138"/>
      <c r="E3798" s="138"/>
      <c r="F3798" s="50">
        <v>43466</v>
      </c>
      <c r="G3798" s="50">
        <v>43646</v>
      </c>
      <c r="H3798" s="150"/>
      <c r="I3798" s="119" t="s">
        <v>23</v>
      </c>
      <c r="J3798" s="119" t="s">
        <v>23</v>
      </c>
      <c r="K3798" s="13">
        <v>24.07</v>
      </c>
      <c r="L3798" s="13">
        <v>1712.9898305084746</v>
      </c>
      <c r="M3798" s="196" t="s">
        <v>426</v>
      </c>
    </row>
    <row r="3799" spans="1:13" ht="15" customHeight="1" outlineLevel="1" x14ac:dyDescent="0.25">
      <c r="A3799" s="148"/>
      <c r="B3799" s="148"/>
      <c r="C3799" s="148"/>
      <c r="D3799" s="138"/>
      <c r="E3799" s="138"/>
      <c r="F3799" s="50">
        <v>43647</v>
      </c>
      <c r="G3799" s="50">
        <v>43830</v>
      </c>
      <c r="H3799" s="150"/>
      <c r="I3799" s="119" t="s">
        <v>23</v>
      </c>
      <c r="J3799" s="119" t="s">
        <v>23</v>
      </c>
      <c r="K3799" s="13">
        <v>24.551400000000001</v>
      </c>
      <c r="L3799" s="13">
        <v>1747.2496271186442</v>
      </c>
      <c r="M3799" s="198"/>
    </row>
    <row r="3800" spans="1:13" ht="15" customHeight="1" outlineLevel="1" x14ac:dyDescent="0.25">
      <c r="A3800" s="148"/>
      <c r="B3800" s="148"/>
      <c r="C3800" s="148"/>
      <c r="D3800" s="138"/>
      <c r="E3800" s="138"/>
      <c r="F3800" s="50">
        <v>43466</v>
      </c>
      <c r="G3800" s="50">
        <v>43646</v>
      </c>
      <c r="H3800" s="150"/>
      <c r="I3800" s="119" t="s">
        <v>23</v>
      </c>
      <c r="J3800" s="119" t="s">
        <v>23</v>
      </c>
      <c r="K3800" s="13">
        <v>24.07</v>
      </c>
      <c r="L3800" s="13">
        <v>1868.7254237288137</v>
      </c>
      <c r="M3800" s="196" t="s">
        <v>427</v>
      </c>
    </row>
    <row r="3801" spans="1:13" ht="15" customHeight="1" outlineLevel="1" x14ac:dyDescent="0.25">
      <c r="A3801" s="147"/>
      <c r="B3801" s="147"/>
      <c r="C3801" s="147"/>
      <c r="D3801" s="141"/>
      <c r="E3801" s="141"/>
      <c r="F3801" s="50">
        <v>43647</v>
      </c>
      <c r="G3801" s="50">
        <v>43830</v>
      </c>
      <c r="H3801" s="151"/>
      <c r="I3801" s="119" t="s">
        <v>23</v>
      </c>
      <c r="J3801" s="119" t="s">
        <v>23</v>
      </c>
      <c r="K3801" s="13">
        <v>24.551400000000001</v>
      </c>
      <c r="L3801" s="13">
        <v>1906.0999322033899</v>
      </c>
      <c r="M3801" s="198"/>
    </row>
  </sheetData>
  <autoFilter ref="A4:M3801"/>
  <mergeCells count="3770">
    <mergeCell ref="A3784:A3801"/>
    <mergeCell ref="B3784:B3801"/>
    <mergeCell ref="D3784:D3785"/>
    <mergeCell ref="E3784:E3785"/>
    <mergeCell ref="H3784:H3785"/>
    <mergeCell ref="M3784:M3785"/>
    <mergeCell ref="D3786:D3801"/>
    <mergeCell ref="E3786:E3801"/>
    <mergeCell ref="H3786:H3801"/>
    <mergeCell ref="M3786:M3787"/>
    <mergeCell ref="M3788:M3789"/>
    <mergeCell ref="M3790:M3791"/>
    <mergeCell ref="M3792:M3793"/>
    <mergeCell ref="M3794:M3795"/>
    <mergeCell ref="M3796:M3797"/>
    <mergeCell ref="M3798:M3799"/>
    <mergeCell ref="M3800:M3801"/>
    <mergeCell ref="A3766:A3783"/>
    <mergeCell ref="B3766:B3783"/>
    <mergeCell ref="D3766:D3767"/>
    <mergeCell ref="E3766:E3767"/>
    <mergeCell ref="H3766:H3767"/>
    <mergeCell ref="M3766:M3767"/>
    <mergeCell ref="D3768:D3783"/>
    <mergeCell ref="E3768:E3783"/>
    <mergeCell ref="H3768:H3783"/>
    <mergeCell ref="M3768:M3769"/>
    <mergeCell ref="M3770:M3771"/>
    <mergeCell ref="M3772:M3773"/>
    <mergeCell ref="M3774:M3775"/>
    <mergeCell ref="M3776:M3777"/>
    <mergeCell ref="M3778:M3779"/>
    <mergeCell ref="M3780:M3781"/>
    <mergeCell ref="M3782:M3783"/>
    <mergeCell ref="A3748:A3765"/>
    <mergeCell ref="B3748:B3765"/>
    <mergeCell ref="D3748:D3749"/>
    <mergeCell ref="E3748:E3749"/>
    <mergeCell ref="H3748:H3749"/>
    <mergeCell ref="M3748:M3749"/>
    <mergeCell ref="D3750:D3765"/>
    <mergeCell ref="E3750:E3765"/>
    <mergeCell ref="H3750:H3765"/>
    <mergeCell ref="M3750:M3751"/>
    <mergeCell ref="M3752:M3753"/>
    <mergeCell ref="M3754:M3755"/>
    <mergeCell ref="M3756:M3757"/>
    <mergeCell ref="M3758:M3759"/>
    <mergeCell ref="M3760:M3761"/>
    <mergeCell ref="M3762:M3763"/>
    <mergeCell ref="M3764:M3765"/>
    <mergeCell ref="A3730:A3747"/>
    <mergeCell ref="B3730:B3747"/>
    <mergeCell ref="D3730:D3731"/>
    <mergeCell ref="E3730:E3731"/>
    <mergeCell ref="H3730:H3731"/>
    <mergeCell ref="M3730:M3731"/>
    <mergeCell ref="D3732:D3747"/>
    <mergeCell ref="E3732:E3747"/>
    <mergeCell ref="H3732:H3747"/>
    <mergeCell ref="M3732:M3733"/>
    <mergeCell ref="M3734:M3735"/>
    <mergeCell ref="M3736:M3737"/>
    <mergeCell ref="M3738:M3739"/>
    <mergeCell ref="M3740:M3741"/>
    <mergeCell ref="M3742:M3743"/>
    <mergeCell ref="M3744:M3745"/>
    <mergeCell ref="M3746:M3747"/>
    <mergeCell ref="A3712:A3729"/>
    <mergeCell ref="B3712:B3729"/>
    <mergeCell ref="D3712:D3713"/>
    <mergeCell ref="E3712:E3713"/>
    <mergeCell ref="H3712:H3713"/>
    <mergeCell ref="M3712:M3713"/>
    <mergeCell ref="D3714:D3729"/>
    <mergeCell ref="E3714:E3729"/>
    <mergeCell ref="H3714:H3729"/>
    <mergeCell ref="M3714:M3715"/>
    <mergeCell ref="M3716:M3717"/>
    <mergeCell ref="M3718:M3719"/>
    <mergeCell ref="M3720:M3721"/>
    <mergeCell ref="M3722:M3723"/>
    <mergeCell ref="M3724:M3725"/>
    <mergeCell ref="M3726:M3727"/>
    <mergeCell ref="M3728:M3729"/>
    <mergeCell ref="A3694:A3711"/>
    <mergeCell ref="B3694:B3711"/>
    <mergeCell ref="D3694:D3695"/>
    <mergeCell ref="E3694:E3695"/>
    <mergeCell ref="H3694:H3695"/>
    <mergeCell ref="M3694:M3695"/>
    <mergeCell ref="D3696:D3711"/>
    <mergeCell ref="E3696:E3711"/>
    <mergeCell ref="H3696:H3711"/>
    <mergeCell ref="M3696:M3697"/>
    <mergeCell ref="M3698:M3699"/>
    <mergeCell ref="M3700:M3701"/>
    <mergeCell ref="M3702:M3703"/>
    <mergeCell ref="M3704:M3705"/>
    <mergeCell ref="M3706:M3707"/>
    <mergeCell ref="M3708:M3709"/>
    <mergeCell ref="M3710:M3711"/>
    <mergeCell ref="A3676:A3693"/>
    <mergeCell ref="B3676:B3693"/>
    <mergeCell ref="D3676:D3677"/>
    <mergeCell ref="E3676:E3677"/>
    <mergeCell ref="H3676:H3677"/>
    <mergeCell ref="M3676:M3677"/>
    <mergeCell ref="D3678:D3693"/>
    <mergeCell ref="E3678:E3693"/>
    <mergeCell ref="H3678:H3693"/>
    <mergeCell ref="M3678:M3679"/>
    <mergeCell ref="M3680:M3681"/>
    <mergeCell ref="M3682:M3683"/>
    <mergeCell ref="M3684:M3685"/>
    <mergeCell ref="M3686:M3687"/>
    <mergeCell ref="M3688:M3689"/>
    <mergeCell ref="M3690:M3691"/>
    <mergeCell ref="M3692:M3693"/>
    <mergeCell ref="A3658:A3675"/>
    <mergeCell ref="B3658:B3675"/>
    <mergeCell ref="D3658:D3659"/>
    <mergeCell ref="E3658:E3659"/>
    <mergeCell ref="H3658:H3659"/>
    <mergeCell ref="M3658:M3659"/>
    <mergeCell ref="D3660:D3675"/>
    <mergeCell ref="E3660:E3675"/>
    <mergeCell ref="H3660:H3675"/>
    <mergeCell ref="M3660:M3661"/>
    <mergeCell ref="M3662:M3663"/>
    <mergeCell ref="M3664:M3665"/>
    <mergeCell ref="M3666:M3667"/>
    <mergeCell ref="M3668:M3669"/>
    <mergeCell ref="M3670:M3671"/>
    <mergeCell ref="M3672:M3673"/>
    <mergeCell ref="M3674:M3675"/>
    <mergeCell ref="M3634:M3635"/>
    <mergeCell ref="M3636:M3637"/>
    <mergeCell ref="M3638:M3639"/>
    <mergeCell ref="A3640:A3657"/>
    <mergeCell ref="B3640:B3657"/>
    <mergeCell ref="D3640:D3641"/>
    <mergeCell ref="E3640:E3641"/>
    <mergeCell ref="H3640:H3641"/>
    <mergeCell ref="M3640:M3641"/>
    <mergeCell ref="D3642:D3657"/>
    <mergeCell ref="E3642:E3657"/>
    <mergeCell ref="H3642:H3657"/>
    <mergeCell ref="M3642:M3643"/>
    <mergeCell ref="M3644:M3645"/>
    <mergeCell ref="M3646:M3647"/>
    <mergeCell ref="M3648:M3649"/>
    <mergeCell ref="M3650:M3651"/>
    <mergeCell ref="M3652:M3653"/>
    <mergeCell ref="M3654:M3655"/>
    <mergeCell ref="M3656:M3657"/>
    <mergeCell ref="A3604:A3621"/>
    <mergeCell ref="B3604:B3621"/>
    <mergeCell ref="C3604:C3801"/>
    <mergeCell ref="D3604:D3605"/>
    <mergeCell ref="E3604:E3605"/>
    <mergeCell ref="H3604:H3605"/>
    <mergeCell ref="M3604:M3605"/>
    <mergeCell ref="D3606:D3621"/>
    <mergeCell ref="E3606:E3621"/>
    <mergeCell ref="H3606:H3621"/>
    <mergeCell ref="M3606:M3607"/>
    <mergeCell ref="M3608:M3609"/>
    <mergeCell ref="M3610:M3611"/>
    <mergeCell ref="M3612:M3613"/>
    <mergeCell ref="M3614:M3615"/>
    <mergeCell ref="M3616:M3617"/>
    <mergeCell ref="M3618:M3619"/>
    <mergeCell ref="M3620:M3621"/>
    <mergeCell ref="A3622:A3639"/>
    <mergeCell ref="B3622:B3639"/>
    <mergeCell ref="D3622:D3623"/>
    <mergeCell ref="E3622:E3623"/>
    <mergeCell ref="H3622:H3623"/>
    <mergeCell ref="M3622:M3623"/>
    <mergeCell ref="D3624:D3639"/>
    <mergeCell ref="E3624:E3639"/>
    <mergeCell ref="H3624:H3639"/>
    <mergeCell ref="M3624:M3625"/>
    <mergeCell ref="M3626:M3627"/>
    <mergeCell ref="M3628:M3629"/>
    <mergeCell ref="M3630:M3631"/>
    <mergeCell ref="M3632:M3633"/>
    <mergeCell ref="A3586:A3603"/>
    <mergeCell ref="B3586:B3603"/>
    <mergeCell ref="C3586:C3603"/>
    <mergeCell ref="D3586:D3587"/>
    <mergeCell ref="E3586:E3587"/>
    <mergeCell ref="H3586:H3587"/>
    <mergeCell ref="M3586:M3587"/>
    <mergeCell ref="D3588:D3603"/>
    <mergeCell ref="E3588:E3603"/>
    <mergeCell ref="H3588:H3603"/>
    <mergeCell ref="M3588:M3589"/>
    <mergeCell ref="M3590:M3591"/>
    <mergeCell ref="M3592:M3593"/>
    <mergeCell ref="M3594:M3595"/>
    <mergeCell ref="M3596:M3597"/>
    <mergeCell ref="M3598:M3599"/>
    <mergeCell ref="M3600:M3601"/>
    <mergeCell ref="M3602:M3603"/>
    <mergeCell ref="A2958:A2975"/>
    <mergeCell ref="B2958:B2975"/>
    <mergeCell ref="C2958:C2975"/>
    <mergeCell ref="D2958:D2959"/>
    <mergeCell ref="E2958:E2959"/>
    <mergeCell ref="H2958:H2959"/>
    <mergeCell ref="M2958:M2959"/>
    <mergeCell ref="D2960:D2975"/>
    <mergeCell ref="E2960:E2975"/>
    <mergeCell ref="H2960:H2975"/>
    <mergeCell ref="M2960:M2961"/>
    <mergeCell ref="M2962:M2963"/>
    <mergeCell ref="M2964:M2965"/>
    <mergeCell ref="M2966:M2967"/>
    <mergeCell ref="M2968:M2969"/>
    <mergeCell ref="M2970:M2971"/>
    <mergeCell ref="M2972:M2973"/>
    <mergeCell ref="M2974:M2975"/>
    <mergeCell ref="A2940:A2957"/>
    <mergeCell ref="B2940:B2957"/>
    <mergeCell ref="C2940:C2957"/>
    <mergeCell ref="D2940:D2941"/>
    <mergeCell ref="E2940:E2941"/>
    <mergeCell ref="H2940:H2941"/>
    <mergeCell ref="M2940:M2941"/>
    <mergeCell ref="D2942:D2957"/>
    <mergeCell ref="E2942:E2957"/>
    <mergeCell ref="H2942:H2957"/>
    <mergeCell ref="M2942:M2943"/>
    <mergeCell ref="M2944:M2945"/>
    <mergeCell ref="M2946:M2947"/>
    <mergeCell ref="M2948:M2949"/>
    <mergeCell ref="M2950:M2951"/>
    <mergeCell ref="M2952:M2953"/>
    <mergeCell ref="M2954:M2955"/>
    <mergeCell ref="M2956:M2957"/>
    <mergeCell ref="A2922:A2939"/>
    <mergeCell ref="B2922:B2939"/>
    <mergeCell ref="C2922:C2939"/>
    <mergeCell ref="D2922:D2923"/>
    <mergeCell ref="E2922:E2923"/>
    <mergeCell ref="H2922:H2923"/>
    <mergeCell ref="M2922:M2923"/>
    <mergeCell ref="D2924:D2939"/>
    <mergeCell ref="E2924:E2939"/>
    <mergeCell ref="H2924:H2939"/>
    <mergeCell ref="M2924:M2925"/>
    <mergeCell ref="M2926:M2927"/>
    <mergeCell ref="M2928:M2929"/>
    <mergeCell ref="M2930:M2931"/>
    <mergeCell ref="M2932:M2933"/>
    <mergeCell ref="M2934:M2935"/>
    <mergeCell ref="M2936:M2937"/>
    <mergeCell ref="M2938:M2939"/>
    <mergeCell ref="M2898:M2899"/>
    <mergeCell ref="M2900:M2901"/>
    <mergeCell ref="M2902:M2903"/>
    <mergeCell ref="A2904:A2921"/>
    <mergeCell ref="B2904:B2921"/>
    <mergeCell ref="C2904:C2921"/>
    <mergeCell ref="D2904:D2905"/>
    <mergeCell ref="E2904:E2905"/>
    <mergeCell ref="H2904:H2905"/>
    <mergeCell ref="M2904:M2905"/>
    <mergeCell ref="D2906:D2921"/>
    <mergeCell ref="E2906:E2921"/>
    <mergeCell ref="H2906:H2921"/>
    <mergeCell ref="M2906:M2907"/>
    <mergeCell ref="M2908:M2909"/>
    <mergeCell ref="M2910:M2911"/>
    <mergeCell ref="M2912:M2913"/>
    <mergeCell ref="M2914:M2915"/>
    <mergeCell ref="M2916:M2917"/>
    <mergeCell ref="M2918:M2919"/>
    <mergeCell ref="M2920:M2921"/>
    <mergeCell ref="A2868:A2885"/>
    <mergeCell ref="B2868:B2885"/>
    <mergeCell ref="C2868:C2903"/>
    <mergeCell ref="D2868:D2869"/>
    <mergeCell ref="E2868:E2869"/>
    <mergeCell ref="H2868:H2869"/>
    <mergeCell ref="M2868:M2869"/>
    <mergeCell ref="D2870:D2885"/>
    <mergeCell ref="E2870:E2885"/>
    <mergeCell ref="H2870:H2885"/>
    <mergeCell ref="M2870:M2871"/>
    <mergeCell ref="M2872:M2873"/>
    <mergeCell ref="M2874:M2875"/>
    <mergeCell ref="M2876:M2877"/>
    <mergeCell ref="M2878:M2879"/>
    <mergeCell ref="M2880:M2881"/>
    <mergeCell ref="M2882:M2883"/>
    <mergeCell ref="M2884:M2885"/>
    <mergeCell ref="A2886:A2903"/>
    <mergeCell ref="B2886:B2903"/>
    <mergeCell ref="D2886:D2887"/>
    <mergeCell ref="E2886:E2887"/>
    <mergeCell ref="H2886:H2887"/>
    <mergeCell ref="M2886:M2887"/>
    <mergeCell ref="D2888:D2903"/>
    <mergeCell ref="E2888:E2903"/>
    <mergeCell ref="H2888:H2903"/>
    <mergeCell ref="M2888:M2889"/>
    <mergeCell ref="M2890:M2891"/>
    <mergeCell ref="M2892:M2893"/>
    <mergeCell ref="M2894:M2895"/>
    <mergeCell ref="M2896:M2897"/>
    <mergeCell ref="A2375:A2392"/>
    <mergeCell ref="B2375:B2392"/>
    <mergeCell ref="C2375:C2392"/>
    <mergeCell ref="D2375:D2376"/>
    <mergeCell ref="E2375:E2376"/>
    <mergeCell ref="H2375:H2376"/>
    <mergeCell ref="M2375:M2376"/>
    <mergeCell ref="D2377:D2392"/>
    <mergeCell ref="E2377:E2392"/>
    <mergeCell ref="H2377:H2392"/>
    <mergeCell ref="M2377:M2378"/>
    <mergeCell ref="M2379:M2380"/>
    <mergeCell ref="M2381:M2382"/>
    <mergeCell ref="M2383:M2384"/>
    <mergeCell ref="M2385:M2386"/>
    <mergeCell ref="M2387:M2388"/>
    <mergeCell ref="M2389:M2390"/>
    <mergeCell ref="M2391:M2392"/>
    <mergeCell ref="M2351:M2352"/>
    <mergeCell ref="M2353:M2354"/>
    <mergeCell ref="M2355:M2356"/>
    <mergeCell ref="A2357:A2374"/>
    <mergeCell ref="B2357:B2374"/>
    <mergeCell ref="D2357:D2358"/>
    <mergeCell ref="E2357:E2358"/>
    <mergeCell ref="H2357:H2358"/>
    <mergeCell ref="M2357:M2358"/>
    <mergeCell ref="D2359:D2374"/>
    <mergeCell ref="E2359:E2374"/>
    <mergeCell ref="H2359:H2374"/>
    <mergeCell ref="M2359:M2360"/>
    <mergeCell ref="M2361:M2362"/>
    <mergeCell ref="M2363:M2364"/>
    <mergeCell ref="M2365:M2366"/>
    <mergeCell ref="M2367:M2368"/>
    <mergeCell ref="M2369:M2370"/>
    <mergeCell ref="M2371:M2372"/>
    <mergeCell ref="M2373:M2374"/>
    <mergeCell ref="A2321:A2338"/>
    <mergeCell ref="B2321:B2338"/>
    <mergeCell ref="C2321:C2374"/>
    <mergeCell ref="D2321:D2322"/>
    <mergeCell ref="E2321:E2322"/>
    <mergeCell ref="H2321:H2322"/>
    <mergeCell ref="M2321:M2322"/>
    <mergeCell ref="D2323:D2338"/>
    <mergeCell ref="E2323:E2338"/>
    <mergeCell ref="H2323:H2338"/>
    <mergeCell ref="M2323:M2324"/>
    <mergeCell ref="M2325:M2326"/>
    <mergeCell ref="M2327:M2328"/>
    <mergeCell ref="M2329:M2330"/>
    <mergeCell ref="M2331:M2332"/>
    <mergeCell ref="M2333:M2334"/>
    <mergeCell ref="M2335:M2336"/>
    <mergeCell ref="M2337:M2338"/>
    <mergeCell ref="A2339:A2356"/>
    <mergeCell ref="B2339:B2356"/>
    <mergeCell ref="D2339:D2340"/>
    <mergeCell ref="E2339:E2340"/>
    <mergeCell ref="H2339:H2340"/>
    <mergeCell ref="M2339:M2340"/>
    <mergeCell ref="D2341:D2356"/>
    <mergeCell ref="E2341:E2356"/>
    <mergeCell ref="H2341:H2356"/>
    <mergeCell ref="M2341:M2342"/>
    <mergeCell ref="M2343:M2344"/>
    <mergeCell ref="M2345:M2346"/>
    <mergeCell ref="M2347:M2348"/>
    <mergeCell ref="M2349:M2350"/>
    <mergeCell ref="A2303:A2320"/>
    <mergeCell ref="B2303:B2320"/>
    <mergeCell ref="C2303:C2320"/>
    <mergeCell ref="D2303:D2304"/>
    <mergeCell ref="E2303:E2304"/>
    <mergeCell ref="H2303:H2304"/>
    <mergeCell ref="M2303:M2304"/>
    <mergeCell ref="D2305:D2320"/>
    <mergeCell ref="E2305:E2320"/>
    <mergeCell ref="H2305:H2320"/>
    <mergeCell ref="M2305:M2306"/>
    <mergeCell ref="M2307:M2308"/>
    <mergeCell ref="M2309:M2310"/>
    <mergeCell ref="M2311:M2312"/>
    <mergeCell ref="M2313:M2314"/>
    <mergeCell ref="M2315:M2316"/>
    <mergeCell ref="M2317:M2318"/>
    <mergeCell ref="M2319:M2320"/>
    <mergeCell ref="C2976:C2977"/>
    <mergeCell ref="C2978:C2995"/>
    <mergeCell ref="A2811:A2812"/>
    <mergeCell ref="B2811:B2812"/>
    <mergeCell ref="C2811:C2812"/>
    <mergeCell ref="D2811:D2812"/>
    <mergeCell ref="E2811:E2812"/>
    <mergeCell ref="H2811:H2812"/>
    <mergeCell ref="M2811:M2812"/>
    <mergeCell ref="A2814:A2831"/>
    <mergeCell ref="B2814:B2831"/>
    <mergeCell ref="C2814:C2831"/>
    <mergeCell ref="D2814:D2815"/>
    <mergeCell ref="E2814:E2815"/>
    <mergeCell ref="H2814:H2815"/>
    <mergeCell ref="M2814:M2815"/>
    <mergeCell ref="D2816:D2831"/>
    <mergeCell ref="E2816:E2831"/>
    <mergeCell ref="H2816:H2831"/>
    <mergeCell ref="M2816:M2817"/>
    <mergeCell ref="M2818:M2819"/>
    <mergeCell ref="M2820:M2821"/>
    <mergeCell ref="M2822:M2823"/>
    <mergeCell ref="M2824:M2825"/>
    <mergeCell ref="M2826:M2827"/>
    <mergeCell ref="M2828:M2829"/>
    <mergeCell ref="M2830:M2831"/>
    <mergeCell ref="A2832:A2849"/>
    <mergeCell ref="B2832:B2849"/>
    <mergeCell ref="D2832:D2833"/>
    <mergeCell ref="E2832:E2833"/>
    <mergeCell ref="H2832:H2833"/>
    <mergeCell ref="A2793:A2810"/>
    <mergeCell ref="B2793:B2810"/>
    <mergeCell ref="C2793:C2810"/>
    <mergeCell ref="D2793:D2794"/>
    <mergeCell ref="E2793:E2794"/>
    <mergeCell ref="H2793:H2794"/>
    <mergeCell ref="M2793:M2794"/>
    <mergeCell ref="D2795:D2810"/>
    <mergeCell ref="E2795:E2810"/>
    <mergeCell ref="H2795:H2810"/>
    <mergeCell ref="M2795:M2796"/>
    <mergeCell ref="M2797:M2798"/>
    <mergeCell ref="M2799:M2800"/>
    <mergeCell ref="M2801:M2802"/>
    <mergeCell ref="M2803:M2804"/>
    <mergeCell ref="M2805:M2806"/>
    <mergeCell ref="M2807:M2808"/>
    <mergeCell ref="M2809:M2810"/>
    <mergeCell ref="A2774:A2791"/>
    <mergeCell ref="B2774:B2791"/>
    <mergeCell ref="D2774:D2775"/>
    <mergeCell ref="E2774:E2775"/>
    <mergeCell ref="H2774:H2775"/>
    <mergeCell ref="M2774:M2775"/>
    <mergeCell ref="D2776:D2791"/>
    <mergeCell ref="E2776:E2791"/>
    <mergeCell ref="H2776:H2791"/>
    <mergeCell ref="M2776:M2777"/>
    <mergeCell ref="M2778:M2779"/>
    <mergeCell ref="M2780:M2781"/>
    <mergeCell ref="M2782:M2783"/>
    <mergeCell ref="M2784:M2785"/>
    <mergeCell ref="M2786:M2787"/>
    <mergeCell ref="M2788:M2789"/>
    <mergeCell ref="M2790:M2791"/>
    <mergeCell ref="C2576:C2791"/>
    <mergeCell ref="A2756:A2773"/>
    <mergeCell ref="B2756:B2773"/>
    <mergeCell ref="D2756:D2757"/>
    <mergeCell ref="E2756:E2757"/>
    <mergeCell ref="H2756:H2757"/>
    <mergeCell ref="M2756:M2757"/>
    <mergeCell ref="D2758:D2773"/>
    <mergeCell ref="E2758:E2773"/>
    <mergeCell ref="H2758:H2773"/>
    <mergeCell ref="M2758:M2759"/>
    <mergeCell ref="M2760:M2761"/>
    <mergeCell ref="M2762:M2763"/>
    <mergeCell ref="M2764:M2765"/>
    <mergeCell ref="M2766:M2767"/>
    <mergeCell ref="M2768:M2769"/>
    <mergeCell ref="M2770:M2771"/>
    <mergeCell ref="M2772:M2773"/>
    <mergeCell ref="A2738:A2755"/>
    <mergeCell ref="B2738:B2755"/>
    <mergeCell ref="D2738:D2739"/>
    <mergeCell ref="E2738:E2739"/>
    <mergeCell ref="H2738:H2739"/>
    <mergeCell ref="M2738:M2739"/>
    <mergeCell ref="D2740:D2755"/>
    <mergeCell ref="E2740:E2755"/>
    <mergeCell ref="H2740:H2755"/>
    <mergeCell ref="M2740:M2741"/>
    <mergeCell ref="M2742:M2743"/>
    <mergeCell ref="M2744:M2745"/>
    <mergeCell ref="M2746:M2747"/>
    <mergeCell ref="M2748:M2749"/>
    <mergeCell ref="M2750:M2751"/>
    <mergeCell ref="M2752:M2753"/>
    <mergeCell ref="M2754:M2755"/>
    <mergeCell ref="A2720:A2737"/>
    <mergeCell ref="B2720:B2737"/>
    <mergeCell ref="D2720:D2721"/>
    <mergeCell ref="E2720:E2721"/>
    <mergeCell ref="H2720:H2721"/>
    <mergeCell ref="M2720:M2721"/>
    <mergeCell ref="D2722:D2737"/>
    <mergeCell ref="E2722:E2737"/>
    <mergeCell ref="H2722:H2737"/>
    <mergeCell ref="M2722:M2723"/>
    <mergeCell ref="M2724:M2725"/>
    <mergeCell ref="M2726:M2727"/>
    <mergeCell ref="M2728:M2729"/>
    <mergeCell ref="M2730:M2731"/>
    <mergeCell ref="M2732:M2733"/>
    <mergeCell ref="M2734:M2735"/>
    <mergeCell ref="M2736:M2737"/>
    <mergeCell ref="A2702:A2719"/>
    <mergeCell ref="B2702:B2719"/>
    <mergeCell ref="D2702:D2703"/>
    <mergeCell ref="E2702:E2703"/>
    <mergeCell ref="H2702:H2703"/>
    <mergeCell ref="M2702:M2703"/>
    <mergeCell ref="D2704:D2719"/>
    <mergeCell ref="E2704:E2719"/>
    <mergeCell ref="H2704:H2719"/>
    <mergeCell ref="M2704:M2705"/>
    <mergeCell ref="M2706:M2707"/>
    <mergeCell ref="M2708:M2709"/>
    <mergeCell ref="M2710:M2711"/>
    <mergeCell ref="M2712:M2713"/>
    <mergeCell ref="M2714:M2715"/>
    <mergeCell ref="M2716:M2717"/>
    <mergeCell ref="M2718:M2719"/>
    <mergeCell ref="A2684:A2701"/>
    <mergeCell ref="B2684:B2701"/>
    <mergeCell ref="D2684:D2685"/>
    <mergeCell ref="E2684:E2685"/>
    <mergeCell ref="H2684:H2685"/>
    <mergeCell ref="M2684:M2685"/>
    <mergeCell ref="D2686:D2701"/>
    <mergeCell ref="E2686:E2701"/>
    <mergeCell ref="H2686:H2701"/>
    <mergeCell ref="M2686:M2687"/>
    <mergeCell ref="M2688:M2689"/>
    <mergeCell ref="M2690:M2691"/>
    <mergeCell ref="M2692:M2693"/>
    <mergeCell ref="M2694:M2695"/>
    <mergeCell ref="M2696:M2697"/>
    <mergeCell ref="M2698:M2699"/>
    <mergeCell ref="M2700:M2701"/>
    <mergeCell ref="A2666:A2683"/>
    <mergeCell ref="B2666:B2683"/>
    <mergeCell ref="D2666:D2667"/>
    <mergeCell ref="E2666:E2667"/>
    <mergeCell ref="H2666:H2667"/>
    <mergeCell ref="M2666:M2667"/>
    <mergeCell ref="D2668:D2683"/>
    <mergeCell ref="E2668:E2683"/>
    <mergeCell ref="H2668:H2683"/>
    <mergeCell ref="M2668:M2669"/>
    <mergeCell ref="M2670:M2671"/>
    <mergeCell ref="M2672:M2673"/>
    <mergeCell ref="M2674:M2675"/>
    <mergeCell ref="M2676:M2677"/>
    <mergeCell ref="M2678:M2679"/>
    <mergeCell ref="M2680:M2681"/>
    <mergeCell ref="M2682:M2683"/>
    <mergeCell ref="A2648:A2665"/>
    <mergeCell ref="B2648:B2665"/>
    <mergeCell ref="D2648:D2649"/>
    <mergeCell ref="E2648:E2649"/>
    <mergeCell ref="H2648:H2649"/>
    <mergeCell ref="M2648:M2649"/>
    <mergeCell ref="D2650:D2665"/>
    <mergeCell ref="E2650:E2665"/>
    <mergeCell ref="H2650:H2665"/>
    <mergeCell ref="M2650:M2651"/>
    <mergeCell ref="M2652:M2653"/>
    <mergeCell ref="M2654:M2655"/>
    <mergeCell ref="M2656:M2657"/>
    <mergeCell ref="M2658:M2659"/>
    <mergeCell ref="M2660:M2661"/>
    <mergeCell ref="M2662:M2663"/>
    <mergeCell ref="M2664:M2665"/>
    <mergeCell ref="A2630:A2647"/>
    <mergeCell ref="B2630:B2647"/>
    <mergeCell ref="D2630:D2631"/>
    <mergeCell ref="E2630:E2631"/>
    <mergeCell ref="H2630:H2631"/>
    <mergeCell ref="M2630:M2631"/>
    <mergeCell ref="D2632:D2647"/>
    <mergeCell ref="E2632:E2647"/>
    <mergeCell ref="H2632:H2647"/>
    <mergeCell ref="M2632:M2633"/>
    <mergeCell ref="M2634:M2635"/>
    <mergeCell ref="M2636:M2637"/>
    <mergeCell ref="M2638:M2639"/>
    <mergeCell ref="M2640:M2641"/>
    <mergeCell ref="M2642:M2643"/>
    <mergeCell ref="M2644:M2645"/>
    <mergeCell ref="M2646:M2647"/>
    <mergeCell ref="A2612:A2629"/>
    <mergeCell ref="B2612:B2629"/>
    <mergeCell ref="D2612:D2613"/>
    <mergeCell ref="E2612:E2613"/>
    <mergeCell ref="H2612:H2613"/>
    <mergeCell ref="M2612:M2613"/>
    <mergeCell ref="D2614:D2629"/>
    <mergeCell ref="E2614:E2629"/>
    <mergeCell ref="H2614:H2629"/>
    <mergeCell ref="M2614:M2615"/>
    <mergeCell ref="M2616:M2617"/>
    <mergeCell ref="M2618:M2619"/>
    <mergeCell ref="M2620:M2621"/>
    <mergeCell ref="M2622:M2623"/>
    <mergeCell ref="M2624:M2625"/>
    <mergeCell ref="M2626:M2627"/>
    <mergeCell ref="M2628:M2629"/>
    <mergeCell ref="A2594:A2611"/>
    <mergeCell ref="B2594:B2611"/>
    <mergeCell ref="D2594:D2595"/>
    <mergeCell ref="E2594:E2595"/>
    <mergeCell ref="H2594:H2595"/>
    <mergeCell ref="M2594:M2595"/>
    <mergeCell ref="D2596:D2611"/>
    <mergeCell ref="E2596:E2611"/>
    <mergeCell ref="H2596:H2611"/>
    <mergeCell ref="M2596:M2597"/>
    <mergeCell ref="M2598:M2599"/>
    <mergeCell ref="M2600:M2601"/>
    <mergeCell ref="M2602:M2603"/>
    <mergeCell ref="M2604:M2605"/>
    <mergeCell ref="M2606:M2607"/>
    <mergeCell ref="M2608:M2609"/>
    <mergeCell ref="M2610:M2611"/>
    <mergeCell ref="A2576:A2593"/>
    <mergeCell ref="B2576:B2593"/>
    <mergeCell ref="D2576:D2577"/>
    <mergeCell ref="E2576:E2577"/>
    <mergeCell ref="H2576:H2577"/>
    <mergeCell ref="M2576:M2577"/>
    <mergeCell ref="D2578:D2593"/>
    <mergeCell ref="E2578:E2593"/>
    <mergeCell ref="H2578:H2593"/>
    <mergeCell ref="M2578:M2579"/>
    <mergeCell ref="M2580:M2581"/>
    <mergeCell ref="M2582:M2583"/>
    <mergeCell ref="M2584:M2585"/>
    <mergeCell ref="M2586:M2587"/>
    <mergeCell ref="M2588:M2589"/>
    <mergeCell ref="M2590:M2591"/>
    <mergeCell ref="M2592:M2593"/>
    <mergeCell ref="A2556:A2573"/>
    <mergeCell ref="B2556:B2573"/>
    <mergeCell ref="C2556:C2573"/>
    <mergeCell ref="D2556:D2557"/>
    <mergeCell ref="E2556:E2557"/>
    <mergeCell ref="H2556:H2557"/>
    <mergeCell ref="M2556:M2557"/>
    <mergeCell ref="D2558:D2573"/>
    <mergeCell ref="E2558:E2573"/>
    <mergeCell ref="H2558:H2573"/>
    <mergeCell ref="M2558:M2559"/>
    <mergeCell ref="M2560:M2561"/>
    <mergeCell ref="M2562:M2563"/>
    <mergeCell ref="M2564:M2565"/>
    <mergeCell ref="M2566:M2567"/>
    <mergeCell ref="M2568:M2569"/>
    <mergeCell ref="M2570:M2571"/>
    <mergeCell ref="M2572:M2573"/>
    <mergeCell ref="A2538:A2555"/>
    <mergeCell ref="B2538:B2555"/>
    <mergeCell ref="C2538:C2555"/>
    <mergeCell ref="D2538:D2539"/>
    <mergeCell ref="E2538:E2539"/>
    <mergeCell ref="H2538:H2539"/>
    <mergeCell ref="M2538:M2539"/>
    <mergeCell ref="D2540:D2555"/>
    <mergeCell ref="E2540:E2555"/>
    <mergeCell ref="H2540:H2555"/>
    <mergeCell ref="M2540:M2541"/>
    <mergeCell ref="M2542:M2543"/>
    <mergeCell ref="M2544:M2545"/>
    <mergeCell ref="M2546:M2547"/>
    <mergeCell ref="M2548:M2549"/>
    <mergeCell ref="M2550:M2551"/>
    <mergeCell ref="M2552:M2553"/>
    <mergeCell ref="M2554:M2555"/>
    <mergeCell ref="A2520:A2537"/>
    <mergeCell ref="B2520:B2537"/>
    <mergeCell ref="C2520:C2537"/>
    <mergeCell ref="D2520:D2521"/>
    <mergeCell ref="E2520:E2521"/>
    <mergeCell ref="H2520:H2521"/>
    <mergeCell ref="M2520:M2521"/>
    <mergeCell ref="D2522:D2537"/>
    <mergeCell ref="E2522:E2537"/>
    <mergeCell ref="H2522:H2537"/>
    <mergeCell ref="M2522:M2523"/>
    <mergeCell ref="M2524:M2525"/>
    <mergeCell ref="M2526:M2527"/>
    <mergeCell ref="M2528:M2529"/>
    <mergeCell ref="M2530:M2531"/>
    <mergeCell ref="M2532:M2533"/>
    <mergeCell ref="M2534:M2535"/>
    <mergeCell ref="M2536:M2537"/>
    <mergeCell ref="A2502:A2519"/>
    <mergeCell ref="B2502:B2519"/>
    <mergeCell ref="C2502:C2519"/>
    <mergeCell ref="D2502:D2503"/>
    <mergeCell ref="E2502:E2503"/>
    <mergeCell ref="H2502:H2503"/>
    <mergeCell ref="M2502:M2503"/>
    <mergeCell ref="D2504:D2519"/>
    <mergeCell ref="E2504:E2519"/>
    <mergeCell ref="H2504:H2519"/>
    <mergeCell ref="M2504:M2505"/>
    <mergeCell ref="M2506:M2507"/>
    <mergeCell ref="M2508:M2509"/>
    <mergeCell ref="M2510:M2511"/>
    <mergeCell ref="M2512:M2513"/>
    <mergeCell ref="M2514:M2515"/>
    <mergeCell ref="M2516:M2517"/>
    <mergeCell ref="M2518:M2519"/>
    <mergeCell ref="A2484:A2501"/>
    <mergeCell ref="B2484:B2501"/>
    <mergeCell ref="C2484:C2501"/>
    <mergeCell ref="D2484:D2485"/>
    <mergeCell ref="E2484:E2485"/>
    <mergeCell ref="H2484:H2485"/>
    <mergeCell ref="M2484:M2485"/>
    <mergeCell ref="D2486:D2501"/>
    <mergeCell ref="E2486:E2501"/>
    <mergeCell ref="H2486:H2501"/>
    <mergeCell ref="M2486:M2487"/>
    <mergeCell ref="M2488:M2489"/>
    <mergeCell ref="M2490:M2491"/>
    <mergeCell ref="M2492:M2493"/>
    <mergeCell ref="M2494:M2495"/>
    <mergeCell ref="M2496:M2497"/>
    <mergeCell ref="M2498:M2499"/>
    <mergeCell ref="M2500:M2501"/>
    <mergeCell ref="C2411:C2428"/>
    <mergeCell ref="C2429:C2446"/>
    <mergeCell ref="C2447:C2464"/>
    <mergeCell ref="M2427:M2428"/>
    <mergeCell ref="M2459:M2460"/>
    <mergeCell ref="M2461:M2462"/>
    <mergeCell ref="M2463:M2464"/>
    <mergeCell ref="A2429:A2446"/>
    <mergeCell ref="B2429:B2446"/>
    <mergeCell ref="D2429:D2430"/>
    <mergeCell ref="E2429:E2430"/>
    <mergeCell ref="H2429:H2430"/>
    <mergeCell ref="M2429:M2430"/>
    <mergeCell ref="A2466:A2483"/>
    <mergeCell ref="B2466:B2483"/>
    <mergeCell ref="C2466:C2483"/>
    <mergeCell ref="D2466:D2467"/>
    <mergeCell ref="E2466:E2467"/>
    <mergeCell ref="H2466:H2467"/>
    <mergeCell ref="M2466:M2467"/>
    <mergeCell ref="D2468:D2483"/>
    <mergeCell ref="E2468:E2483"/>
    <mergeCell ref="H2468:H2483"/>
    <mergeCell ref="M2468:M2469"/>
    <mergeCell ref="M2470:M2471"/>
    <mergeCell ref="M2472:M2473"/>
    <mergeCell ref="M2474:M2475"/>
    <mergeCell ref="M2476:M2477"/>
    <mergeCell ref="M2478:M2479"/>
    <mergeCell ref="M2480:M2481"/>
    <mergeCell ref="M2482:M2483"/>
    <mergeCell ref="D2431:D2446"/>
    <mergeCell ref="A2393:A2410"/>
    <mergeCell ref="B2393:B2410"/>
    <mergeCell ref="C2393:C2410"/>
    <mergeCell ref="D2393:D2394"/>
    <mergeCell ref="E2393:E2394"/>
    <mergeCell ref="H2393:H2394"/>
    <mergeCell ref="M2393:M2394"/>
    <mergeCell ref="D2395:D2410"/>
    <mergeCell ref="E2395:E2410"/>
    <mergeCell ref="H2395:H2410"/>
    <mergeCell ref="M2395:M2396"/>
    <mergeCell ref="M2397:M2398"/>
    <mergeCell ref="M2399:M2400"/>
    <mergeCell ref="M2401:M2402"/>
    <mergeCell ref="M2403:M2404"/>
    <mergeCell ref="M2405:M2406"/>
    <mergeCell ref="M2407:M2408"/>
    <mergeCell ref="M2409:M2410"/>
    <mergeCell ref="E2431:E2446"/>
    <mergeCell ref="H2431:H2446"/>
    <mergeCell ref="M2431:M2432"/>
    <mergeCell ref="M2433:M2434"/>
    <mergeCell ref="M2435:M2436"/>
    <mergeCell ref="M2437:M2438"/>
    <mergeCell ref="M2439:M2440"/>
    <mergeCell ref="M2441:M2442"/>
    <mergeCell ref="M2443:M2444"/>
    <mergeCell ref="M2445:M2446"/>
    <mergeCell ref="A2447:A2464"/>
    <mergeCell ref="B2447:B2464"/>
    <mergeCell ref="D2447:D2448"/>
    <mergeCell ref="E2447:E2448"/>
    <mergeCell ref="H2447:H2448"/>
    <mergeCell ref="M2447:M2448"/>
    <mergeCell ref="D2449:D2464"/>
    <mergeCell ref="E2449:E2464"/>
    <mergeCell ref="H2449:H2464"/>
    <mergeCell ref="M2449:M2450"/>
    <mergeCell ref="M2451:M2452"/>
    <mergeCell ref="M2457:M2458"/>
    <mergeCell ref="M2455:M2456"/>
    <mergeCell ref="M2453:M2454"/>
    <mergeCell ref="A2282:A2283"/>
    <mergeCell ref="B2282:B2283"/>
    <mergeCell ref="C2282:C2283"/>
    <mergeCell ref="D2282:D2283"/>
    <mergeCell ref="E2282:E2283"/>
    <mergeCell ref="H2282:H2283"/>
    <mergeCell ref="M2282:M2283"/>
    <mergeCell ref="C2246:C2281"/>
    <mergeCell ref="A2285:A2302"/>
    <mergeCell ref="B2285:B2302"/>
    <mergeCell ref="C2285:C2302"/>
    <mergeCell ref="D2285:D2286"/>
    <mergeCell ref="E2285:E2286"/>
    <mergeCell ref="H2285:H2286"/>
    <mergeCell ref="M2285:M2286"/>
    <mergeCell ref="D2287:D2302"/>
    <mergeCell ref="E2287:E2302"/>
    <mergeCell ref="H2287:H2302"/>
    <mergeCell ref="M2287:M2288"/>
    <mergeCell ref="M2289:M2290"/>
    <mergeCell ref="M2291:M2292"/>
    <mergeCell ref="M2293:M2294"/>
    <mergeCell ref="M2295:M2296"/>
    <mergeCell ref="M2297:M2298"/>
    <mergeCell ref="M2299:M2300"/>
    <mergeCell ref="M2301:M2302"/>
    <mergeCell ref="D2264:D2265"/>
    <mergeCell ref="E2264:E2265"/>
    <mergeCell ref="H2264:H2265"/>
    <mergeCell ref="M2264:M2265"/>
    <mergeCell ref="E2246:E2247"/>
    <mergeCell ref="H2246:H2247"/>
    <mergeCell ref="A2411:A2428"/>
    <mergeCell ref="A2264:A2281"/>
    <mergeCell ref="B2264:B2281"/>
    <mergeCell ref="D2266:D2281"/>
    <mergeCell ref="E2266:E2281"/>
    <mergeCell ref="H2266:H2281"/>
    <mergeCell ref="M2266:M2267"/>
    <mergeCell ref="M2268:M2269"/>
    <mergeCell ref="M2270:M2271"/>
    <mergeCell ref="M2272:M2273"/>
    <mergeCell ref="M2274:M2275"/>
    <mergeCell ref="M2276:M2277"/>
    <mergeCell ref="M2278:M2279"/>
    <mergeCell ref="M2280:M2281"/>
    <mergeCell ref="A2246:A2263"/>
    <mergeCell ref="B2246:B2263"/>
    <mergeCell ref="D2246:D2247"/>
    <mergeCell ref="B2411:B2428"/>
    <mergeCell ref="D2411:D2412"/>
    <mergeCell ref="E2411:E2412"/>
    <mergeCell ref="H2411:H2412"/>
    <mergeCell ref="M2411:M2412"/>
    <mergeCell ref="D2413:D2428"/>
    <mergeCell ref="E2413:E2428"/>
    <mergeCell ref="H2413:H2428"/>
    <mergeCell ref="M2413:M2414"/>
    <mergeCell ref="M2415:M2416"/>
    <mergeCell ref="M2417:M2418"/>
    <mergeCell ref="M2419:M2420"/>
    <mergeCell ref="M2421:M2422"/>
    <mergeCell ref="M2423:M2424"/>
    <mergeCell ref="M2425:M2426"/>
    <mergeCell ref="M2246:M2247"/>
    <mergeCell ref="D2248:D2263"/>
    <mergeCell ref="E2248:E2263"/>
    <mergeCell ref="H2248:H2263"/>
    <mergeCell ref="M2248:M2249"/>
    <mergeCell ref="M2250:M2251"/>
    <mergeCell ref="M2252:M2253"/>
    <mergeCell ref="M2254:M2255"/>
    <mergeCell ref="M2256:M2257"/>
    <mergeCell ref="M2258:M2259"/>
    <mergeCell ref="M2260:M2261"/>
    <mergeCell ref="M2262:M2263"/>
    <mergeCell ref="A2228:A2245"/>
    <mergeCell ref="B2228:B2245"/>
    <mergeCell ref="D2228:D2229"/>
    <mergeCell ref="E2228:E2229"/>
    <mergeCell ref="H2228:H2229"/>
    <mergeCell ref="M2228:M2229"/>
    <mergeCell ref="D2230:D2245"/>
    <mergeCell ref="E2230:E2245"/>
    <mergeCell ref="H2230:H2245"/>
    <mergeCell ref="M2230:M2231"/>
    <mergeCell ref="M2232:M2233"/>
    <mergeCell ref="M2234:M2235"/>
    <mergeCell ref="M2236:M2237"/>
    <mergeCell ref="M2238:M2239"/>
    <mergeCell ref="M2240:M2241"/>
    <mergeCell ref="M2242:M2243"/>
    <mergeCell ref="M2244:M2245"/>
    <mergeCell ref="C2210:C2245"/>
    <mergeCell ref="A2210:A2227"/>
    <mergeCell ref="B2210:B2227"/>
    <mergeCell ref="D2210:D2211"/>
    <mergeCell ref="E2210:E2211"/>
    <mergeCell ref="H2210:H2211"/>
    <mergeCell ref="M2210:M2211"/>
    <mergeCell ref="D2212:D2227"/>
    <mergeCell ref="E2212:E2227"/>
    <mergeCell ref="H2212:H2227"/>
    <mergeCell ref="M2212:M2213"/>
    <mergeCell ref="M2214:M2215"/>
    <mergeCell ref="M2216:M2217"/>
    <mergeCell ref="M2218:M2219"/>
    <mergeCell ref="M2220:M2221"/>
    <mergeCell ref="M2222:M2223"/>
    <mergeCell ref="M2224:M2225"/>
    <mergeCell ref="M2226:M2227"/>
    <mergeCell ref="A2192:A2209"/>
    <mergeCell ref="B2192:B2209"/>
    <mergeCell ref="C2192:C2209"/>
    <mergeCell ref="D2192:D2193"/>
    <mergeCell ref="E2192:E2193"/>
    <mergeCell ref="H2192:H2193"/>
    <mergeCell ref="M2192:M2193"/>
    <mergeCell ref="D2194:D2209"/>
    <mergeCell ref="E2194:E2209"/>
    <mergeCell ref="H2194:H2209"/>
    <mergeCell ref="M2194:M2195"/>
    <mergeCell ref="M2196:M2197"/>
    <mergeCell ref="M2198:M2199"/>
    <mergeCell ref="M2200:M2201"/>
    <mergeCell ref="M2202:M2203"/>
    <mergeCell ref="M2204:M2205"/>
    <mergeCell ref="M2206:M2207"/>
    <mergeCell ref="M2208:M2209"/>
    <mergeCell ref="A2174:A2191"/>
    <mergeCell ref="B2174:B2191"/>
    <mergeCell ref="D2174:D2175"/>
    <mergeCell ref="E2174:E2175"/>
    <mergeCell ref="H2174:H2175"/>
    <mergeCell ref="M2174:M2175"/>
    <mergeCell ref="D2176:D2191"/>
    <mergeCell ref="E2176:E2191"/>
    <mergeCell ref="H2176:H2191"/>
    <mergeCell ref="M2176:M2177"/>
    <mergeCell ref="M2178:M2179"/>
    <mergeCell ref="M2180:M2181"/>
    <mergeCell ref="M2182:M2183"/>
    <mergeCell ref="M2184:M2185"/>
    <mergeCell ref="M2186:M2187"/>
    <mergeCell ref="M2188:M2189"/>
    <mergeCell ref="M2190:M2191"/>
    <mergeCell ref="C2156:C2191"/>
    <mergeCell ref="E2158:E2173"/>
    <mergeCell ref="H2158:H2173"/>
    <mergeCell ref="M2158:M2159"/>
    <mergeCell ref="M2160:M2161"/>
    <mergeCell ref="M2162:M2163"/>
    <mergeCell ref="M2164:M2165"/>
    <mergeCell ref="M2166:M2167"/>
    <mergeCell ref="M2170:M2171"/>
    <mergeCell ref="M2172:M2173"/>
    <mergeCell ref="M2142:M2143"/>
    <mergeCell ref="M2144:M2145"/>
    <mergeCell ref="M2148:M2149"/>
    <mergeCell ref="M2150:M2151"/>
    <mergeCell ref="M2152:M2153"/>
    <mergeCell ref="M2154:M2155"/>
    <mergeCell ref="M2110:M2111"/>
    <mergeCell ref="M2112:M2113"/>
    <mergeCell ref="M2114:M2115"/>
    <mergeCell ref="M2116:M2117"/>
    <mergeCell ref="M2118:M2119"/>
    <mergeCell ref="A2120:A2137"/>
    <mergeCell ref="B2120:B2137"/>
    <mergeCell ref="D2120:D2121"/>
    <mergeCell ref="E2120:E2121"/>
    <mergeCell ref="H2120:H2121"/>
    <mergeCell ref="M2120:M2121"/>
    <mergeCell ref="D2122:D2137"/>
    <mergeCell ref="E2122:E2137"/>
    <mergeCell ref="H2122:H2137"/>
    <mergeCell ref="M2122:M2123"/>
    <mergeCell ref="M2126:M2127"/>
    <mergeCell ref="M2146:M2147"/>
    <mergeCell ref="M2124:M2125"/>
    <mergeCell ref="C2066:C2119"/>
    <mergeCell ref="C2120:C2155"/>
    <mergeCell ref="M2128:M2129"/>
    <mergeCell ref="M2130:M2131"/>
    <mergeCell ref="M2132:M2133"/>
    <mergeCell ref="A2084:A2101"/>
    <mergeCell ref="B2084:B2101"/>
    <mergeCell ref="D2084:D2085"/>
    <mergeCell ref="E2084:E2085"/>
    <mergeCell ref="H2084:H2085"/>
    <mergeCell ref="M2084:M2085"/>
    <mergeCell ref="D2086:D2101"/>
    <mergeCell ref="E2086:E2101"/>
    <mergeCell ref="H2086:H2101"/>
    <mergeCell ref="M2086:M2087"/>
    <mergeCell ref="M2088:M2089"/>
    <mergeCell ref="M2090:M2091"/>
    <mergeCell ref="M2092:M2093"/>
    <mergeCell ref="M2094:M2095"/>
    <mergeCell ref="M2096:M2097"/>
    <mergeCell ref="M2098:M2099"/>
    <mergeCell ref="M2100:M2101"/>
    <mergeCell ref="A2066:A2083"/>
    <mergeCell ref="B2066:B2083"/>
    <mergeCell ref="D2066:D2067"/>
    <mergeCell ref="E2066:E2067"/>
    <mergeCell ref="H2066:H2067"/>
    <mergeCell ref="M2066:M2067"/>
    <mergeCell ref="D2068:D2083"/>
    <mergeCell ref="E2068:E2083"/>
    <mergeCell ref="H2068:H2083"/>
    <mergeCell ref="M2068:M2069"/>
    <mergeCell ref="M2070:M2071"/>
    <mergeCell ref="M2072:M2073"/>
    <mergeCell ref="M2074:M2075"/>
    <mergeCell ref="M2076:M2077"/>
    <mergeCell ref="M2078:M2079"/>
    <mergeCell ref="M2082:M2083"/>
    <mergeCell ref="M2080:M2081"/>
    <mergeCell ref="A2048:A2065"/>
    <mergeCell ref="B2048:B2065"/>
    <mergeCell ref="C2048:C2065"/>
    <mergeCell ref="D2048:D2049"/>
    <mergeCell ref="E2048:E2049"/>
    <mergeCell ref="H2048:H2049"/>
    <mergeCell ref="M2048:M2049"/>
    <mergeCell ref="D2050:D2065"/>
    <mergeCell ref="E2050:E2065"/>
    <mergeCell ref="H2050:H2065"/>
    <mergeCell ref="M2050:M2051"/>
    <mergeCell ref="M2052:M2053"/>
    <mergeCell ref="M2054:M2055"/>
    <mergeCell ref="M2056:M2057"/>
    <mergeCell ref="M2058:M2059"/>
    <mergeCell ref="M2060:M2061"/>
    <mergeCell ref="M2062:M2063"/>
    <mergeCell ref="M2064:M2065"/>
    <mergeCell ref="A2029:A2046"/>
    <mergeCell ref="B2029:B2046"/>
    <mergeCell ref="C2029:C2046"/>
    <mergeCell ref="D2029:D2030"/>
    <mergeCell ref="E2029:E2030"/>
    <mergeCell ref="H2029:H2030"/>
    <mergeCell ref="M2029:M2030"/>
    <mergeCell ref="D2031:D2046"/>
    <mergeCell ref="E2031:E2046"/>
    <mergeCell ref="H2031:H2046"/>
    <mergeCell ref="M2033:M2034"/>
    <mergeCell ref="M2035:M2036"/>
    <mergeCell ref="M2037:M2038"/>
    <mergeCell ref="M2039:M2040"/>
    <mergeCell ref="M2041:M2042"/>
    <mergeCell ref="M2043:M2044"/>
    <mergeCell ref="M2045:M2046"/>
    <mergeCell ref="A2011:A2028"/>
    <mergeCell ref="B2011:B2028"/>
    <mergeCell ref="C2011:C2028"/>
    <mergeCell ref="D2011:D2012"/>
    <mergeCell ref="E2011:E2012"/>
    <mergeCell ref="H2011:H2012"/>
    <mergeCell ref="M2011:M2012"/>
    <mergeCell ref="D2013:D2028"/>
    <mergeCell ref="E2013:E2028"/>
    <mergeCell ref="H2013:H2028"/>
    <mergeCell ref="M2013:M2014"/>
    <mergeCell ref="M2015:M2016"/>
    <mergeCell ref="M2017:M2018"/>
    <mergeCell ref="M2019:M2020"/>
    <mergeCell ref="M2021:M2022"/>
    <mergeCell ref="M2023:M2024"/>
    <mergeCell ref="M2025:M2026"/>
    <mergeCell ref="M2027:M2028"/>
    <mergeCell ref="A1936:A1937"/>
    <mergeCell ref="B1936:B1937"/>
    <mergeCell ref="A1993:A2010"/>
    <mergeCell ref="B1993:B2010"/>
    <mergeCell ref="C1993:C2010"/>
    <mergeCell ref="D1993:D1994"/>
    <mergeCell ref="E1993:E1994"/>
    <mergeCell ref="H1993:H1994"/>
    <mergeCell ref="M1993:M1994"/>
    <mergeCell ref="D1995:D2010"/>
    <mergeCell ref="E1995:E2010"/>
    <mergeCell ref="H1995:H2010"/>
    <mergeCell ref="M1995:M1996"/>
    <mergeCell ref="M1997:M1998"/>
    <mergeCell ref="M1999:M2000"/>
    <mergeCell ref="M2001:M2002"/>
    <mergeCell ref="M2003:M2004"/>
    <mergeCell ref="M2005:M2006"/>
    <mergeCell ref="M2007:M2008"/>
    <mergeCell ref="M2009:M2010"/>
    <mergeCell ref="A1939:A1956"/>
    <mergeCell ref="B1939:B1956"/>
    <mergeCell ref="C1939:C1956"/>
    <mergeCell ref="D1939:D1940"/>
    <mergeCell ref="E1939:E1940"/>
    <mergeCell ref="H1939:H1940"/>
    <mergeCell ref="A1975:A1992"/>
    <mergeCell ref="B1975:B1992"/>
    <mergeCell ref="C1975:C1992"/>
    <mergeCell ref="D1975:D1976"/>
    <mergeCell ref="E1975:E1976"/>
    <mergeCell ref="H1975:H1976"/>
    <mergeCell ref="M1975:M1976"/>
    <mergeCell ref="D1977:D1992"/>
    <mergeCell ref="E1977:E1992"/>
    <mergeCell ref="H1977:H1992"/>
    <mergeCell ref="M1977:M1978"/>
    <mergeCell ref="M1979:M1980"/>
    <mergeCell ref="M1983:M1984"/>
    <mergeCell ref="M1985:M1986"/>
    <mergeCell ref="M1987:M1988"/>
    <mergeCell ref="M1989:M1990"/>
    <mergeCell ref="M1991:M1992"/>
    <mergeCell ref="M1981:M1982"/>
    <mergeCell ref="A1957:A1974"/>
    <mergeCell ref="B1957:B1974"/>
    <mergeCell ref="C1957:C1974"/>
    <mergeCell ref="D1957:D1958"/>
    <mergeCell ref="E1957:E1958"/>
    <mergeCell ref="M1926:M1927"/>
    <mergeCell ref="M1928:M1929"/>
    <mergeCell ref="M1930:M1931"/>
    <mergeCell ref="M1932:M1933"/>
    <mergeCell ref="H1957:H1958"/>
    <mergeCell ref="M1957:M1958"/>
    <mergeCell ref="D1959:D1974"/>
    <mergeCell ref="E1959:E1974"/>
    <mergeCell ref="H1959:H1974"/>
    <mergeCell ref="M1959:M1960"/>
    <mergeCell ref="M1961:M1962"/>
    <mergeCell ref="M1963:M1964"/>
    <mergeCell ref="M1965:M1966"/>
    <mergeCell ref="M1967:M1968"/>
    <mergeCell ref="M1969:M1970"/>
    <mergeCell ref="M1971:M1972"/>
    <mergeCell ref="M1973:M1974"/>
    <mergeCell ref="M1939:M1940"/>
    <mergeCell ref="D1941:D1956"/>
    <mergeCell ref="E1941:E1956"/>
    <mergeCell ref="H1941:H1956"/>
    <mergeCell ref="M1941:M1942"/>
    <mergeCell ref="M1943:M1944"/>
    <mergeCell ref="M1945:M1946"/>
    <mergeCell ref="M1947:M1948"/>
    <mergeCell ref="M1949:M1950"/>
    <mergeCell ref="M1953:M1954"/>
    <mergeCell ref="M1955:M1956"/>
    <mergeCell ref="E1936:E1937"/>
    <mergeCell ref="H1936:H1937"/>
    <mergeCell ref="M1936:M1937"/>
    <mergeCell ref="M1934:M1935"/>
    <mergeCell ref="C1936:C1937"/>
    <mergeCell ref="D1936:D1937"/>
    <mergeCell ref="A1900:A1917"/>
    <mergeCell ref="B1900:B1917"/>
    <mergeCell ref="C1900:C1917"/>
    <mergeCell ref="D1900:D1901"/>
    <mergeCell ref="E1900:E1901"/>
    <mergeCell ref="H1900:H1901"/>
    <mergeCell ref="M1900:M1901"/>
    <mergeCell ref="D1902:D1917"/>
    <mergeCell ref="E1902:E1917"/>
    <mergeCell ref="H1902:H1917"/>
    <mergeCell ref="M1902:M1903"/>
    <mergeCell ref="M1904:M1905"/>
    <mergeCell ref="M1906:M1907"/>
    <mergeCell ref="M1908:M1909"/>
    <mergeCell ref="M1910:M1911"/>
    <mergeCell ref="M1914:M1915"/>
    <mergeCell ref="M1916:M1917"/>
    <mergeCell ref="A1918:A1935"/>
    <mergeCell ref="B1918:B1935"/>
    <mergeCell ref="C1918:C1935"/>
    <mergeCell ref="D1918:D1919"/>
    <mergeCell ref="E1918:E1919"/>
    <mergeCell ref="H1918:H1919"/>
    <mergeCell ref="M1918:M1919"/>
    <mergeCell ref="D1920:D1935"/>
    <mergeCell ref="E1920:E1935"/>
    <mergeCell ref="H1920:H1935"/>
    <mergeCell ref="M1920:M1921"/>
    <mergeCell ref="M1922:M1923"/>
    <mergeCell ref="M1924:M1925"/>
    <mergeCell ref="A1882:A1899"/>
    <mergeCell ref="B1882:B1899"/>
    <mergeCell ref="C1882:C1899"/>
    <mergeCell ref="D1882:D1883"/>
    <mergeCell ref="E1882:E1883"/>
    <mergeCell ref="H1882:H1883"/>
    <mergeCell ref="M1882:M1883"/>
    <mergeCell ref="D1884:D1899"/>
    <mergeCell ref="E1884:E1899"/>
    <mergeCell ref="H1884:H1899"/>
    <mergeCell ref="M1884:M1885"/>
    <mergeCell ref="M1886:M1887"/>
    <mergeCell ref="M1888:M1889"/>
    <mergeCell ref="M1892:M1893"/>
    <mergeCell ref="M1894:M1895"/>
    <mergeCell ref="M1896:M1897"/>
    <mergeCell ref="M1898:M1899"/>
    <mergeCell ref="M1890:M1891"/>
    <mergeCell ref="A1846:A1863"/>
    <mergeCell ref="B1846:B1863"/>
    <mergeCell ref="H1846:H1847"/>
    <mergeCell ref="D1848:D1863"/>
    <mergeCell ref="E1848:E1863"/>
    <mergeCell ref="H1848:H1863"/>
    <mergeCell ref="M1848:M1849"/>
    <mergeCell ref="M1850:M1851"/>
    <mergeCell ref="M1852:M1853"/>
    <mergeCell ref="M1854:M1855"/>
    <mergeCell ref="M1856:M1857"/>
    <mergeCell ref="M1858:M1859"/>
    <mergeCell ref="M1860:M1861"/>
    <mergeCell ref="M1862:M1863"/>
    <mergeCell ref="A1864:A1881"/>
    <mergeCell ref="B1864:B1881"/>
    <mergeCell ref="C1864:C1881"/>
    <mergeCell ref="D1864:D1865"/>
    <mergeCell ref="E1864:E1865"/>
    <mergeCell ref="H1864:H1865"/>
    <mergeCell ref="M1864:M1865"/>
    <mergeCell ref="D1866:D1881"/>
    <mergeCell ref="E1866:E1881"/>
    <mergeCell ref="H1866:H1881"/>
    <mergeCell ref="M1866:M1867"/>
    <mergeCell ref="M1870:M1871"/>
    <mergeCell ref="M1872:M1873"/>
    <mergeCell ref="M1874:M1875"/>
    <mergeCell ref="M1876:M1877"/>
    <mergeCell ref="M1878:M1879"/>
    <mergeCell ref="M1880:M1881"/>
    <mergeCell ref="C1810:C1863"/>
    <mergeCell ref="M1768:M1769"/>
    <mergeCell ref="A1810:A1827"/>
    <mergeCell ref="B1810:B1827"/>
    <mergeCell ref="H1810:H1811"/>
    <mergeCell ref="M1810:M1811"/>
    <mergeCell ref="D1812:D1827"/>
    <mergeCell ref="E1812:E1827"/>
    <mergeCell ref="H1812:H1827"/>
    <mergeCell ref="M1812:M1813"/>
    <mergeCell ref="M1814:M1815"/>
    <mergeCell ref="M1816:M1817"/>
    <mergeCell ref="M1818:M1819"/>
    <mergeCell ref="M1820:M1821"/>
    <mergeCell ref="M1822:M1823"/>
    <mergeCell ref="M1826:M1827"/>
    <mergeCell ref="A1828:A1845"/>
    <mergeCell ref="B1828:B1845"/>
    <mergeCell ref="D1828:D1829"/>
    <mergeCell ref="E1828:E1829"/>
    <mergeCell ref="H1828:H1829"/>
    <mergeCell ref="M1828:M1829"/>
    <mergeCell ref="D1830:D1845"/>
    <mergeCell ref="E1830:E1845"/>
    <mergeCell ref="H1830:H1845"/>
    <mergeCell ref="M1830:M1831"/>
    <mergeCell ref="M1832:M1833"/>
    <mergeCell ref="M1834:M1835"/>
    <mergeCell ref="M1836:M1837"/>
    <mergeCell ref="M1838:M1839"/>
    <mergeCell ref="M1840:M1841"/>
    <mergeCell ref="M1842:M1843"/>
    <mergeCell ref="A1756:A1773"/>
    <mergeCell ref="A1792:A1809"/>
    <mergeCell ref="B1792:B1809"/>
    <mergeCell ref="D1792:D1793"/>
    <mergeCell ref="E1792:E1793"/>
    <mergeCell ref="H1792:H1793"/>
    <mergeCell ref="M1792:M1793"/>
    <mergeCell ref="D1794:D1809"/>
    <mergeCell ref="E1794:E1809"/>
    <mergeCell ref="H1794:H1809"/>
    <mergeCell ref="M1794:M1795"/>
    <mergeCell ref="M1796:M1797"/>
    <mergeCell ref="M1798:M1799"/>
    <mergeCell ref="M1800:M1801"/>
    <mergeCell ref="M1802:M1803"/>
    <mergeCell ref="M1804:M1805"/>
    <mergeCell ref="M1806:M1807"/>
    <mergeCell ref="M1808:M1809"/>
    <mergeCell ref="C1540:C1809"/>
    <mergeCell ref="B1756:B1773"/>
    <mergeCell ref="D1756:D1757"/>
    <mergeCell ref="E1756:E1757"/>
    <mergeCell ref="H1756:H1757"/>
    <mergeCell ref="M1756:M1757"/>
    <mergeCell ref="D1758:D1773"/>
    <mergeCell ref="E1758:E1773"/>
    <mergeCell ref="H1758:H1773"/>
    <mergeCell ref="M1758:M1759"/>
    <mergeCell ref="M1760:M1761"/>
    <mergeCell ref="M1762:M1763"/>
    <mergeCell ref="M1764:M1765"/>
    <mergeCell ref="M1766:M1767"/>
    <mergeCell ref="M1732:M1733"/>
    <mergeCell ref="A1738:A1755"/>
    <mergeCell ref="B1738:B1755"/>
    <mergeCell ref="D1738:D1739"/>
    <mergeCell ref="E1738:E1739"/>
    <mergeCell ref="H1738:H1739"/>
    <mergeCell ref="M1738:M1739"/>
    <mergeCell ref="D1740:D1755"/>
    <mergeCell ref="E1740:E1755"/>
    <mergeCell ref="H1740:H1755"/>
    <mergeCell ref="M1740:M1741"/>
    <mergeCell ref="M1742:M1743"/>
    <mergeCell ref="M1744:M1745"/>
    <mergeCell ref="M1746:M1747"/>
    <mergeCell ref="M1748:M1749"/>
    <mergeCell ref="M1750:M1751"/>
    <mergeCell ref="M1754:M1755"/>
    <mergeCell ref="A1720:A1737"/>
    <mergeCell ref="B1720:B1737"/>
    <mergeCell ref="A1684:A1701"/>
    <mergeCell ref="B1684:B1701"/>
    <mergeCell ref="D1686:D1701"/>
    <mergeCell ref="E1686:E1701"/>
    <mergeCell ref="H1686:H1701"/>
    <mergeCell ref="M1686:M1687"/>
    <mergeCell ref="M1688:M1689"/>
    <mergeCell ref="M1690:M1691"/>
    <mergeCell ref="M1692:M1693"/>
    <mergeCell ref="M1694:M1695"/>
    <mergeCell ref="M1696:M1697"/>
    <mergeCell ref="M1698:M1699"/>
    <mergeCell ref="M1700:M1701"/>
    <mergeCell ref="A1702:A1719"/>
    <mergeCell ref="B1702:B1719"/>
    <mergeCell ref="D1702:D1703"/>
    <mergeCell ref="E1702:E1703"/>
    <mergeCell ref="H1702:H1703"/>
    <mergeCell ref="M1702:M1703"/>
    <mergeCell ref="D1704:D1719"/>
    <mergeCell ref="E1704:E1719"/>
    <mergeCell ref="H1704:H1719"/>
    <mergeCell ref="M1704:M1705"/>
    <mergeCell ref="M1708:M1709"/>
    <mergeCell ref="M1710:M1711"/>
    <mergeCell ref="M1712:M1713"/>
    <mergeCell ref="M1714:M1715"/>
    <mergeCell ref="M1716:M1717"/>
    <mergeCell ref="M1718:M1719"/>
    <mergeCell ref="D1684:D1685"/>
    <mergeCell ref="E1684:E1685"/>
    <mergeCell ref="A1666:A1683"/>
    <mergeCell ref="B1666:B1683"/>
    <mergeCell ref="D1666:D1667"/>
    <mergeCell ref="E1666:E1667"/>
    <mergeCell ref="H1666:H1667"/>
    <mergeCell ref="M1666:M1667"/>
    <mergeCell ref="D1668:D1683"/>
    <mergeCell ref="E1668:E1683"/>
    <mergeCell ref="H1668:H1683"/>
    <mergeCell ref="M1668:M1669"/>
    <mergeCell ref="M1670:M1671"/>
    <mergeCell ref="M1672:M1673"/>
    <mergeCell ref="M1674:M1675"/>
    <mergeCell ref="M1676:M1677"/>
    <mergeCell ref="M1678:M1679"/>
    <mergeCell ref="M1680:M1681"/>
    <mergeCell ref="M1682:M1683"/>
    <mergeCell ref="A1648:A1665"/>
    <mergeCell ref="B1648:B1665"/>
    <mergeCell ref="D1648:D1649"/>
    <mergeCell ref="E1648:E1649"/>
    <mergeCell ref="H1648:H1649"/>
    <mergeCell ref="M1648:M1649"/>
    <mergeCell ref="D1650:D1665"/>
    <mergeCell ref="E1650:E1665"/>
    <mergeCell ref="H1650:H1665"/>
    <mergeCell ref="M1650:M1651"/>
    <mergeCell ref="M1652:M1653"/>
    <mergeCell ref="M1654:M1655"/>
    <mergeCell ref="M1656:M1657"/>
    <mergeCell ref="M1658:M1659"/>
    <mergeCell ref="M1660:M1661"/>
    <mergeCell ref="M1664:M1665"/>
    <mergeCell ref="A1630:A1647"/>
    <mergeCell ref="B1630:B1647"/>
    <mergeCell ref="D1630:D1631"/>
    <mergeCell ref="E1630:E1631"/>
    <mergeCell ref="H1630:H1631"/>
    <mergeCell ref="M1630:M1631"/>
    <mergeCell ref="D1632:D1647"/>
    <mergeCell ref="E1632:E1647"/>
    <mergeCell ref="H1632:H1647"/>
    <mergeCell ref="M1632:M1633"/>
    <mergeCell ref="M1636:M1637"/>
    <mergeCell ref="M1638:M1639"/>
    <mergeCell ref="M1640:M1641"/>
    <mergeCell ref="M1642:M1643"/>
    <mergeCell ref="M1644:M1645"/>
    <mergeCell ref="M1646:M1647"/>
    <mergeCell ref="A1612:A1629"/>
    <mergeCell ref="B1612:B1629"/>
    <mergeCell ref="D1612:D1613"/>
    <mergeCell ref="E1612:E1613"/>
    <mergeCell ref="H1612:H1613"/>
    <mergeCell ref="M1612:M1613"/>
    <mergeCell ref="D1614:D1629"/>
    <mergeCell ref="E1614:E1629"/>
    <mergeCell ref="H1614:H1629"/>
    <mergeCell ref="M1614:M1615"/>
    <mergeCell ref="M1616:M1617"/>
    <mergeCell ref="M1618:M1619"/>
    <mergeCell ref="M1620:M1621"/>
    <mergeCell ref="M1622:M1623"/>
    <mergeCell ref="M1624:M1625"/>
    <mergeCell ref="M1626:M1627"/>
    <mergeCell ref="M1628:M1629"/>
    <mergeCell ref="A1594:A1611"/>
    <mergeCell ref="B1594:B1611"/>
    <mergeCell ref="D1594:D1595"/>
    <mergeCell ref="E1594:E1595"/>
    <mergeCell ref="H1594:H1595"/>
    <mergeCell ref="M1594:M1595"/>
    <mergeCell ref="D1596:D1611"/>
    <mergeCell ref="E1596:E1611"/>
    <mergeCell ref="H1596:H1611"/>
    <mergeCell ref="M1596:M1597"/>
    <mergeCell ref="M1598:M1599"/>
    <mergeCell ref="M1600:M1601"/>
    <mergeCell ref="M1602:M1603"/>
    <mergeCell ref="M1604:M1605"/>
    <mergeCell ref="M1606:M1607"/>
    <mergeCell ref="M1608:M1609"/>
    <mergeCell ref="M1610:M1611"/>
    <mergeCell ref="A1576:A1593"/>
    <mergeCell ref="B1576:B1593"/>
    <mergeCell ref="D1576:D1577"/>
    <mergeCell ref="E1576:E1577"/>
    <mergeCell ref="H1576:H1577"/>
    <mergeCell ref="M1576:M1577"/>
    <mergeCell ref="D1578:D1593"/>
    <mergeCell ref="E1578:E1593"/>
    <mergeCell ref="H1578:H1593"/>
    <mergeCell ref="M1578:M1579"/>
    <mergeCell ref="M1580:M1581"/>
    <mergeCell ref="M1582:M1583"/>
    <mergeCell ref="M1584:M1585"/>
    <mergeCell ref="M1588:M1589"/>
    <mergeCell ref="M1590:M1591"/>
    <mergeCell ref="M1592:M1593"/>
    <mergeCell ref="A1558:A1575"/>
    <mergeCell ref="B1558:B1575"/>
    <mergeCell ref="D1558:D1559"/>
    <mergeCell ref="E1558:E1559"/>
    <mergeCell ref="H1558:H1559"/>
    <mergeCell ref="M1558:M1559"/>
    <mergeCell ref="D1560:D1575"/>
    <mergeCell ref="E1560:E1575"/>
    <mergeCell ref="H1560:H1575"/>
    <mergeCell ref="M1560:M1561"/>
    <mergeCell ref="M1562:M1563"/>
    <mergeCell ref="M1566:M1567"/>
    <mergeCell ref="M1568:M1569"/>
    <mergeCell ref="M1570:M1571"/>
    <mergeCell ref="M1572:M1573"/>
    <mergeCell ref="M1574:M1575"/>
    <mergeCell ref="A1540:A1557"/>
    <mergeCell ref="B1540:B1557"/>
    <mergeCell ref="D1540:D1541"/>
    <mergeCell ref="E1540:E1541"/>
    <mergeCell ref="H1540:H1541"/>
    <mergeCell ref="M1540:M1541"/>
    <mergeCell ref="D1542:D1557"/>
    <mergeCell ref="E1542:E1557"/>
    <mergeCell ref="H1542:H1557"/>
    <mergeCell ref="M1544:M1545"/>
    <mergeCell ref="M1546:M1547"/>
    <mergeCell ref="M1548:M1549"/>
    <mergeCell ref="M1550:M1551"/>
    <mergeCell ref="M1552:M1553"/>
    <mergeCell ref="M1554:M1555"/>
    <mergeCell ref="M1556:M1557"/>
    <mergeCell ref="C1504:C1539"/>
    <mergeCell ref="A1522:A1539"/>
    <mergeCell ref="B1522:B1539"/>
    <mergeCell ref="D1522:D1523"/>
    <mergeCell ref="E1522:E1523"/>
    <mergeCell ref="H1522:H1523"/>
    <mergeCell ref="M1522:M1523"/>
    <mergeCell ref="D1524:D1539"/>
    <mergeCell ref="E1524:E1539"/>
    <mergeCell ref="H1524:H1539"/>
    <mergeCell ref="M1524:M1525"/>
    <mergeCell ref="M1526:M1527"/>
    <mergeCell ref="M1528:M1529"/>
    <mergeCell ref="M1530:M1531"/>
    <mergeCell ref="M1532:M1533"/>
    <mergeCell ref="M1534:M1535"/>
    <mergeCell ref="M1536:M1537"/>
    <mergeCell ref="M1538:M1539"/>
    <mergeCell ref="A1504:A1521"/>
    <mergeCell ref="B1504:B1521"/>
    <mergeCell ref="D1504:D1505"/>
    <mergeCell ref="E1504:E1505"/>
    <mergeCell ref="H1504:H1505"/>
    <mergeCell ref="M1504:M1505"/>
    <mergeCell ref="D1506:D1521"/>
    <mergeCell ref="E1506:E1521"/>
    <mergeCell ref="H1506:H1521"/>
    <mergeCell ref="M1506:M1507"/>
    <mergeCell ref="M1510:M1511"/>
    <mergeCell ref="M1512:M1513"/>
    <mergeCell ref="M1514:M1515"/>
    <mergeCell ref="M1516:M1517"/>
    <mergeCell ref="M1518:M1519"/>
    <mergeCell ref="M1520:M1521"/>
    <mergeCell ref="A1486:A1503"/>
    <mergeCell ref="B1486:B1503"/>
    <mergeCell ref="C1486:C1503"/>
    <mergeCell ref="D1486:D1487"/>
    <mergeCell ref="E1486:E1487"/>
    <mergeCell ref="H1486:H1487"/>
    <mergeCell ref="M1486:M1487"/>
    <mergeCell ref="D1488:D1503"/>
    <mergeCell ref="E1488:E1503"/>
    <mergeCell ref="H1488:H1503"/>
    <mergeCell ref="M1488:M1489"/>
    <mergeCell ref="M1490:M1491"/>
    <mergeCell ref="M1492:M1493"/>
    <mergeCell ref="M1494:M1495"/>
    <mergeCell ref="M1496:M1497"/>
    <mergeCell ref="M1498:M1499"/>
    <mergeCell ref="M1500:M1501"/>
    <mergeCell ref="M1502:M1503"/>
    <mergeCell ref="A1467:A1484"/>
    <mergeCell ref="B1467:B1484"/>
    <mergeCell ref="C1467:C1484"/>
    <mergeCell ref="D1467:D1468"/>
    <mergeCell ref="E1467:E1468"/>
    <mergeCell ref="H1467:H1468"/>
    <mergeCell ref="M1467:M1468"/>
    <mergeCell ref="D1469:D1484"/>
    <mergeCell ref="E1469:E1484"/>
    <mergeCell ref="H1469:H1484"/>
    <mergeCell ref="M1469:M1470"/>
    <mergeCell ref="M1471:M1472"/>
    <mergeCell ref="M1473:M1474"/>
    <mergeCell ref="M1477:M1478"/>
    <mergeCell ref="M1479:M1480"/>
    <mergeCell ref="M1481:M1482"/>
    <mergeCell ref="M1483:M1484"/>
    <mergeCell ref="A1431:A1448"/>
    <mergeCell ref="B1431:B1448"/>
    <mergeCell ref="D1433:D1448"/>
    <mergeCell ref="E1433:E1448"/>
    <mergeCell ref="H1433:H1448"/>
    <mergeCell ref="M1433:M1434"/>
    <mergeCell ref="M1435:M1436"/>
    <mergeCell ref="M1437:M1438"/>
    <mergeCell ref="M1439:M1440"/>
    <mergeCell ref="M1441:M1442"/>
    <mergeCell ref="M1443:M1444"/>
    <mergeCell ref="M1445:M1446"/>
    <mergeCell ref="M1447:M1448"/>
    <mergeCell ref="A1449:A1466"/>
    <mergeCell ref="B1449:B1466"/>
    <mergeCell ref="D1449:D1450"/>
    <mergeCell ref="E1449:E1450"/>
    <mergeCell ref="H1449:H1450"/>
    <mergeCell ref="M1449:M1450"/>
    <mergeCell ref="D1451:D1466"/>
    <mergeCell ref="E1451:E1466"/>
    <mergeCell ref="H1451:H1466"/>
    <mergeCell ref="M1451:M1452"/>
    <mergeCell ref="M1455:M1456"/>
    <mergeCell ref="M1457:M1458"/>
    <mergeCell ref="M1459:M1460"/>
    <mergeCell ref="M1461:M1462"/>
    <mergeCell ref="M1463:M1464"/>
    <mergeCell ref="M1465:M1466"/>
    <mergeCell ref="C1269:C1466"/>
    <mergeCell ref="A1413:A1430"/>
    <mergeCell ref="B1413:B1430"/>
    <mergeCell ref="D1413:D1414"/>
    <mergeCell ref="E1413:E1414"/>
    <mergeCell ref="H1413:H1414"/>
    <mergeCell ref="M1413:M1414"/>
    <mergeCell ref="D1415:D1430"/>
    <mergeCell ref="E1415:E1430"/>
    <mergeCell ref="H1415:H1430"/>
    <mergeCell ref="M1415:M1416"/>
    <mergeCell ref="M1417:M1418"/>
    <mergeCell ref="M1419:M1420"/>
    <mergeCell ref="M1421:M1422"/>
    <mergeCell ref="M1423:M1424"/>
    <mergeCell ref="M1425:M1426"/>
    <mergeCell ref="M1427:M1428"/>
    <mergeCell ref="M1429:M1430"/>
    <mergeCell ref="A1395:A1412"/>
    <mergeCell ref="B1395:B1412"/>
    <mergeCell ref="D1395:D1396"/>
    <mergeCell ref="E1395:E1396"/>
    <mergeCell ref="H1395:H1396"/>
    <mergeCell ref="M1395:M1396"/>
    <mergeCell ref="D1397:D1412"/>
    <mergeCell ref="E1397:E1412"/>
    <mergeCell ref="H1397:H1412"/>
    <mergeCell ref="M1399:M1400"/>
    <mergeCell ref="M1401:M1402"/>
    <mergeCell ref="M1403:M1404"/>
    <mergeCell ref="M1405:M1406"/>
    <mergeCell ref="M1407:M1408"/>
    <mergeCell ref="M1409:M1410"/>
    <mergeCell ref="M1411:M1412"/>
    <mergeCell ref="D1359:D1360"/>
    <mergeCell ref="E1359:E1360"/>
    <mergeCell ref="H1359:H1360"/>
    <mergeCell ref="M1359:M1360"/>
    <mergeCell ref="D1361:D1376"/>
    <mergeCell ref="E1361:E1376"/>
    <mergeCell ref="H1361:H1376"/>
    <mergeCell ref="M1361:M1362"/>
    <mergeCell ref="M1363:M1364"/>
    <mergeCell ref="M1365:M1366"/>
    <mergeCell ref="M1367:M1368"/>
    <mergeCell ref="M1369:M1370"/>
    <mergeCell ref="M1371:M1372"/>
    <mergeCell ref="M1373:M1374"/>
    <mergeCell ref="A1377:A1394"/>
    <mergeCell ref="B1377:B1394"/>
    <mergeCell ref="D1377:D1378"/>
    <mergeCell ref="E1377:E1378"/>
    <mergeCell ref="H1377:H1378"/>
    <mergeCell ref="M1377:M1378"/>
    <mergeCell ref="D1379:D1394"/>
    <mergeCell ref="E1379:E1394"/>
    <mergeCell ref="H1379:H1394"/>
    <mergeCell ref="M1379:M1380"/>
    <mergeCell ref="M1381:M1382"/>
    <mergeCell ref="M1383:M1384"/>
    <mergeCell ref="M1385:M1386"/>
    <mergeCell ref="M1387:M1388"/>
    <mergeCell ref="M1389:M1390"/>
    <mergeCell ref="M1391:M1392"/>
    <mergeCell ref="M1393:M1394"/>
    <mergeCell ref="A1359:A1376"/>
    <mergeCell ref="E1323:E1324"/>
    <mergeCell ref="H1323:H1324"/>
    <mergeCell ref="M1323:M1324"/>
    <mergeCell ref="D1325:D1340"/>
    <mergeCell ref="E1325:E1340"/>
    <mergeCell ref="H1325:H1340"/>
    <mergeCell ref="M1325:M1326"/>
    <mergeCell ref="M1327:M1328"/>
    <mergeCell ref="M1329:M1330"/>
    <mergeCell ref="M1333:M1334"/>
    <mergeCell ref="M1335:M1336"/>
    <mergeCell ref="M1337:M1338"/>
    <mergeCell ref="M1339:M1340"/>
    <mergeCell ref="A1341:A1358"/>
    <mergeCell ref="B1341:B1358"/>
    <mergeCell ref="D1341:D1342"/>
    <mergeCell ref="E1341:E1342"/>
    <mergeCell ref="H1341:H1342"/>
    <mergeCell ref="M1341:M1342"/>
    <mergeCell ref="D1343:D1358"/>
    <mergeCell ref="E1343:E1358"/>
    <mergeCell ref="H1343:H1358"/>
    <mergeCell ref="M1343:M1344"/>
    <mergeCell ref="M1345:M1346"/>
    <mergeCell ref="M1347:M1348"/>
    <mergeCell ref="M1349:M1350"/>
    <mergeCell ref="M1351:M1352"/>
    <mergeCell ref="M1353:M1354"/>
    <mergeCell ref="M1355:M1356"/>
    <mergeCell ref="M1357:M1358"/>
    <mergeCell ref="A1323:A1340"/>
    <mergeCell ref="B1323:B1340"/>
    <mergeCell ref="E1287:E1288"/>
    <mergeCell ref="H1287:H1288"/>
    <mergeCell ref="M1287:M1288"/>
    <mergeCell ref="D1289:D1304"/>
    <mergeCell ref="E1289:E1304"/>
    <mergeCell ref="H1289:H1304"/>
    <mergeCell ref="M1289:M1290"/>
    <mergeCell ref="M1291:M1292"/>
    <mergeCell ref="M1293:M1294"/>
    <mergeCell ref="M1295:M1296"/>
    <mergeCell ref="M1297:M1298"/>
    <mergeCell ref="M1299:M1300"/>
    <mergeCell ref="M1301:M1302"/>
    <mergeCell ref="M1303:M1304"/>
    <mergeCell ref="A1305:A1322"/>
    <mergeCell ref="B1305:B1322"/>
    <mergeCell ref="D1305:D1306"/>
    <mergeCell ref="E1305:E1306"/>
    <mergeCell ref="H1305:H1306"/>
    <mergeCell ref="M1305:M1306"/>
    <mergeCell ref="D1307:D1322"/>
    <mergeCell ref="E1307:E1322"/>
    <mergeCell ref="H1307:H1322"/>
    <mergeCell ref="M1309:M1310"/>
    <mergeCell ref="M1311:M1312"/>
    <mergeCell ref="M1313:M1314"/>
    <mergeCell ref="M1315:M1316"/>
    <mergeCell ref="M1317:M1318"/>
    <mergeCell ref="M1319:M1320"/>
    <mergeCell ref="M1321:M1322"/>
    <mergeCell ref="D1287:D1288"/>
    <mergeCell ref="M1307:M1308"/>
    <mergeCell ref="A1269:A1286"/>
    <mergeCell ref="B1269:B1286"/>
    <mergeCell ref="D1269:D1270"/>
    <mergeCell ref="E1269:E1270"/>
    <mergeCell ref="H1269:H1270"/>
    <mergeCell ref="M1269:M1270"/>
    <mergeCell ref="D1271:D1286"/>
    <mergeCell ref="E1271:E1286"/>
    <mergeCell ref="H1271:H1286"/>
    <mergeCell ref="M1271:M1272"/>
    <mergeCell ref="M1273:M1274"/>
    <mergeCell ref="M1275:M1276"/>
    <mergeCell ref="M1277:M1278"/>
    <mergeCell ref="M1279:M1280"/>
    <mergeCell ref="M1281:M1282"/>
    <mergeCell ref="M1285:M1286"/>
    <mergeCell ref="A1251:A1268"/>
    <mergeCell ref="B1251:B1268"/>
    <mergeCell ref="C1251:C1268"/>
    <mergeCell ref="D1251:D1252"/>
    <mergeCell ref="E1251:E1252"/>
    <mergeCell ref="H1251:H1252"/>
    <mergeCell ref="M1251:M1252"/>
    <mergeCell ref="D1253:D1268"/>
    <mergeCell ref="E1253:E1268"/>
    <mergeCell ref="H1253:H1268"/>
    <mergeCell ref="M1253:M1254"/>
    <mergeCell ref="M1255:M1256"/>
    <mergeCell ref="M1257:M1258"/>
    <mergeCell ref="M1259:M1260"/>
    <mergeCell ref="M1261:M1262"/>
    <mergeCell ref="M1263:M1264"/>
    <mergeCell ref="M1265:M1266"/>
    <mergeCell ref="M1267:M1268"/>
    <mergeCell ref="A1230:A1231"/>
    <mergeCell ref="B1230:B1231"/>
    <mergeCell ref="C1230:C1231"/>
    <mergeCell ref="D1230:D1231"/>
    <mergeCell ref="E1230:E1231"/>
    <mergeCell ref="H1230:H1231"/>
    <mergeCell ref="M1230:M1231"/>
    <mergeCell ref="A1233:A1250"/>
    <mergeCell ref="B1233:B1250"/>
    <mergeCell ref="C1233:C1250"/>
    <mergeCell ref="D1233:D1234"/>
    <mergeCell ref="E1233:E1234"/>
    <mergeCell ref="H1233:H1234"/>
    <mergeCell ref="M1233:M1234"/>
    <mergeCell ref="D1235:D1250"/>
    <mergeCell ref="E1235:E1250"/>
    <mergeCell ref="H1235:H1250"/>
    <mergeCell ref="M1235:M1236"/>
    <mergeCell ref="M1241:M1242"/>
    <mergeCell ref="M1243:M1244"/>
    <mergeCell ref="M1245:M1246"/>
    <mergeCell ref="M1247:M1248"/>
    <mergeCell ref="M1249:M1250"/>
    <mergeCell ref="A1212:A1229"/>
    <mergeCell ref="B1212:B1229"/>
    <mergeCell ref="C1212:C1229"/>
    <mergeCell ref="D1212:D1213"/>
    <mergeCell ref="E1212:E1213"/>
    <mergeCell ref="H1212:H1213"/>
    <mergeCell ref="M1212:M1213"/>
    <mergeCell ref="D1214:D1229"/>
    <mergeCell ref="E1214:E1229"/>
    <mergeCell ref="H1214:H1229"/>
    <mergeCell ref="M1214:M1215"/>
    <mergeCell ref="M1216:M1217"/>
    <mergeCell ref="M1218:M1219"/>
    <mergeCell ref="M1220:M1221"/>
    <mergeCell ref="M1222:M1223"/>
    <mergeCell ref="M1224:M1225"/>
    <mergeCell ref="M1228:M1229"/>
    <mergeCell ref="A1194:A1211"/>
    <mergeCell ref="B1194:B1211"/>
    <mergeCell ref="C1194:C1211"/>
    <mergeCell ref="D1194:D1195"/>
    <mergeCell ref="E1194:E1195"/>
    <mergeCell ref="H1194:H1195"/>
    <mergeCell ref="M1194:M1195"/>
    <mergeCell ref="D1196:D1211"/>
    <mergeCell ref="E1196:E1211"/>
    <mergeCell ref="H1196:H1211"/>
    <mergeCell ref="M1196:M1197"/>
    <mergeCell ref="M1198:M1199"/>
    <mergeCell ref="M1200:M1201"/>
    <mergeCell ref="M1202:M1203"/>
    <mergeCell ref="M1206:M1207"/>
    <mergeCell ref="M1208:M1209"/>
    <mergeCell ref="M1210:M1211"/>
    <mergeCell ref="B1176:B1193"/>
    <mergeCell ref="D1176:D1177"/>
    <mergeCell ref="E1176:E1177"/>
    <mergeCell ref="H1176:H1177"/>
    <mergeCell ref="M1176:M1177"/>
    <mergeCell ref="D1178:D1193"/>
    <mergeCell ref="E1178:E1193"/>
    <mergeCell ref="H1178:H1193"/>
    <mergeCell ref="M1178:M1179"/>
    <mergeCell ref="M1180:M1181"/>
    <mergeCell ref="M1184:M1185"/>
    <mergeCell ref="M1186:M1187"/>
    <mergeCell ref="E1106:E1121"/>
    <mergeCell ref="M1188:M1189"/>
    <mergeCell ref="M1190:M1191"/>
    <mergeCell ref="M1192:M1193"/>
    <mergeCell ref="A1158:A1175"/>
    <mergeCell ref="B1158:B1175"/>
    <mergeCell ref="D1158:D1159"/>
    <mergeCell ref="E1158:E1159"/>
    <mergeCell ref="H1158:H1159"/>
    <mergeCell ref="M1158:M1159"/>
    <mergeCell ref="D1160:D1175"/>
    <mergeCell ref="E1160:E1175"/>
    <mergeCell ref="H1160:H1175"/>
    <mergeCell ref="M1162:M1163"/>
    <mergeCell ref="M1164:M1165"/>
    <mergeCell ref="M1166:M1167"/>
    <mergeCell ref="M1168:M1169"/>
    <mergeCell ref="M1170:M1171"/>
    <mergeCell ref="M1172:M1173"/>
    <mergeCell ref="M1174:M1175"/>
    <mergeCell ref="A1122:A1139"/>
    <mergeCell ref="B1122:B1139"/>
    <mergeCell ref="D1122:D1123"/>
    <mergeCell ref="E1122:E1123"/>
    <mergeCell ref="H1122:H1123"/>
    <mergeCell ref="M1122:M1123"/>
    <mergeCell ref="D1124:D1139"/>
    <mergeCell ref="E1124:E1139"/>
    <mergeCell ref="H1124:H1139"/>
    <mergeCell ref="M1124:M1125"/>
    <mergeCell ref="M1126:M1127"/>
    <mergeCell ref="M1128:M1129"/>
    <mergeCell ref="M1130:M1131"/>
    <mergeCell ref="M1132:M1133"/>
    <mergeCell ref="M1134:M1135"/>
    <mergeCell ref="M1136:M1137"/>
    <mergeCell ref="A1140:A1157"/>
    <mergeCell ref="B1140:B1157"/>
    <mergeCell ref="D1140:D1141"/>
    <mergeCell ref="E1140:E1141"/>
    <mergeCell ref="H1140:H1141"/>
    <mergeCell ref="M1140:M1141"/>
    <mergeCell ref="D1142:D1157"/>
    <mergeCell ref="E1142:E1157"/>
    <mergeCell ref="H1142:H1157"/>
    <mergeCell ref="M1142:M1143"/>
    <mergeCell ref="M1144:M1145"/>
    <mergeCell ref="M1146:M1147"/>
    <mergeCell ref="M1148:M1149"/>
    <mergeCell ref="M1150:M1151"/>
    <mergeCell ref="M1152:M1153"/>
    <mergeCell ref="M1154:M1155"/>
    <mergeCell ref="A1086:A1103"/>
    <mergeCell ref="B1086:B1103"/>
    <mergeCell ref="D1086:D1087"/>
    <mergeCell ref="E1086:E1087"/>
    <mergeCell ref="H1086:H1087"/>
    <mergeCell ref="M1086:M1087"/>
    <mergeCell ref="D1088:D1103"/>
    <mergeCell ref="E1088:E1103"/>
    <mergeCell ref="H1088:H1103"/>
    <mergeCell ref="M1088:M1089"/>
    <mergeCell ref="M1090:M1091"/>
    <mergeCell ref="M1092:M1093"/>
    <mergeCell ref="M1096:M1097"/>
    <mergeCell ref="M1098:M1099"/>
    <mergeCell ref="M1100:M1101"/>
    <mergeCell ref="M1102:M1103"/>
    <mergeCell ref="A1050:A1067"/>
    <mergeCell ref="B1050:B1067"/>
    <mergeCell ref="D1052:D1067"/>
    <mergeCell ref="E1052:E1067"/>
    <mergeCell ref="H1052:H1067"/>
    <mergeCell ref="M1052:M1053"/>
    <mergeCell ref="M1054:M1055"/>
    <mergeCell ref="M1056:M1057"/>
    <mergeCell ref="M1058:M1059"/>
    <mergeCell ref="M1060:M1061"/>
    <mergeCell ref="M1062:M1063"/>
    <mergeCell ref="M1064:M1065"/>
    <mergeCell ref="M1066:M1067"/>
    <mergeCell ref="A1068:A1085"/>
    <mergeCell ref="B1068:B1085"/>
    <mergeCell ref="D1068:D1069"/>
    <mergeCell ref="E1068:E1069"/>
    <mergeCell ref="H1068:H1069"/>
    <mergeCell ref="M1068:M1069"/>
    <mergeCell ref="D1070:D1085"/>
    <mergeCell ref="E1070:E1085"/>
    <mergeCell ref="H1070:H1085"/>
    <mergeCell ref="M1070:M1071"/>
    <mergeCell ref="M1074:M1075"/>
    <mergeCell ref="M1076:M1077"/>
    <mergeCell ref="M1078:M1079"/>
    <mergeCell ref="M1080:M1081"/>
    <mergeCell ref="M1082:M1083"/>
    <mergeCell ref="M1084:M1085"/>
    <mergeCell ref="A1032:A1049"/>
    <mergeCell ref="B1032:B1049"/>
    <mergeCell ref="D1032:D1033"/>
    <mergeCell ref="E1032:E1033"/>
    <mergeCell ref="H1032:H1033"/>
    <mergeCell ref="M1032:M1033"/>
    <mergeCell ref="D1034:D1049"/>
    <mergeCell ref="E1034:E1049"/>
    <mergeCell ref="H1034:H1049"/>
    <mergeCell ref="M1034:M1035"/>
    <mergeCell ref="M1036:M1037"/>
    <mergeCell ref="M1038:M1039"/>
    <mergeCell ref="M1040:M1041"/>
    <mergeCell ref="M1042:M1043"/>
    <mergeCell ref="M1044:M1045"/>
    <mergeCell ref="M1046:M1047"/>
    <mergeCell ref="M1048:M1049"/>
    <mergeCell ref="C1032:C1193"/>
    <mergeCell ref="A1176:A1193"/>
    <mergeCell ref="A1014:A1031"/>
    <mergeCell ref="B1014:B1031"/>
    <mergeCell ref="C1014:C1031"/>
    <mergeCell ref="D1014:D1015"/>
    <mergeCell ref="E1014:E1015"/>
    <mergeCell ref="H1014:H1015"/>
    <mergeCell ref="M1014:M1015"/>
    <mergeCell ref="D1016:D1031"/>
    <mergeCell ref="E1016:E1031"/>
    <mergeCell ref="H1016:H1031"/>
    <mergeCell ref="M1016:M1017"/>
    <mergeCell ref="M1018:M1019"/>
    <mergeCell ref="M1020:M1021"/>
    <mergeCell ref="M1022:M1023"/>
    <mergeCell ref="M1026:M1027"/>
    <mergeCell ref="M1028:M1029"/>
    <mergeCell ref="M1030:M1031"/>
    <mergeCell ref="A959:A976"/>
    <mergeCell ref="B959:B976"/>
    <mergeCell ref="D959:D960"/>
    <mergeCell ref="E959:E960"/>
    <mergeCell ref="H959:H960"/>
    <mergeCell ref="M959:M960"/>
    <mergeCell ref="D961:D976"/>
    <mergeCell ref="E961:E976"/>
    <mergeCell ref="H961:H976"/>
    <mergeCell ref="M963:M964"/>
    <mergeCell ref="M965:M966"/>
    <mergeCell ref="M967:M968"/>
    <mergeCell ref="M969:M970"/>
    <mergeCell ref="M971:M972"/>
    <mergeCell ref="M973:M974"/>
    <mergeCell ref="M975:M976"/>
    <mergeCell ref="A995:A1012"/>
    <mergeCell ref="B995:B1012"/>
    <mergeCell ref="D995:D996"/>
    <mergeCell ref="E995:E996"/>
    <mergeCell ref="H995:H996"/>
    <mergeCell ref="M995:M996"/>
    <mergeCell ref="D997:D1012"/>
    <mergeCell ref="E997:E1012"/>
    <mergeCell ref="H997:H1012"/>
    <mergeCell ref="M997:M998"/>
    <mergeCell ref="M999:M1000"/>
    <mergeCell ref="M1001:M1002"/>
    <mergeCell ref="M1005:M1006"/>
    <mergeCell ref="M1007:M1008"/>
    <mergeCell ref="M1009:M1010"/>
    <mergeCell ref="M1011:M1012"/>
    <mergeCell ref="A941:A958"/>
    <mergeCell ref="B941:B958"/>
    <mergeCell ref="D941:D942"/>
    <mergeCell ref="E941:E942"/>
    <mergeCell ref="H941:H942"/>
    <mergeCell ref="M941:M942"/>
    <mergeCell ref="D943:D958"/>
    <mergeCell ref="E943:E958"/>
    <mergeCell ref="H943:H958"/>
    <mergeCell ref="M943:M944"/>
    <mergeCell ref="M945:M946"/>
    <mergeCell ref="M947:M948"/>
    <mergeCell ref="M949:M950"/>
    <mergeCell ref="M951:M952"/>
    <mergeCell ref="M953:M954"/>
    <mergeCell ref="M955:M956"/>
    <mergeCell ref="M957:M958"/>
    <mergeCell ref="C725:C1012"/>
    <mergeCell ref="A977:A994"/>
    <mergeCell ref="B977:B994"/>
    <mergeCell ref="D977:D978"/>
    <mergeCell ref="E977:E978"/>
    <mergeCell ref="H977:H978"/>
    <mergeCell ref="M977:M978"/>
    <mergeCell ref="D979:D994"/>
    <mergeCell ref="E979:E994"/>
    <mergeCell ref="H979:H994"/>
    <mergeCell ref="M979:M980"/>
    <mergeCell ref="M981:M982"/>
    <mergeCell ref="M983:M984"/>
    <mergeCell ref="M985:M986"/>
    <mergeCell ref="M987:M988"/>
    <mergeCell ref="A923:A940"/>
    <mergeCell ref="B923:B940"/>
    <mergeCell ref="D923:D924"/>
    <mergeCell ref="E923:E924"/>
    <mergeCell ref="H923:H924"/>
    <mergeCell ref="M923:M924"/>
    <mergeCell ref="D925:D940"/>
    <mergeCell ref="E925:E940"/>
    <mergeCell ref="H925:H940"/>
    <mergeCell ref="M925:M926"/>
    <mergeCell ref="M927:M928"/>
    <mergeCell ref="M929:M930"/>
    <mergeCell ref="M931:M932"/>
    <mergeCell ref="M933:M934"/>
    <mergeCell ref="M935:M936"/>
    <mergeCell ref="M937:M938"/>
    <mergeCell ref="A905:A922"/>
    <mergeCell ref="B905:B922"/>
    <mergeCell ref="D905:D906"/>
    <mergeCell ref="E905:E906"/>
    <mergeCell ref="H905:H906"/>
    <mergeCell ref="M905:M906"/>
    <mergeCell ref="D907:D922"/>
    <mergeCell ref="E907:E922"/>
    <mergeCell ref="H907:H922"/>
    <mergeCell ref="M907:M908"/>
    <mergeCell ref="M909:M910"/>
    <mergeCell ref="M911:M912"/>
    <mergeCell ref="M913:M914"/>
    <mergeCell ref="M915:M916"/>
    <mergeCell ref="M919:M920"/>
    <mergeCell ref="M921:M922"/>
    <mergeCell ref="E887:E888"/>
    <mergeCell ref="H887:H888"/>
    <mergeCell ref="M887:M888"/>
    <mergeCell ref="D889:D904"/>
    <mergeCell ref="E889:E904"/>
    <mergeCell ref="H889:H904"/>
    <mergeCell ref="M889:M890"/>
    <mergeCell ref="M891:M892"/>
    <mergeCell ref="M893:M894"/>
    <mergeCell ref="M897:M898"/>
    <mergeCell ref="M899:M900"/>
    <mergeCell ref="M901:M902"/>
    <mergeCell ref="M903:M904"/>
    <mergeCell ref="A851:A868"/>
    <mergeCell ref="B851:B868"/>
    <mergeCell ref="D853:D868"/>
    <mergeCell ref="E853:E868"/>
    <mergeCell ref="H853:H868"/>
    <mergeCell ref="M853:M854"/>
    <mergeCell ref="M855:M856"/>
    <mergeCell ref="M857:M858"/>
    <mergeCell ref="M859:M860"/>
    <mergeCell ref="M861:M862"/>
    <mergeCell ref="M863:M864"/>
    <mergeCell ref="M865:M866"/>
    <mergeCell ref="M867:M868"/>
    <mergeCell ref="A869:A886"/>
    <mergeCell ref="B869:B886"/>
    <mergeCell ref="D869:D870"/>
    <mergeCell ref="M895:M896"/>
    <mergeCell ref="M873:M874"/>
    <mergeCell ref="H869:H870"/>
    <mergeCell ref="A833:A850"/>
    <mergeCell ref="B833:B850"/>
    <mergeCell ref="D833:D834"/>
    <mergeCell ref="E833:E834"/>
    <mergeCell ref="H833:H834"/>
    <mergeCell ref="M833:M834"/>
    <mergeCell ref="D835:D850"/>
    <mergeCell ref="E835:E850"/>
    <mergeCell ref="H835:H850"/>
    <mergeCell ref="M835:M836"/>
    <mergeCell ref="M837:M838"/>
    <mergeCell ref="M839:M840"/>
    <mergeCell ref="M841:M842"/>
    <mergeCell ref="M843:M844"/>
    <mergeCell ref="M845:M846"/>
    <mergeCell ref="M847:M848"/>
    <mergeCell ref="M849:M850"/>
    <mergeCell ref="A815:A832"/>
    <mergeCell ref="B815:B832"/>
    <mergeCell ref="D815:D816"/>
    <mergeCell ref="E815:E816"/>
    <mergeCell ref="H815:H816"/>
    <mergeCell ref="M815:M816"/>
    <mergeCell ref="D817:D832"/>
    <mergeCell ref="E817:E832"/>
    <mergeCell ref="H817:H832"/>
    <mergeCell ref="M817:M818"/>
    <mergeCell ref="M819:M820"/>
    <mergeCell ref="M821:M822"/>
    <mergeCell ref="M823:M824"/>
    <mergeCell ref="M825:M826"/>
    <mergeCell ref="M827:M828"/>
    <mergeCell ref="M831:M832"/>
    <mergeCell ref="M789:M790"/>
    <mergeCell ref="M791:M792"/>
    <mergeCell ref="M793:M794"/>
    <mergeCell ref="M795:M796"/>
    <mergeCell ref="A797:A814"/>
    <mergeCell ref="B797:B814"/>
    <mergeCell ref="D797:D798"/>
    <mergeCell ref="E797:E798"/>
    <mergeCell ref="H797:H798"/>
    <mergeCell ref="M797:M798"/>
    <mergeCell ref="D799:D814"/>
    <mergeCell ref="E799:E814"/>
    <mergeCell ref="H799:H814"/>
    <mergeCell ref="M799:M800"/>
    <mergeCell ref="M801:M802"/>
    <mergeCell ref="M803:M804"/>
    <mergeCell ref="A761:A778"/>
    <mergeCell ref="B761:B778"/>
    <mergeCell ref="D761:D762"/>
    <mergeCell ref="E761:E762"/>
    <mergeCell ref="H761:H762"/>
    <mergeCell ref="M761:M762"/>
    <mergeCell ref="D763:D778"/>
    <mergeCell ref="E763:E778"/>
    <mergeCell ref="H763:H778"/>
    <mergeCell ref="M765:M766"/>
    <mergeCell ref="M767:M768"/>
    <mergeCell ref="M769:M770"/>
    <mergeCell ref="M771:M772"/>
    <mergeCell ref="M773:M774"/>
    <mergeCell ref="M775:M776"/>
    <mergeCell ref="M777:M778"/>
    <mergeCell ref="M785:M786"/>
    <mergeCell ref="A779:A796"/>
    <mergeCell ref="B779:B796"/>
    <mergeCell ref="D779:D780"/>
    <mergeCell ref="E779:E780"/>
    <mergeCell ref="H779:H780"/>
    <mergeCell ref="M779:M780"/>
    <mergeCell ref="D781:D796"/>
    <mergeCell ref="E781:E796"/>
    <mergeCell ref="H781:H796"/>
    <mergeCell ref="M781:M782"/>
    <mergeCell ref="M783:M784"/>
    <mergeCell ref="A743:A760"/>
    <mergeCell ref="B743:B760"/>
    <mergeCell ref="D743:D744"/>
    <mergeCell ref="E743:E744"/>
    <mergeCell ref="H743:H744"/>
    <mergeCell ref="M743:M744"/>
    <mergeCell ref="D745:D760"/>
    <mergeCell ref="E745:E760"/>
    <mergeCell ref="H745:H760"/>
    <mergeCell ref="M745:M746"/>
    <mergeCell ref="M747:M748"/>
    <mergeCell ref="M749:M750"/>
    <mergeCell ref="M751:M752"/>
    <mergeCell ref="M753:M754"/>
    <mergeCell ref="M755:M756"/>
    <mergeCell ref="M757:M758"/>
    <mergeCell ref="M759:M760"/>
    <mergeCell ref="D725:D726"/>
    <mergeCell ref="E725:E726"/>
    <mergeCell ref="H725:H726"/>
    <mergeCell ref="M725:M726"/>
    <mergeCell ref="M727:M728"/>
    <mergeCell ref="M729:M730"/>
    <mergeCell ref="M731:M732"/>
    <mergeCell ref="M733:M734"/>
    <mergeCell ref="M735:M736"/>
    <mergeCell ref="M737:M738"/>
    <mergeCell ref="M739:M740"/>
    <mergeCell ref="A725:A742"/>
    <mergeCell ref="B725:B742"/>
    <mergeCell ref="D727:D742"/>
    <mergeCell ref="E727:E742"/>
    <mergeCell ref="H727:H742"/>
    <mergeCell ref="C680:C681"/>
    <mergeCell ref="B680:B681"/>
    <mergeCell ref="A680:A681"/>
    <mergeCell ref="A718:A723"/>
    <mergeCell ref="B718:B723"/>
    <mergeCell ref="C718:C723"/>
    <mergeCell ref="D700:D701"/>
    <mergeCell ref="E700:E701"/>
    <mergeCell ref="H700:H701"/>
    <mergeCell ref="D702:D717"/>
    <mergeCell ref="E702:E717"/>
    <mergeCell ref="H702:H717"/>
    <mergeCell ref="D718:D719"/>
    <mergeCell ref="E718:E719"/>
    <mergeCell ref="H718:H719"/>
    <mergeCell ref="M718:M719"/>
    <mergeCell ref="D720:D723"/>
    <mergeCell ref="E720:E723"/>
    <mergeCell ref="H720:H723"/>
    <mergeCell ref="M720:M721"/>
    <mergeCell ref="M722:M723"/>
    <mergeCell ref="A700:A717"/>
    <mergeCell ref="B700:B717"/>
    <mergeCell ref="C700:C717"/>
    <mergeCell ref="M700:M701"/>
    <mergeCell ref="M702:M703"/>
    <mergeCell ref="M704:M705"/>
    <mergeCell ref="M706:M707"/>
    <mergeCell ref="M708:M709"/>
    <mergeCell ref="M710:M711"/>
    <mergeCell ref="M712:M713"/>
    <mergeCell ref="M714:M715"/>
    <mergeCell ref="A678:A679"/>
    <mergeCell ref="B678:B679"/>
    <mergeCell ref="C678:C679"/>
    <mergeCell ref="D678:D679"/>
    <mergeCell ref="E678:E679"/>
    <mergeCell ref="H678:H679"/>
    <mergeCell ref="M678:M679"/>
    <mergeCell ref="D680:D681"/>
    <mergeCell ref="E680:E681"/>
    <mergeCell ref="H680:H681"/>
    <mergeCell ref="M680:M681"/>
    <mergeCell ref="A682:A699"/>
    <mergeCell ref="B682:B699"/>
    <mergeCell ref="C682:C699"/>
    <mergeCell ref="D682:D683"/>
    <mergeCell ref="E682:E683"/>
    <mergeCell ref="D684:D699"/>
    <mergeCell ref="E684:E699"/>
    <mergeCell ref="H684:H699"/>
    <mergeCell ref="M684:M685"/>
    <mergeCell ref="M686:M687"/>
    <mergeCell ref="M688:M689"/>
    <mergeCell ref="M692:M693"/>
    <mergeCell ref="M694:M695"/>
    <mergeCell ref="M696:M697"/>
    <mergeCell ref="M698:M699"/>
    <mergeCell ref="A660:A677"/>
    <mergeCell ref="B660:B677"/>
    <mergeCell ref="C660:C677"/>
    <mergeCell ref="D660:D661"/>
    <mergeCell ref="E660:E661"/>
    <mergeCell ref="H660:H661"/>
    <mergeCell ref="M660:M661"/>
    <mergeCell ref="D662:D677"/>
    <mergeCell ref="E662:E677"/>
    <mergeCell ref="H662:H677"/>
    <mergeCell ref="M662:M663"/>
    <mergeCell ref="M664:M665"/>
    <mergeCell ref="M666:M667"/>
    <mergeCell ref="M668:M669"/>
    <mergeCell ref="M670:M671"/>
    <mergeCell ref="M672:M673"/>
    <mergeCell ref="M674:M675"/>
    <mergeCell ref="M676:M677"/>
    <mergeCell ref="A642:A659"/>
    <mergeCell ref="B642:B659"/>
    <mergeCell ref="C642:C659"/>
    <mergeCell ref="D642:D643"/>
    <mergeCell ref="E642:E643"/>
    <mergeCell ref="H642:H643"/>
    <mergeCell ref="M642:M643"/>
    <mergeCell ref="D644:D659"/>
    <mergeCell ref="E644:E659"/>
    <mergeCell ref="H644:H659"/>
    <mergeCell ref="M644:M645"/>
    <mergeCell ref="M646:M647"/>
    <mergeCell ref="M648:M649"/>
    <mergeCell ref="M650:M651"/>
    <mergeCell ref="M652:M653"/>
    <mergeCell ref="M654:M655"/>
    <mergeCell ref="M658:M659"/>
    <mergeCell ref="A624:A641"/>
    <mergeCell ref="B624:B641"/>
    <mergeCell ref="C624:C641"/>
    <mergeCell ref="D624:D625"/>
    <mergeCell ref="E624:E625"/>
    <mergeCell ref="H624:H625"/>
    <mergeCell ref="M624:M625"/>
    <mergeCell ref="D626:D641"/>
    <mergeCell ref="E626:E641"/>
    <mergeCell ref="H626:H641"/>
    <mergeCell ref="M626:M627"/>
    <mergeCell ref="M628:M629"/>
    <mergeCell ref="M630:M631"/>
    <mergeCell ref="M632:M633"/>
    <mergeCell ref="M634:M635"/>
    <mergeCell ref="M636:M637"/>
    <mergeCell ref="M638:M639"/>
    <mergeCell ref="M640:M641"/>
    <mergeCell ref="A606:A623"/>
    <mergeCell ref="B606:B623"/>
    <mergeCell ref="C606:C623"/>
    <mergeCell ref="D606:D607"/>
    <mergeCell ref="E606:E607"/>
    <mergeCell ref="H606:H607"/>
    <mergeCell ref="M606:M607"/>
    <mergeCell ref="D608:D623"/>
    <mergeCell ref="E608:E623"/>
    <mergeCell ref="H608:H623"/>
    <mergeCell ref="M608:M609"/>
    <mergeCell ref="M610:M611"/>
    <mergeCell ref="M612:M613"/>
    <mergeCell ref="M614:M615"/>
    <mergeCell ref="M616:M617"/>
    <mergeCell ref="M618:M619"/>
    <mergeCell ref="M620:M621"/>
    <mergeCell ref="E550:E551"/>
    <mergeCell ref="H550:H551"/>
    <mergeCell ref="D552:D567"/>
    <mergeCell ref="E552:E567"/>
    <mergeCell ref="H552:H567"/>
    <mergeCell ref="M552:M553"/>
    <mergeCell ref="M556:M557"/>
    <mergeCell ref="M558:M559"/>
    <mergeCell ref="M560:M561"/>
    <mergeCell ref="M562:M563"/>
    <mergeCell ref="M564:M565"/>
    <mergeCell ref="M566:M567"/>
    <mergeCell ref="A568:A585"/>
    <mergeCell ref="B568:B585"/>
    <mergeCell ref="C568:C585"/>
    <mergeCell ref="D568:D569"/>
    <mergeCell ref="E568:E569"/>
    <mergeCell ref="H568:H569"/>
    <mergeCell ref="M568:M569"/>
    <mergeCell ref="D570:D585"/>
    <mergeCell ref="E570:E585"/>
    <mergeCell ref="H570:H585"/>
    <mergeCell ref="M570:M571"/>
    <mergeCell ref="M572:M573"/>
    <mergeCell ref="M574:M575"/>
    <mergeCell ref="M578:M579"/>
    <mergeCell ref="M580:M581"/>
    <mergeCell ref="M582:M583"/>
    <mergeCell ref="M584:M585"/>
    <mergeCell ref="B550:B567"/>
    <mergeCell ref="C550:C567"/>
    <mergeCell ref="A514:A531"/>
    <mergeCell ref="B514:B531"/>
    <mergeCell ref="C514:C531"/>
    <mergeCell ref="D514:D515"/>
    <mergeCell ref="E514:E515"/>
    <mergeCell ref="H514:H515"/>
    <mergeCell ref="M514:M515"/>
    <mergeCell ref="D516:D531"/>
    <mergeCell ref="E516:E531"/>
    <mergeCell ref="H516:H531"/>
    <mergeCell ref="M516:M517"/>
    <mergeCell ref="M518:M519"/>
    <mergeCell ref="M520:M521"/>
    <mergeCell ref="M522:M523"/>
    <mergeCell ref="M524:M525"/>
    <mergeCell ref="M526:M527"/>
    <mergeCell ref="M528:M529"/>
    <mergeCell ref="M530:M531"/>
    <mergeCell ref="A496:A513"/>
    <mergeCell ref="B496:B513"/>
    <mergeCell ref="C496:C513"/>
    <mergeCell ref="D496:D497"/>
    <mergeCell ref="E496:E497"/>
    <mergeCell ref="H496:H497"/>
    <mergeCell ref="M496:M497"/>
    <mergeCell ref="D498:D513"/>
    <mergeCell ref="E498:E513"/>
    <mergeCell ref="H498:H513"/>
    <mergeCell ref="M498:M499"/>
    <mergeCell ref="M500:M501"/>
    <mergeCell ref="M502:M503"/>
    <mergeCell ref="M504:M505"/>
    <mergeCell ref="M506:M507"/>
    <mergeCell ref="M508:M509"/>
    <mergeCell ref="M512:M513"/>
    <mergeCell ref="M510:M511"/>
    <mergeCell ref="B460:B477"/>
    <mergeCell ref="C460:C477"/>
    <mergeCell ref="D460:D461"/>
    <mergeCell ref="E460:E461"/>
    <mergeCell ref="H460:H461"/>
    <mergeCell ref="M460:M461"/>
    <mergeCell ref="D462:D477"/>
    <mergeCell ref="E462:E477"/>
    <mergeCell ref="H462:H477"/>
    <mergeCell ref="M462:M463"/>
    <mergeCell ref="M464:M465"/>
    <mergeCell ref="M468:M469"/>
    <mergeCell ref="M470:M471"/>
    <mergeCell ref="M472:M473"/>
    <mergeCell ref="M474:M475"/>
    <mergeCell ref="M476:M477"/>
    <mergeCell ref="A478:A495"/>
    <mergeCell ref="B478:B495"/>
    <mergeCell ref="C478:C495"/>
    <mergeCell ref="D478:D479"/>
    <mergeCell ref="E478:E479"/>
    <mergeCell ref="H478:H479"/>
    <mergeCell ref="M478:M479"/>
    <mergeCell ref="D480:D495"/>
    <mergeCell ref="E480:E495"/>
    <mergeCell ref="H480:H495"/>
    <mergeCell ref="M480:M481"/>
    <mergeCell ref="M482:M483"/>
    <mergeCell ref="M484:M485"/>
    <mergeCell ref="M486:M487"/>
    <mergeCell ref="M490:M491"/>
    <mergeCell ref="M492:M493"/>
    <mergeCell ref="A424:A441"/>
    <mergeCell ref="B424:B441"/>
    <mergeCell ref="D426:D441"/>
    <mergeCell ref="E426:E441"/>
    <mergeCell ref="H426:H441"/>
    <mergeCell ref="M430:M431"/>
    <mergeCell ref="M432:M433"/>
    <mergeCell ref="M434:M435"/>
    <mergeCell ref="M436:M437"/>
    <mergeCell ref="M438:M439"/>
    <mergeCell ref="M440:M441"/>
    <mergeCell ref="A442:A459"/>
    <mergeCell ref="B442:B459"/>
    <mergeCell ref="D442:D443"/>
    <mergeCell ref="E442:E443"/>
    <mergeCell ref="H442:H443"/>
    <mergeCell ref="M442:M443"/>
    <mergeCell ref="D444:D459"/>
    <mergeCell ref="E444:E459"/>
    <mergeCell ref="H444:H459"/>
    <mergeCell ref="M444:M445"/>
    <mergeCell ref="M446:M447"/>
    <mergeCell ref="M448:M449"/>
    <mergeCell ref="M450:M451"/>
    <mergeCell ref="M452:M453"/>
    <mergeCell ref="M454:M455"/>
    <mergeCell ref="M456:M457"/>
    <mergeCell ref="M458:M459"/>
    <mergeCell ref="C424:C459"/>
    <mergeCell ref="H424:H425"/>
    <mergeCell ref="E424:E425"/>
    <mergeCell ref="D424:D425"/>
    <mergeCell ref="A406:A423"/>
    <mergeCell ref="B406:B423"/>
    <mergeCell ref="C406:C423"/>
    <mergeCell ref="D406:D407"/>
    <mergeCell ref="E406:E407"/>
    <mergeCell ref="H406:H407"/>
    <mergeCell ref="M406:M407"/>
    <mergeCell ref="D408:D423"/>
    <mergeCell ref="E408:E423"/>
    <mergeCell ref="H408:H423"/>
    <mergeCell ref="M408:M409"/>
    <mergeCell ref="M410:M411"/>
    <mergeCell ref="M412:M413"/>
    <mergeCell ref="M414:M415"/>
    <mergeCell ref="M416:M417"/>
    <mergeCell ref="M418:M419"/>
    <mergeCell ref="M420:M421"/>
    <mergeCell ref="M422:M423"/>
    <mergeCell ref="A388:A405"/>
    <mergeCell ref="B388:B405"/>
    <mergeCell ref="C388:C405"/>
    <mergeCell ref="D388:D389"/>
    <mergeCell ref="E388:E389"/>
    <mergeCell ref="H388:H389"/>
    <mergeCell ref="M388:M389"/>
    <mergeCell ref="D390:D405"/>
    <mergeCell ref="E390:E405"/>
    <mergeCell ref="H390:H405"/>
    <mergeCell ref="M390:M391"/>
    <mergeCell ref="M392:M393"/>
    <mergeCell ref="M394:M395"/>
    <mergeCell ref="M396:M397"/>
    <mergeCell ref="M398:M399"/>
    <mergeCell ref="M400:M401"/>
    <mergeCell ref="M404:M405"/>
    <mergeCell ref="M402:M403"/>
    <mergeCell ref="A370:A387"/>
    <mergeCell ref="B370:B387"/>
    <mergeCell ref="C370:C387"/>
    <mergeCell ref="D370:D371"/>
    <mergeCell ref="E370:E371"/>
    <mergeCell ref="H370:H371"/>
    <mergeCell ref="M370:M371"/>
    <mergeCell ref="D372:D387"/>
    <mergeCell ref="E372:E387"/>
    <mergeCell ref="H372:H387"/>
    <mergeCell ref="M372:M373"/>
    <mergeCell ref="M374:M375"/>
    <mergeCell ref="M376:M377"/>
    <mergeCell ref="M378:M379"/>
    <mergeCell ref="M380:M381"/>
    <mergeCell ref="M382:M383"/>
    <mergeCell ref="M384:M385"/>
    <mergeCell ref="M386:M387"/>
    <mergeCell ref="A350:A351"/>
    <mergeCell ref="A352:A369"/>
    <mergeCell ref="B352:B369"/>
    <mergeCell ref="C352:C369"/>
    <mergeCell ref="D352:D353"/>
    <mergeCell ref="E352:E353"/>
    <mergeCell ref="H352:H353"/>
    <mergeCell ref="M352:M353"/>
    <mergeCell ref="D354:D369"/>
    <mergeCell ref="E354:E369"/>
    <mergeCell ref="H354:H369"/>
    <mergeCell ref="M354:M355"/>
    <mergeCell ref="M356:M357"/>
    <mergeCell ref="M360:M361"/>
    <mergeCell ref="M362:M363"/>
    <mergeCell ref="M364:M365"/>
    <mergeCell ref="M366:M367"/>
    <mergeCell ref="M368:M369"/>
    <mergeCell ref="M358:M359"/>
    <mergeCell ref="D350:D351"/>
    <mergeCell ref="E350:E351"/>
    <mergeCell ref="H350:H351"/>
    <mergeCell ref="M350:M351"/>
    <mergeCell ref="C350:C351"/>
    <mergeCell ref="B350:B351"/>
    <mergeCell ref="A314:A331"/>
    <mergeCell ref="B314:B331"/>
    <mergeCell ref="C314:C331"/>
    <mergeCell ref="E314:E315"/>
    <mergeCell ref="D316:D331"/>
    <mergeCell ref="E316:E331"/>
    <mergeCell ref="H316:H331"/>
    <mergeCell ref="M316:M317"/>
    <mergeCell ref="M318:M319"/>
    <mergeCell ref="M320:M321"/>
    <mergeCell ref="M322:M323"/>
    <mergeCell ref="M324:M325"/>
    <mergeCell ref="M326:M327"/>
    <mergeCell ref="M328:M329"/>
    <mergeCell ref="M330:M331"/>
    <mergeCell ref="A332:A349"/>
    <mergeCell ref="B332:B349"/>
    <mergeCell ref="C332:C349"/>
    <mergeCell ref="D332:D333"/>
    <mergeCell ref="E332:E333"/>
    <mergeCell ref="H332:H333"/>
    <mergeCell ref="M332:M333"/>
    <mergeCell ref="D334:D349"/>
    <mergeCell ref="E334:E349"/>
    <mergeCell ref="H334:H349"/>
    <mergeCell ref="M334:M335"/>
    <mergeCell ref="M338:M339"/>
    <mergeCell ref="M340:M341"/>
    <mergeCell ref="M342:M343"/>
    <mergeCell ref="M344:M345"/>
    <mergeCell ref="M346:M347"/>
    <mergeCell ref="M348:M349"/>
    <mergeCell ref="A296:A313"/>
    <mergeCell ref="B296:B313"/>
    <mergeCell ref="C296:C313"/>
    <mergeCell ref="D296:D297"/>
    <mergeCell ref="E296:E297"/>
    <mergeCell ref="H296:H297"/>
    <mergeCell ref="M296:M297"/>
    <mergeCell ref="D298:D313"/>
    <mergeCell ref="E298:E313"/>
    <mergeCell ref="H298:H313"/>
    <mergeCell ref="M298:M299"/>
    <mergeCell ref="M300:M301"/>
    <mergeCell ref="M302:M303"/>
    <mergeCell ref="M304:M305"/>
    <mergeCell ref="M306:M307"/>
    <mergeCell ref="M308:M309"/>
    <mergeCell ref="M310:M311"/>
    <mergeCell ref="M312:M313"/>
    <mergeCell ref="A241:A258"/>
    <mergeCell ref="B241:B258"/>
    <mergeCell ref="C241:C258"/>
    <mergeCell ref="D243:D258"/>
    <mergeCell ref="E243:E258"/>
    <mergeCell ref="H243:H258"/>
    <mergeCell ref="M245:M246"/>
    <mergeCell ref="M247:M248"/>
    <mergeCell ref="M249:M250"/>
    <mergeCell ref="M251:M252"/>
    <mergeCell ref="M253:M254"/>
    <mergeCell ref="M255:M256"/>
    <mergeCell ref="M257:M258"/>
    <mergeCell ref="E241:E242"/>
    <mergeCell ref="A259:A277"/>
    <mergeCell ref="A278:A295"/>
    <mergeCell ref="B278:B295"/>
    <mergeCell ref="C278:C295"/>
    <mergeCell ref="D278:D279"/>
    <mergeCell ref="E278:E279"/>
    <mergeCell ref="H278:H279"/>
    <mergeCell ref="M278:M279"/>
    <mergeCell ref="D280:D295"/>
    <mergeCell ref="E280:E295"/>
    <mergeCell ref="H280:H295"/>
    <mergeCell ref="M280:M281"/>
    <mergeCell ref="M282:M283"/>
    <mergeCell ref="M284:M285"/>
    <mergeCell ref="M286:M287"/>
    <mergeCell ref="M290:M291"/>
    <mergeCell ref="M292:M293"/>
    <mergeCell ref="M294:M295"/>
    <mergeCell ref="A223:A240"/>
    <mergeCell ref="B223:B240"/>
    <mergeCell ref="C223:C240"/>
    <mergeCell ref="D223:D224"/>
    <mergeCell ref="E223:E224"/>
    <mergeCell ref="H223:H224"/>
    <mergeCell ref="M223:M224"/>
    <mergeCell ref="D225:D240"/>
    <mergeCell ref="E225:E240"/>
    <mergeCell ref="H225:H240"/>
    <mergeCell ref="M225:M226"/>
    <mergeCell ref="M227:M228"/>
    <mergeCell ref="M229:M230"/>
    <mergeCell ref="M231:M232"/>
    <mergeCell ref="M233:M234"/>
    <mergeCell ref="M235:M236"/>
    <mergeCell ref="M237:M238"/>
    <mergeCell ref="M239:M240"/>
    <mergeCell ref="A205:A222"/>
    <mergeCell ref="B205:B222"/>
    <mergeCell ref="C205:C222"/>
    <mergeCell ref="D205:D206"/>
    <mergeCell ref="E205:E206"/>
    <mergeCell ref="H205:H206"/>
    <mergeCell ref="M205:M206"/>
    <mergeCell ref="D207:D222"/>
    <mergeCell ref="E207:E222"/>
    <mergeCell ref="H207:H222"/>
    <mergeCell ref="M207:M208"/>
    <mergeCell ref="M209:M210"/>
    <mergeCell ref="M211:M212"/>
    <mergeCell ref="M213:M214"/>
    <mergeCell ref="M215:M216"/>
    <mergeCell ref="M217:M218"/>
    <mergeCell ref="M221:M222"/>
    <mergeCell ref="A187:A204"/>
    <mergeCell ref="B187:B204"/>
    <mergeCell ref="C187:C204"/>
    <mergeCell ref="D187:D188"/>
    <mergeCell ref="E187:E188"/>
    <mergeCell ref="H187:H188"/>
    <mergeCell ref="M187:M188"/>
    <mergeCell ref="D189:D204"/>
    <mergeCell ref="E189:E204"/>
    <mergeCell ref="H189:H204"/>
    <mergeCell ref="M189:M190"/>
    <mergeCell ref="M191:M192"/>
    <mergeCell ref="M193:M194"/>
    <mergeCell ref="M195:M196"/>
    <mergeCell ref="M199:M200"/>
    <mergeCell ref="M201:M202"/>
    <mergeCell ref="M203:M204"/>
    <mergeCell ref="A169:A186"/>
    <mergeCell ref="B169:B186"/>
    <mergeCell ref="C169:C186"/>
    <mergeCell ref="D169:D170"/>
    <mergeCell ref="E169:E170"/>
    <mergeCell ref="H169:H170"/>
    <mergeCell ref="M169:M170"/>
    <mergeCell ref="D171:D186"/>
    <mergeCell ref="E171:E186"/>
    <mergeCell ref="H171:H186"/>
    <mergeCell ref="M171:M172"/>
    <mergeCell ref="M173:M174"/>
    <mergeCell ref="M177:M178"/>
    <mergeCell ref="M179:M180"/>
    <mergeCell ref="M181:M182"/>
    <mergeCell ref="M183:M184"/>
    <mergeCell ref="M185:M186"/>
    <mergeCell ref="A151:A168"/>
    <mergeCell ref="B151:B168"/>
    <mergeCell ref="C151:C168"/>
    <mergeCell ref="D151:D152"/>
    <mergeCell ref="E151:E152"/>
    <mergeCell ref="H151:H152"/>
    <mergeCell ref="M151:M152"/>
    <mergeCell ref="D153:D168"/>
    <mergeCell ref="E153:E168"/>
    <mergeCell ref="H153:H168"/>
    <mergeCell ref="M155:M156"/>
    <mergeCell ref="M157:M158"/>
    <mergeCell ref="M159:M160"/>
    <mergeCell ref="M161:M162"/>
    <mergeCell ref="M163:M164"/>
    <mergeCell ref="M165:M166"/>
    <mergeCell ref="M167:M168"/>
    <mergeCell ref="A132:A149"/>
    <mergeCell ref="B132:B149"/>
    <mergeCell ref="C132:C149"/>
    <mergeCell ref="D132:D133"/>
    <mergeCell ref="E132:E133"/>
    <mergeCell ref="H132:H133"/>
    <mergeCell ref="M132:M133"/>
    <mergeCell ref="D134:D149"/>
    <mergeCell ref="E134:E149"/>
    <mergeCell ref="H134:H149"/>
    <mergeCell ref="M134:M135"/>
    <mergeCell ref="M136:M137"/>
    <mergeCell ref="M138:M139"/>
    <mergeCell ref="M140:M141"/>
    <mergeCell ref="M144:M145"/>
    <mergeCell ref="M146:M147"/>
    <mergeCell ref="M148:M149"/>
    <mergeCell ref="A114:A131"/>
    <mergeCell ref="B114:B131"/>
    <mergeCell ref="C114:C131"/>
    <mergeCell ref="D114:D115"/>
    <mergeCell ref="E114:E115"/>
    <mergeCell ref="H114:H115"/>
    <mergeCell ref="M114:M115"/>
    <mergeCell ref="D116:D131"/>
    <mergeCell ref="E116:E131"/>
    <mergeCell ref="H116:H131"/>
    <mergeCell ref="M116:M117"/>
    <mergeCell ref="M118:M119"/>
    <mergeCell ref="M122:M123"/>
    <mergeCell ref="M124:M125"/>
    <mergeCell ref="M126:M127"/>
    <mergeCell ref="M128:M129"/>
    <mergeCell ref="M130:M131"/>
    <mergeCell ref="M120:M121"/>
    <mergeCell ref="M94:M95"/>
    <mergeCell ref="A96:A113"/>
    <mergeCell ref="B96:B113"/>
    <mergeCell ref="C96:C113"/>
    <mergeCell ref="D96:D97"/>
    <mergeCell ref="E96:E97"/>
    <mergeCell ref="H96:H97"/>
    <mergeCell ref="M96:M97"/>
    <mergeCell ref="D98:D113"/>
    <mergeCell ref="E98:E113"/>
    <mergeCell ref="H98:H113"/>
    <mergeCell ref="M98:M99"/>
    <mergeCell ref="M100:M101"/>
    <mergeCell ref="M102:M103"/>
    <mergeCell ref="M104:M105"/>
    <mergeCell ref="M106:M107"/>
    <mergeCell ref="M110:M111"/>
    <mergeCell ref="M112:M113"/>
    <mergeCell ref="M108:M109"/>
    <mergeCell ref="C60:C77"/>
    <mergeCell ref="D60:D61"/>
    <mergeCell ref="E60:E61"/>
    <mergeCell ref="H60:H61"/>
    <mergeCell ref="B259:B277"/>
    <mergeCell ref="M153:M154"/>
    <mergeCell ref="H62:H77"/>
    <mergeCell ref="M62:M63"/>
    <mergeCell ref="M64:M65"/>
    <mergeCell ref="M66:M67"/>
    <mergeCell ref="M68:M69"/>
    <mergeCell ref="M70:M71"/>
    <mergeCell ref="M72:M73"/>
    <mergeCell ref="M74:M75"/>
    <mergeCell ref="M76:M77"/>
    <mergeCell ref="A78:A95"/>
    <mergeCell ref="B78:B95"/>
    <mergeCell ref="C78:C95"/>
    <mergeCell ref="D78:D79"/>
    <mergeCell ref="E78:E79"/>
    <mergeCell ref="H78:H79"/>
    <mergeCell ref="M78:M79"/>
    <mergeCell ref="D80:D95"/>
    <mergeCell ref="E80:E95"/>
    <mergeCell ref="H80:H95"/>
    <mergeCell ref="M80:M81"/>
    <mergeCell ref="M82:M83"/>
    <mergeCell ref="M84:M85"/>
    <mergeCell ref="M86:M87"/>
    <mergeCell ref="M88:M89"/>
    <mergeCell ref="M90:M91"/>
    <mergeCell ref="M92:M93"/>
    <mergeCell ref="B42:B59"/>
    <mergeCell ref="C42:C59"/>
    <mergeCell ref="D42:D43"/>
    <mergeCell ref="E42:E43"/>
    <mergeCell ref="H42:H43"/>
    <mergeCell ref="M42:M43"/>
    <mergeCell ref="D44:D59"/>
    <mergeCell ref="E44:E59"/>
    <mergeCell ref="H44:H59"/>
    <mergeCell ref="M44:M45"/>
    <mergeCell ref="M46:M47"/>
    <mergeCell ref="M48:M49"/>
    <mergeCell ref="M50:M51"/>
    <mergeCell ref="M52:M53"/>
    <mergeCell ref="M54:M55"/>
    <mergeCell ref="M56:M57"/>
    <mergeCell ref="M58:M59"/>
    <mergeCell ref="A1774:A1791"/>
    <mergeCell ref="B1774:B1791"/>
    <mergeCell ref="D1776:D1791"/>
    <mergeCell ref="M1726:M1727"/>
    <mergeCell ref="M1542:M1543"/>
    <mergeCell ref="M787:M788"/>
    <mergeCell ref="M807:M808"/>
    <mergeCell ref="M763:M764"/>
    <mergeCell ref="H532:H533"/>
    <mergeCell ref="M554:M555"/>
    <mergeCell ref="M656:M657"/>
    <mergeCell ref="M716:M717"/>
    <mergeCell ref="M690:M691"/>
    <mergeCell ref="M532:M533"/>
    <mergeCell ref="M576:M577"/>
    <mergeCell ref="M622:M623"/>
    <mergeCell ref="A532:A549"/>
    <mergeCell ref="B532:B549"/>
    <mergeCell ref="C532:C549"/>
    <mergeCell ref="D532:D533"/>
    <mergeCell ref="E532:E533"/>
    <mergeCell ref="D534:D549"/>
    <mergeCell ref="E534:E549"/>
    <mergeCell ref="M741:M742"/>
    <mergeCell ref="H534:H549"/>
    <mergeCell ref="M534:M535"/>
    <mergeCell ref="M536:M537"/>
    <mergeCell ref="M538:M539"/>
    <mergeCell ref="M540:M541"/>
    <mergeCell ref="M542:M543"/>
    <mergeCell ref="E1776:E1791"/>
    <mergeCell ref="H1776:H1791"/>
    <mergeCell ref="D2102:D2103"/>
    <mergeCell ref="M2168:M2169"/>
    <mergeCell ref="A2156:A2173"/>
    <mergeCell ref="B2156:B2173"/>
    <mergeCell ref="D2156:D2157"/>
    <mergeCell ref="E2156:E2157"/>
    <mergeCell ref="H2156:H2157"/>
    <mergeCell ref="M2156:M2157"/>
    <mergeCell ref="D2158:D2173"/>
    <mergeCell ref="A2102:A2119"/>
    <mergeCell ref="B2102:B2119"/>
    <mergeCell ref="D2104:D2119"/>
    <mergeCell ref="E2104:E2119"/>
    <mergeCell ref="H2104:H2119"/>
    <mergeCell ref="M2104:M2105"/>
    <mergeCell ref="M2106:M2107"/>
    <mergeCell ref="M2108:M2109"/>
    <mergeCell ref="E2102:E2103"/>
    <mergeCell ref="H2102:H2103"/>
    <mergeCell ref="M2102:M2103"/>
    <mergeCell ref="M2134:M2135"/>
    <mergeCell ref="M2136:M2137"/>
    <mergeCell ref="A2138:A2155"/>
    <mergeCell ref="B2138:B2155"/>
    <mergeCell ref="D2138:D2139"/>
    <mergeCell ref="E2138:E2139"/>
    <mergeCell ref="H2138:H2139"/>
    <mergeCell ref="M2138:M2139"/>
    <mergeCell ref="D2140:D2155"/>
    <mergeCell ref="E2140:E2155"/>
    <mergeCell ref="H2140:H2155"/>
    <mergeCell ref="M2140:M2141"/>
    <mergeCell ref="M1776:M1777"/>
    <mergeCell ref="M1752:M1753"/>
    <mergeCell ref="M1868:M1869"/>
    <mergeCell ref="M1778:M1779"/>
    <mergeCell ref="M1780:M1781"/>
    <mergeCell ref="M1782:M1783"/>
    <mergeCell ref="M1784:M1785"/>
    <mergeCell ref="M1786:M1787"/>
    <mergeCell ref="M1788:M1789"/>
    <mergeCell ref="M1790:M1791"/>
    <mergeCell ref="M1844:M1845"/>
    <mergeCell ref="D1720:D1721"/>
    <mergeCell ref="E1720:E1721"/>
    <mergeCell ref="H1720:H1721"/>
    <mergeCell ref="M1720:M1721"/>
    <mergeCell ref="D1722:D1737"/>
    <mergeCell ref="E1722:E1737"/>
    <mergeCell ref="D1774:D1775"/>
    <mergeCell ref="E1774:E1775"/>
    <mergeCell ref="D1810:D1811"/>
    <mergeCell ref="E1810:E1811"/>
    <mergeCell ref="E1846:E1847"/>
    <mergeCell ref="D1846:D1847"/>
    <mergeCell ref="M1728:M1729"/>
    <mergeCell ref="M1846:M1847"/>
    <mergeCell ref="M1770:M1771"/>
    <mergeCell ref="M1772:M1773"/>
    <mergeCell ref="H1722:H1737"/>
    <mergeCell ref="M1722:M1723"/>
    <mergeCell ref="M1724:M1725"/>
    <mergeCell ref="M1734:M1735"/>
    <mergeCell ref="M1736:M1737"/>
    <mergeCell ref="M1564:M1565"/>
    <mergeCell ref="M1508:M1509"/>
    <mergeCell ref="M939:M940"/>
    <mergeCell ref="H1431:H1432"/>
    <mergeCell ref="M1397:M1398"/>
    <mergeCell ref="M1375:M1376"/>
    <mergeCell ref="H851:H852"/>
    <mergeCell ref="D1050:D1051"/>
    <mergeCell ref="E1050:E1051"/>
    <mergeCell ref="M1138:M1139"/>
    <mergeCell ref="M1094:M1095"/>
    <mergeCell ref="M1116:M1117"/>
    <mergeCell ref="A1104:A1121"/>
    <mergeCell ref="B1104:B1121"/>
    <mergeCell ref="D1104:D1105"/>
    <mergeCell ref="E1104:E1105"/>
    <mergeCell ref="H1104:H1105"/>
    <mergeCell ref="M1104:M1105"/>
    <mergeCell ref="D1431:D1432"/>
    <mergeCell ref="A1287:A1304"/>
    <mergeCell ref="B1287:B1304"/>
    <mergeCell ref="D1323:D1324"/>
    <mergeCell ref="M877:M878"/>
    <mergeCell ref="M879:M880"/>
    <mergeCell ref="M881:M882"/>
    <mergeCell ref="M883:M884"/>
    <mergeCell ref="M885:M886"/>
    <mergeCell ref="D851:D852"/>
    <mergeCell ref="E851:E852"/>
    <mergeCell ref="A887:A904"/>
    <mergeCell ref="B887:B904"/>
    <mergeCell ref="D887:D888"/>
    <mergeCell ref="M1331:M1332"/>
    <mergeCell ref="M917:M918"/>
    <mergeCell ref="M851:M852"/>
    <mergeCell ref="M544:M545"/>
    <mergeCell ref="M546:M547"/>
    <mergeCell ref="M548:M549"/>
    <mergeCell ref="A550:A567"/>
    <mergeCell ref="H314:H315"/>
    <mergeCell ref="M314:M315"/>
    <mergeCell ref="M428:M429"/>
    <mergeCell ref="M488:M489"/>
    <mergeCell ref="D241:D242"/>
    <mergeCell ref="A42:A59"/>
    <mergeCell ref="E3:E4"/>
    <mergeCell ref="E8:E23"/>
    <mergeCell ref="H2:H4"/>
    <mergeCell ref="F2:F4"/>
    <mergeCell ref="H8:H23"/>
    <mergeCell ref="D8:D23"/>
    <mergeCell ref="M142:M143"/>
    <mergeCell ref="H241:H242"/>
    <mergeCell ref="M197:M198"/>
    <mergeCell ref="A460:A477"/>
    <mergeCell ref="M8:M9"/>
    <mergeCell ref="M22:M23"/>
    <mergeCell ref="M20:M21"/>
    <mergeCell ref="M18:M19"/>
    <mergeCell ref="M16:M17"/>
    <mergeCell ref="M14:M15"/>
    <mergeCell ref="K2:L2"/>
    <mergeCell ref="D550:D551"/>
    <mergeCell ref="I3:I4"/>
    <mergeCell ref="M12:M13"/>
    <mergeCell ref="M10:M11"/>
    <mergeCell ref="A24:A41"/>
    <mergeCell ref="B24:B41"/>
    <mergeCell ref="C24:C41"/>
    <mergeCell ref="D24:D25"/>
    <mergeCell ref="E24:E25"/>
    <mergeCell ref="M24:M25"/>
    <mergeCell ref="A1:M1"/>
    <mergeCell ref="H6:H7"/>
    <mergeCell ref="G2:G4"/>
    <mergeCell ref="D6:D7"/>
    <mergeCell ref="E6:E7"/>
    <mergeCell ref="M6:M7"/>
    <mergeCell ref="M2:M4"/>
    <mergeCell ref="A2:A4"/>
    <mergeCell ref="C2:C4"/>
    <mergeCell ref="D2:E2"/>
    <mergeCell ref="B2:B4"/>
    <mergeCell ref="D3:D4"/>
    <mergeCell ref="I2:J2"/>
    <mergeCell ref="J3:J4"/>
    <mergeCell ref="K3:L3"/>
    <mergeCell ref="M26:M27"/>
    <mergeCell ref="M28:M29"/>
    <mergeCell ref="M30:M31"/>
    <mergeCell ref="M32:M33"/>
    <mergeCell ref="M34:M35"/>
    <mergeCell ref="M36:M37"/>
    <mergeCell ref="M38:M39"/>
    <mergeCell ref="M40:M41"/>
    <mergeCell ref="M241:M242"/>
    <mergeCell ref="M219:M220"/>
    <mergeCell ref="M175:M176"/>
    <mergeCell ref="H24:H25"/>
    <mergeCell ref="B6:B23"/>
    <mergeCell ref="A6:A23"/>
    <mergeCell ref="C6:C23"/>
    <mergeCell ref="D26:D41"/>
    <mergeCell ref="E26:E41"/>
    <mergeCell ref="H26:H41"/>
    <mergeCell ref="A60:A77"/>
    <mergeCell ref="B60:B77"/>
    <mergeCell ref="M60:M61"/>
    <mergeCell ref="D62:D77"/>
    <mergeCell ref="E62:E77"/>
    <mergeCell ref="M1453:M1454"/>
    <mergeCell ref="C259:C277"/>
    <mergeCell ref="M259:M261"/>
    <mergeCell ref="D260:D261"/>
    <mergeCell ref="E260:E261"/>
    <mergeCell ref="H260:H261"/>
    <mergeCell ref="D262:D277"/>
    <mergeCell ref="E262:E277"/>
    <mergeCell ref="H262:H277"/>
    <mergeCell ref="M262:M263"/>
    <mergeCell ref="M264:M265"/>
    <mergeCell ref="M266:M267"/>
    <mergeCell ref="M268:M269"/>
    <mergeCell ref="M270:M271"/>
    <mergeCell ref="M272:M273"/>
    <mergeCell ref="M274:M275"/>
    <mergeCell ref="M829:M830"/>
    <mergeCell ref="M869:M870"/>
    <mergeCell ref="H871:H886"/>
    <mergeCell ref="M871:M872"/>
    <mergeCell ref="M875:M876"/>
    <mergeCell ref="M1160:M1161"/>
    <mergeCell ref="M1182:M1183"/>
    <mergeCell ref="M1072:M1073"/>
    <mergeCell ref="H1050:H1051"/>
    <mergeCell ref="M494:M495"/>
    <mergeCell ref="H682:H683"/>
    <mergeCell ref="M682:M683"/>
    <mergeCell ref="M805:M806"/>
    <mergeCell ref="M243:M244"/>
    <mergeCell ref="M288:M289"/>
    <mergeCell ref="M809:M810"/>
    <mergeCell ref="M811:M812"/>
    <mergeCell ref="M813:M814"/>
    <mergeCell ref="M991:M992"/>
    <mergeCell ref="M993:M994"/>
    <mergeCell ref="M989:M990"/>
    <mergeCell ref="H1106:H1121"/>
    <mergeCell ref="M1106:M1107"/>
    <mergeCell ref="M1108:M1109"/>
    <mergeCell ref="M1110:M1111"/>
    <mergeCell ref="M1112:M1113"/>
    <mergeCell ref="M1114:M1115"/>
    <mergeCell ref="M1118:M1119"/>
    <mergeCell ref="M1120:M1121"/>
    <mergeCell ref="M276:M277"/>
    <mergeCell ref="M1156:M1157"/>
    <mergeCell ref="M2842:M2843"/>
    <mergeCell ref="M2844:M2845"/>
    <mergeCell ref="M2846:M2847"/>
    <mergeCell ref="M2848:M2849"/>
    <mergeCell ref="A2850:A2867"/>
    <mergeCell ref="B2850:B2867"/>
    <mergeCell ref="D2850:D2851"/>
    <mergeCell ref="E2850:E2851"/>
    <mergeCell ref="H2850:H2851"/>
    <mergeCell ref="M2850:M2851"/>
    <mergeCell ref="D2852:D2867"/>
    <mergeCell ref="E2852:E2867"/>
    <mergeCell ref="H2852:H2867"/>
    <mergeCell ref="M2852:M2853"/>
    <mergeCell ref="M2854:M2855"/>
    <mergeCell ref="M2856:M2857"/>
    <mergeCell ref="M2858:M2859"/>
    <mergeCell ref="M2860:M2861"/>
    <mergeCell ref="M2862:M2863"/>
    <mergeCell ref="M2864:M2865"/>
    <mergeCell ref="M2866:M2867"/>
    <mergeCell ref="M2996:M2997"/>
    <mergeCell ref="M2998:M2999"/>
    <mergeCell ref="M3000:M3001"/>
    <mergeCell ref="M3002:M3003"/>
    <mergeCell ref="M3004:M3005"/>
    <mergeCell ref="M3006:M3007"/>
    <mergeCell ref="M3008:M3009"/>
    <mergeCell ref="M3010:M3011"/>
    <mergeCell ref="A2996:A3013"/>
    <mergeCell ref="B2996:B3013"/>
    <mergeCell ref="C2996:C3031"/>
    <mergeCell ref="D2996:D2997"/>
    <mergeCell ref="E2996:E2997"/>
    <mergeCell ref="H2996:H2997"/>
    <mergeCell ref="D2998:D3013"/>
    <mergeCell ref="E2998:E3013"/>
    <mergeCell ref="H2998:H3013"/>
    <mergeCell ref="A3014:A3031"/>
    <mergeCell ref="B3014:B3031"/>
    <mergeCell ref="D3014:D3015"/>
    <mergeCell ref="E3014:E3015"/>
    <mergeCell ref="H3014:H3015"/>
    <mergeCell ref="D3016:D3031"/>
    <mergeCell ref="M3012:M3013"/>
    <mergeCell ref="M3014:M3015"/>
    <mergeCell ref="M3016:M3017"/>
    <mergeCell ref="M3018:M3019"/>
    <mergeCell ref="M3020:M3021"/>
    <mergeCell ref="M3022:M3023"/>
    <mergeCell ref="M3024:M3025"/>
    <mergeCell ref="M3026:M3027"/>
    <mergeCell ref="M3028:M3029"/>
    <mergeCell ref="E3016:E3031"/>
    <mergeCell ref="H3016:H3031"/>
    <mergeCell ref="M3030:M3031"/>
    <mergeCell ref="M3032:M3033"/>
    <mergeCell ref="M3034:M3035"/>
    <mergeCell ref="M3036:M3037"/>
    <mergeCell ref="M3038:M3039"/>
    <mergeCell ref="M3040:M3041"/>
    <mergeCell ref="M3042:M3043"/>
    <mergeCell ref="M3044:M3045"/>
    <mergeCell ref="M3046:M3047"/>
    <mergeCell ref="A3032:A3049"/>
    <mergeCell ref="B3032:B3049"/>
    <mergeCell ref="C3032:C3049"/>
    <mergeCell ref="D3032:D3033"/>
    <mergeCell ref="E3032:E3033"/>
    <mergeCell ref="H3032:H3033"/>
    <mergeCell ref="D3034:D3049"/>
    <mergeCell ref="E3034:E3049"/>
    <mergeCell ref="H3034:H3049"/>
    <mergeCell ref="M3048:M3049"/>
    <mergeCell ref="A2976:A2977"/>
    <mergeCell ref="B2976:B2977"/>
    <mergeCell ref="D2976:D2977"/>
    <mergeCell ref="E2976:E2977"/>
    <mergeCell ref="H2976:H2977"/>
    <mergeCell ref="M2976:M2977"/>
    <mergeCell ref="C2832:C2867"/>
    <mergeCell ref="D2978:D2979"/>
    <mergeCell ref="E2978:E2979"/>
    <mergeCell ref="H2978:H2979"/>
    <mergeCell ref="D2980:D2995"/>
    <mergeCell ref="E2980:E2995"/>
    <mergeCell ref="A2978:A2995"/>
    <mergeCell ref="B2978:B2995"/>
    <mergeCell ref="M2978:M2979"/>
    <mergeCell ref="H2980:H2995"/>
    <mergeCell ref="M2980:M2981"/>
    <mergeCell ref="M2982:M2983"/>
    <mergeCell ref="M2984:M2985"/>
    <mergeCell ref="M2986:M2987"/>
    <mergeCell ref="M2988:M2989"/>
    <mergeCell ref="M2990:M2991"/>
    <mergeCell ref="M2992:M2993"/>
    <mergeCell ref="M2994:M2995"/>
    <mergeCell ref="M2832:M2833"/>
    <mergeCell ref="D2834:D2849"/>
    <mergeCell ref="E2834:E2849"/>
    <mergeCell ref="H2834:H2849"/>
    <mergeCell ref="M2834:M2835"/>
    <mergeCell ref="M2836:M2837"/>
    <mergeCell ref="M2838:M2839"/>
    <mergeCell ref="M2840:M2841"/>
    <mergeCell ref="A3051:A3068"/>
    <mergeCell ref="B3051:B3068"/>
    <mergeCell ref="D3051:D3052"/>
    <mergeCell ref="E3051:E3052"/>
    <mergeCell ref="H3051:H3052"/>
    <mergeCell ref="M3051:M3052"/>
    <mergeCell ref="D3053:D3068"/>
    <mergeCell ref="E3053:E3068"/>
    <mergeCell ref="H3053:H3068"/>
    <mergeCell ref="M3053:M3054"/>
    <mergeCell ref="M3055:M3056"/>
    <mergeCell ref="M3057:M3058"/>
    <mergeCell ref="M3059:M3060"/>
    <mergeCell ref="M3061:M3062"/>
    <mergeCell ref="M3063:M3064"/>
    <mergeCell ref="M3065:M3066"/>
    <mergeCell ref="M3067:M3068"/>
    <mergeCell ref="C3051:C3072"/>
    <mergeCell ref="A3069:A3070"/>
    <mergeCell ref="B3069:B3070"/>
    <mergeCell ref="D3069:D3070"/>
    <mergeCell ref="E3069:E3070"/>
    <mergeCell ref="H3069:H3070"/>
    <mergeCell ref="M3069:M3070"/>
    <mergeCell ref="A3071:A3072"/>
    <mergeCell ref="B3071:B3072"/>
    <mergeCell ref="D3071:D3072"/>
    <mergeCell ref="E3071:E3072"/>
    <mergeCell ref="H3071:H3072"/>
    <mergeCell ref="M3071:M3072"/>
    <mergeCell ref="A3073:A3090"/>
    <mergeCell ref="B3073:B3090"/>
    <mergeCell ref="C3073:C3090"/>
    <mergeCell ref="D3073:D3074"/>
    <mergeCell ref="E3073:E3074"/>
    <mergeCell ref="H3073:H3074"/>
    <mergeCell ref="M3073:M3074"/>
    <mergeCell ref="D3075:D3090"/>
    <mergeCell ref="E3075:E3090"/>
    <mergeCell ref="H3075:H3090"/>
    <mergeCell ref="M3075:M3076"/>
    <mergeCell ref="M3077:M3078"/>
    <mergeCell ref="M3079:M3080"/>
    <mergeCell ref="M3081:M3082"/>
    <mergeCell ref="M3083:M3084"/>
    <mergeCell ref="M3085:M3086"/>
    <mergeCell ref="M3087:M3088"/>
    <mergeCell ref="M3089:M3090"/>
    <mergeCell ref="A3092:A3109"/>
    <mergeCell ref="B3092:B3109"/>
    <mergeCell ref="C3092:C3109"/>
    <mergeCell ref="D3092:D3093"/>
    <mergeCell ref="E3092:E3093"/>
    <mergeCell ref="H3092:H3093"/>
    <mergeCell ref="M3092:M3093"/>
    <mergeCell ref="D3094:D3109"/>
    <mergeCell ref="E3094:E3109"/>
    <mergeCell ref="H3094:H3109"/>
    <mergeCell ref="M3094:M3095"/>
    <mergeCell ref="M3096:M3097"/>
    <mergeCell ref="M3098:M3099"/>
    <mergeCell ref="M3100:M3101"/>
    <mergeCell ref="M3102:M3103"/>
    <mergeCell ref="M3104:M3105"/>
    <mergeCell ref="M3106:M3107"/>
    <mergeCell ref="M3108:M3109"/>
    <mergeCell ref="M3140:M3141"/>
    <mergeCell ref="M3142:M3143"/>
    <mergeCell ref="M3144:M3145"/>
    <mergeCell ref="A3110:A3127"/>
    <mergeCell ref="B3110:B3127"/>
    <mergeCell ref="C3110:C3127"/>
    <mergeCell ref="D3110:D3111"/>
    <mergeCell ref="E3110:E3111"/>
    <mergeCell ref="H3110:H3111"/>
    <mergeCell ref="M3110:M3111"/>
    <mergeCell ref="D3112:D3127"/>
    <mergeCell ref="E3112:E3127"/>
    <mergeCell ref="H3112:H3127"/>
    <mergeCell ref="M3112:M3113"/>
    <mergeCell ref="M3114:M3115"/>
    <mergeCell ref="M3116:M3117"/>
    <mergeCell ref="M3118:M3119"/>
    <mergeCell ref="M3120:M3121"/>
    <mergeCell ref="M3122:M3123"/>
    <mergeCell ref="M3124:M3125"/>
    <mergeCell ref="M3126:M3127"/>
    <mergeCell ref="A3146:A3163"/>
    <mergeCell ref="B3146:B3163"/>
    <mergeCell ref="D3146:D3147"/>
    <mergeCell ref="E3146:E3147"/>
    <mergeCell ref="H3146:H3147"/>
    <mergeCell ref="M3146:M3147"/>
    <mergeCell ref="D3148:D3163"/>
    <mergeCell ref="E3148:E3163"/>
    <mergeCell ref="H3148:H3163"/>
    <mergeCell ref="M3148:M3149"/>
    <mergeCell ref="M3150:M3151"/>
    <mergeCell ref="M3152:M3153"/>
    <mergeCell ref="M3154:M3155"/>
    <mergeCell ref="M3156:M3157"/>
    <mergeCell ref="M3158:M3159"/>
    <mergeCell ref="M3160:M3161"/>
    <mergeCell ref="M3162:M3163"/>
    <mergeCell ref="C3128:C3163"/>
    <mergeCell ref="A3128:A3145"/>
    <mergeCell ref="B3128:B3145"/>
    <mergeCell ref="D3128:D3129"/>
    <mergeCell ref="E3128:E3129"/>
    <mergeCell ref="H3128:H3129"/>
    <mergeCell ref="M3128:M3129"/>
    <mergeCell ref="D3130:D3145"/>
    <mergeCell ref="E3130:E3145"/>
    <mergeCell ref="H3130:H3145"/>
    <mergeCell ref="M3130:M3131"/>
    <mergeCell ref="M3132:M3133"/>
    <mergeCell ref="M3134:M3135"/>
    <mergeCell ref="M3136:M3137"/>
    <mergeCell ref="M3138:M3139"/>
    <mergeCell ref="M3194:M3195"/>
    <mergeCell ref="M3196:M3197"/>
    <mergeCell ref="M3198:M3199"/>
    <mergeCell ref="A3164:A3181"/>
    <mergeCell ref="B3164:B3181"/>
    <mergeCell ref="C3164:C3181"/>
    <mergeCell ref="D3164:D3165"/>
    <mergeCell ref="E3164:E3165"/>
    <mergeCell ref="H3164:H3165"/>
    <mergeCell ref="M3164:M3165"/>
    <mergeCell ref="D3166:D3181"/>
    <mergeCell ref="E3166:E3181"/>
    <mergeCell ref="H3166:H3181"/>
    <mergeCell ref="M3166:M3167"/>
    <mergeCell ref="M3168:M3169"/>
    <mergeCell ref="M3170:M3171"/>
    <mergeCell ref="M3172:M3173"/>
    <mergeCell ref="M3174:M3175"/>
    <mergeCell ref="M3176:M3177"/>
    <mergeCell ref="M3178:M3179"/>
    <mergeCell ref="M3180:M3181"/>
    <mergeCell ref="A3200:A3217"/>
    <mergeCell ref="B3200:B3217"/>
    <mergeCell ref="D3200:D3201"/>
    <mergeCell ref="E3200:E3201"/>
    <mergeCell ref="H3200:H3201"/>
    <mergeCell ref="M3200:M3201"/>
    <mergeCell ref="D3202:D3217"/>
    <mergeCell ref="E3202:E3217"/>
    <mergeCell ref="H3202:H3217"/>
    <mergeCell ref="M3202:M3203"/>
    <mergeCell ref="M3204:M3205"/>
    <mergeCell ref="M3206:M3207"/>
    <mergeCell ref="M3208:M3209"/>
    <mergeCell ref="M3210:M3211"/>
    <mergeCell ref="M3212:M3213"/>
    <mergeCell ref="M3214:M3215"/>
    <mergeCell ref="M3216:M3217"/>
    <mergeCell ref="C3182:C3217"/>
    <mergeCell ref="A3182:A3199"/>
    <mergeCell ref="B3182:B3199"/>
    <mergeCell ref="D3182:D3183"/>
    <mergeCell ref="E3182:E3183"/>
    <mergeCell ref="H3182:H3183"/>
    <mergeCell ref="M3182:M3183"/>
    <mergeCell ref="D3184:D3199"/>
    <mergeCell ref="E3184:E3199"/>
    <mergeCell ref="H3184:H3199"/>
    <mergeCell ref="M3184:M3185"/>
    <mergeCell ref="M3186:M3187"/>
    <mergeCell ref="M3188:M3189"/>
    <mergeCell ref="M3190:M3191"/>
    <mergeCell ref="M3192:M3193"/>
    <mergeCell ref="A3218:A3235"/>
    <mergeCell ref="B3218:B3235"/>
    <mergeCell ref="C3218:C3235"/>
    <mergeCell ref="D3218:D3219"/>
    <mergeCell ref="E3218:E3219"/>
    <mergeCell ref="H3218:H3219"/>
    <mergeCell ref="M3218:M3219"/>
    <mergeCell ref="D3220:D3235"/>
    <mergeCell ref="E3220:E3235"/>
    <mergeCell ref="H3220:H3235"/>
    <mergeCell ref="M3220:M3221"/>
    <mergeCell ref="M3222:M3223"/>
    <mergeCell ref="M3224:M3225"/>
    <mergeCell ref="M3226:M3227"/>
    <mergeCell ref="M3228:M3229"/>
    <mergeCell ref="M3230:M3231"/>
    <mergeCell ref="M3232:M3233"/>
    <mergeCell ref="M3234:M3235"/>
    <mergeCell ref="A3236:A3253"/>
    <mergeCell ref="B3236:B3253"/>
    <mergeCell ref="C3236:C3253"/>
    <mergeCell ref="D3236:D3237"/>
    <mergeCell ref="E3236:E3237"/>
    <mergeCell ref="H3236:H3237"/>
    <mergeCell ref="M3236:M3237"/>
    <mergeCell ref="D3238:D3253"/>
    <mergeCell ref="E3238:E3253"/>
    <mergeCell ref="H3238:H3253"/>
    <mergeCell ref="M3238:M3239"/>
    <mergeCell ref="M3240:M3241"/>
    <mergeCell ref="M3242:M3243"/>
    <mergeCell ref="M3244:M3245"/>
    <mergeCell ref="M3246:M3247"/>
    <mergeCell ref="M3248:M3249"/>
    <mergeCell ref="M3250:M3251"/>
    <mergeCell ref="M3252:M3253"/>
    <mergeCell ref="A3254:A3271"/>
    <mergeCell ref="B3254:B3271"/>
    <mergeCell ref="C3254:C3271"/>
    <mergeCell ref="D3254:D3255"/>
    <mergeCell ref="E3254:E3255"/>
    <mergeCell ref="H3254:H3255"/>
    <mergeCell ref="M3254:M3255"/>
    <mergeCell ref="D3256:D3271"/>
    <mergeCell ref="E3256:E3271"/>
    <mergeCell ref="H3256:H3271"/>
    <mergeCell ref="M3256:M3257"/>
    <mergeCell ref="M3258:M3259"/>
    <mergeCell ref="M3260:M3261"/>
    <mergeCell ref="M3262:M3263"/>
    <mergeCell ref="M3264:M3265"/>
    <mergeCell ref="M3266:M3267"/>
    <mergeCell ref="M3268:M3269"/>
    <mergeCell ref="M3270:M3271"/>
    <mergeCell ref="A3272:A3289"/>
    <mergeCell ref="B3272:B3289"/>
    <mergeCell ref="D3272:D3273"/>
    <mergeCell ref="E3272:E3273"/>
    <mergeCell ref="H3272:H3273"/>
    <mergeCell ref="M3272:M3273"/>
    <mergeCell ref="D3274:D3289"/>
    <mergeCell ref="E3274:E3289"/>
    <mergeCell ref="H3274:H3289"/>
    <mergeCell ref="M3274:M3275"/>
    <mergeCell ref="M3276:M3277"/>
    <mergeCell ref="M3278:M3279"/>
    <mergeCell ref="M3280:M3281"/>
    <mergeCell ref="M3282:M3283"/>
    <mergeCell ref="M3284:M3285"/>
    <mergeCell ref="M3286:M3287"/>
    <mergeCell ref="M3288:M3289"/>
    <mergeCell ref="C3272:C3307"/>
    <mergeCell ref="A3344:A3361"/>
    <mergeCell ref="B3344:B3361"/>
    <mergeCell ref="C3344:C3361"/>
    <mergeCell ref="D3344:D3345"/>
    <mergeCell ref="A3308:A3325"/>
    <mergeCell ref="B3308:B3325"/>
    <mergeCell ref="C3308:C3325"/>
    <mergeCell ref="D3308:D3309"/>
    <mergeCell ref="E3308:E3309"/>
    <mergeCell ref="H3308:H3309"/>
    <mergeCell ref="M3308:M3309"/>
    <mergeCell ref="D3310:D3325"/>
    <mergeCell ref="E3310:E3325"/>
    <mergeCell ref="H3310:H3325"/>
    <mergeCell ref="M3310:M3311"/>
    <mergeCell ref="M3312:M3313"/>
    <mergeCell ref="M3314:M3315"/>
    <mergeCell ref="M3316:M3317"/>
    <mergeCell ref="M3318:M3319"/>
    <mergeCell ref="M3320:M3321"/>
    <mergeCell ref="M3322:M3323"/>
    <mergeCell ref="M3324:M3325"/>
    <mergeCell ref="A3326:A3343"/>
    <mergeCell ref="B3326:B3343"/>
    <mergeCell ref="C3326:C3343"/>
    <mergeCell ref="D3326:D3327"/>
    <mergeCell ref="E3326:E3327"/>
    <mergeCell ref="H3326:H3327"/>
    <mergeCell ref="M3326:M3327"/>
    <mergeCell ref="D3328:D3343"/>
    <mergeCell ref="E3328:E3343"/>
    <mergeCell ref="H3328:H3343"/>
    <mergeCell ref="M3328:M3329"/>
    <mergeCell ref="M3330:M3331"/>
    <mergeCell ref="M3332:M3333"/>
    <mergeCell ref="M3334:M3335"/>
    <mergeCell ref="M3336:M3337"/>
    <mergeCell ref="M3338:M3339"/>
    <mergeCell ref="M3340:M3341"/>
    <mergeCell ref="M3342:M3343"/>
    <mergeCell ref="A3290:A3307"/>
    <mergeCell ref="B3290:B3307"/>
    <mergeCell ref="D3290:D3291"/>
    <mergeCell ref="E3290:E3291"/>
    <mergeCell ref="H3290:H3291"/>
    <mergeCell ref="M3290:M3291"/>
    <mergeCell ref="D3292:D3307"/>
    <mergeCell ref="E3292:E3307"/>
    <mergeCell ref="H3292:H3307"/>
    <mergeCell ref="M3292:M3293"/>
    <mergeCell ref="M3294:M3295"/>
    <mergeCell ref="M3296:M3297"/>
    <mergeCell ref="M3298:M3299"/>
    <mergeCell ref="M3300:M3301"/>
    <mergeCell ref="M3302:M3303"/>
    <mergeCell ref="M3304:M3305"/>
    <mergeCell ref="M3306:M3307"/>
    <mergeCell ref="E3344:E3345"/>
    <mergeCell ref="H3344:H3345"/>
    <mergeCell ref="M3344:M3345"/>
    <mergeCell ref="D3346:D3361"/>
    <mergeCell ref="E3346:E3361"/>
    <mergeCell ref="H3346:H3361"/>
    <mergeCell ref="M3346:M3347"/>
    <mergeCell ref="M3348:M3349"/>
    <mergeCell ref="M3350:M3351"/>
    <mergeCell ref="M3352:M3353"/>
    <mergeCell ref="M3354:M3355"/>
    <mergeCell ref="M3356:M3357"/>
    <mergeCell ref="M3358:M3359"/>
    <mergeCell ref="M3360:M3361"/>
    <mergeCell ref="A3363:A3380"/>
    <mergeCell ref="B3363:B3380"/>
    <mergeCell ref="C3363:C3380"/>
    <mergeCell ref="D3363:D3364"/>
    <mergeCell ref="E3363:E3364"/>
    <mergeCell ref="H3363:H3364"/>
    <mergeCell ref="M3363:M3364"/>
    <mergeCell ref="D3365:D3380"/>
    <mergeCell ref="E3365:E3380"/>
    <mergeCell ref="H3365:H3380"/>
    <mergeCell ref="M3365:M3366"/>
    <mergeCell ref="M3367:M3368"/>
    <mergeCell ref="M3369:M3370"/>
    <mergeCell ref="M3371:M3372"/>
    <mergeCell ref="M3373:M3374"/>
    <mergeCell ref="M3375:M3376"/>
    <mergeCell ref="M3377:M3378"/>
    <mergeCell ref="M3379:M3380"/>
    <mergeCell ref="A3381:A3382"/>
    <mergeCell ref="B3381:B3382"/>
    <mergeCell ref="D3381:D3382"/>
    <mergeCell ref="E3381:E3382"/>
    <mergeCell ref="H3381:H3382"/>
    <mergeCell ref="M3381:M3382"/>
    <mergeCell ref="A3383:A3384"/>
    <mergeCell ref="B3383:B3384"/>
    <mergeCell ref="D3383:D3384"/>
    <mergeCell ref="E3383:E3384"/>
    <mergeCell ref="H3383:H3384"/>
    <mergeCell ref="M3383:M3384"/>
    <mergeCell ref="C3381:C3384"/>
    <mergeCell ref="A3386:A3403"/>
    <mergeCell ref="B3386:B3403"/>
    <mergeCell ref="C3386:C3403"/>
    <mergeCell ref="D3386:D3387"/>
    <mergeCell ref="E3386:E3387"/>
    <mergeCell ref="H3386:H3387"/>
    <mergeCell ref="M3386:M3387"/>
    <mergeCell ref="D3388:D3403"/>
    <mergeCell ref="E3388:E3403"/>
    <mergeCell ref="H3388:H3403"/>
    <mergeCell ref="M3388:M3389"/>
    <mergeCell ref="M3390:M3391"/>
    <mergeCell ref="M3392:M3393"/>
    <mergeCell ref="M3394:M3395"/>
    <mergeCell ref="M3396:M3397"/>
    <mergeCell ref="M3398:M3399"/>
    <mergeCell ref="M3400:M3401"/>
    <mergeCell ref="M3402:M3403"/>
    <mergeCell ref="A3405:A3422"/>
    <mergeCell ref="B3405:B3422"/>
    <mergeCell ref="C3405:C3422"/>
    <mergeCell ref="D3405:D3406"/>
    <mergeCell ref="E3405:E3406"/>
    <mergeCell ref="H3405:H3406"/>
    <mergeCell ref="M3405:M3406"/>
    <mergeCell ref="D3407:D3422"/>
    <mergeCell ref="E3407:E3422"/>
    <mergeCell ref="H3407:H3422"/>
    <mergeCell ref="M3407:M3408"/>
    <mergeCell ref="M3409:M3410"/>
    <mergeCell ref="M3411:M3412"/>
    <mergeCell ref="M3413:M3414"/>
    <mergeCell ref="M3415:M3416"/>
    <mergeCell ref="M3417:M3418"/>
    <mergeCell ref="M3419:M3420"/>
    <mergeCell ref="M3421:M3422"/>
    <mergeCell ref="A3423:A3440"/>
    <mergeCell ref="B3423:B3440"/>
    <mergeCell ref="D3423:D3424"/>
    <mergeCell ref="E3423:E3424"/>
    <mergeCell ref="H3423:H3424"/>
    <mergeCell ref="M3423:M3424"/>
    <mergeCell ref="D3425:D3440"/>
    <mergeCell ref="E3425:E3440"/>
    <mergeCell ref="H3425:H3440"/>
    <mergeCell ref="M3425:M3426"/>
    <mergeCell ref="M3427:M3428"/>
    <mergeCell ref="M3429:M3430"/>
    <mergeCell ref="M3431:M3432"/>
    <mergeCell ref="M3433:M3434"/>
    <mergeCell ref="M3435:M3436"/>
    <mergeCell ref="M3437:M3438"/>
    <mergeCell ref="M3439:M3440"/>
    <mergeCell ref="A3441:A3458"/>
    <mergeCell ref="B3441:B3458"/>
    <mergeCell ref="D3441:D3442"/>
    <mergeCell ref="E3441:E3442"/>
    <mergeCell ref="H3441:H3442"/>
    <mergeCell ref="M3441:M3442"/>
    <mergeCell ref="D3443:D3458"/>
    <mergeCell ref="E3443:E3458"/>
    <mergeCell ref="H3443:H3458"/>
    <mergeCell ref="M3443:M3444"/>
    <mergeCell ref="M3445:M3446"/>
    <mergeCell ref="M3447:M3448"/>
    <mergeCell ref="M3449:M3450"/>
    <mergeCell ref="M3451:M3452"/>
    <mergeCell ref="M3453:M3454"/>
    <mergeCell ref="M3455:M3456"/>
    <mergeCell ref="M3457:M3458"/>
    <mergeCell ref="A3459:A3476"/>
    <mergeCell ref="B3459:B3476"/>
    <mergeCell ref="D3459:D3460"/>
    <mergeCell ref="E3459:E3460"/>
    <mergeCell ref="H3459:H3460"/>
    <mergeCell ref="M3459:M3460"/>
    <mergeCell ref="D3461:D3476"/>
    <mergeCell ref="E3461:E3476"/>
    <mergeCell ref="H3461:H3476"/>
    <mergeCell ref="M3461:M3462"/>
    <mergeCell ref="M3463:M3464"/>
    <mergeCell ref="M3465:M3466"/>
    <mergeCell ref="M3467:M3468"/>
    <mergeCell ref="M3469:M3470"/>
    <mergeCell ref="M3471:M3472"/>
    <mergeCell ref="M3473:M3474"/>
    <mergeCell ref="M3475:M3476"/>
    <mergeCell ref="A3477:A3494"/>
    <mergeCell ref="B3477:B3494"/>
    <mergeCell ref="D3477:D3478"/>
    <mergeCell ref="E3477:E3478"/>
    <mergeCell ref="H3477:H3478"/>
    <mergeCell ref="M3477:M3478"/>
    <mergeCell ref="D3479:D3494"/>
    <mergeCell ref="E3479:E3494"/>
    <mergeCell ref="H3479:H3494"/>
    <mergeCell ref="M3479:M3480"/>
    <mergeCell ref="M3481:M3482"/>
    <mergeCell ref="M3483:M3484"/>
    <mergeCell ref="M3485:M3486"/>
    <mergeCell ref="M3487:M3488"/>
    <mergeCell ref="M3489:M3490"/>
    <mergeCell ref="M3491:M3492"/>
    <mergeCell ref="M3493:M3494"/>
    <mergeCell ref="A3495:A3512"/>
    <mergeCell ref="B3495:B3512"/>
    <mergeCell ref="D3495:D3496"/>
    <mergeCell ref="E3495:E3496"/>
    <mergeCell ref="H3495:H3496"/>
    <mergeCell ref="M3495:M3496"/>
    <mergeCell ref="D3497:D3512"/>
    <mergeCell ref="E3497:E3512"/>
    <mergeCell ref="H3497:H3512"/>
    <mergeCell ref="M3497:M3498"/>
    <mergeCell ref="M3499:M3500"/>
    <mergeCell ref="M3501:M3502"/>
    <mergeCell ref="M3503:M3504"/>
    <mergeCell ref="M3505:M3506"/>
    <mergeCell ref="M3507:M3508"/>
    <mergeCell ref="M3509:M3510"/>
    <mergeCell ref="M3511:M3512"/>
    <mergeCell ref="M3543:M3544"/>
    <mergeCell ref="M3545:M3546"/>
    <mergeCell ref="M3547:M3548"/>
    <mergeCell ref="A3513:A3530"/>
    <mergeCell ref="B3513:B3530"/>
    <mergeCell ref="D3513:D3514"/>
    <mergeCell ref="E3513:E3514"/>
    <mergeCell ref="H3513:H3514"/>
    <mergeCell ref="M3513:M3514"/>
    <mergeCell ref="D3515:D3530"/>
    <mergeCell ref="E3515:E3530"/>
    <mergeCell ref="H3515:H3530"/>
    <mergeCell ref="M3515:M3516"/>
    <mergeCell ref="M3517:M3518"/>
    <mergeCell ref="M3519:M3520"/>
    <mergeCell ref="M3521:M3522"/>
    <mergeCell ref="M3523:M3524"/>
    <mergeCell ref="M3525:M3526"/>
    <mergeCell ref="M3527:M3528"/>
    <mergeCell ref="M3529:M3530"/>
    <mergeCell ref="A3549:A3566"/>
    <mergeCell ref="B3549:B3566"/>
    <mergeCell ref="D3549:D3550"/>
    <mergeCell ref="E3549:E3550"/>
    <mergeCell ref="H3549:H3550"/>
    <mergeCell ref="M3549:M3550"/>
    <mergeCell ref="D3551:D3566"/>
    <mergeCell ref="E3551:E3566"/>
    <mergeCell ref="H3551:H3566"/>
    <mergeCell ref="M3551:M3552"/>
    <mergeCell ref="M3553:M3554"/>
    <mergeCell ref="M3555:M3556"/>
    <mergeCell ref="M3557:M3558"/>
    <mergeCell ref="M3559:M3560"/>
    <mergeCell ref="M3561:M3562"/>
    <mergeCell ref="M3563:M3564"/>
    <mergeCell ref="M3565:M3566"/>
    <mergeCell ref="C3423:C3566"/>
    <mergeCell ref="A3531:A3548"/>
    <mergeCell ref="B3531:B3548"/>
    <mergeCell ref="D3531:D3532"/>
    <mergeCell ref="E3531:E3532"/>
    <mergeCell ref="H3531:H3532"/>
    <mergeCell ref="M3531:M3532"/>
    <mergeCell ref="D3533:D3548"/>
    <mergeCell ref="E3533:E3548"/>
    <mergeCell ref="H3533:H3548"/>
    <mergeCell ref="M3533:M3534"/>
    <mergeCell ref="M3535:M3536"/>
    <mergeCell ref="M3537:M3538"/>
    <mergeCell ref="M3539:M3540"/>
    <mergeCell ref="M3541:M3542"/>
    <mergeCell ref="A3568:A3585"/>
    <mergeCell ref="B3568:B3585"/>
    <mergeCell ref="C3568:C3585"/>
    <mergeCell ref="D3568:D3569"/>
    <mergeCell ref="E3568:E3569"/>
    <mergeCell ref="H3568:H3569"/>
    <mergeCell ref="M3568:M3569"/>
    <mergeCell ref="D3570:D3585"/>
    <mergeCell ref="E3570:E3585"/>
    <mergeCell ref="H3570:H3585"/>
    <mergeCell ref="M3570:M3571"/>
    <mergeCell ref="M3572:M3573"/>
    <mergeCell ref="M3574:M3575"/>
    <mergeCell ref="M3576:M3577"/>
    <mergeCell ref="M3578:M3579"/>
    <mergeCell ref="M3580:M3581"/>
    <mergeCell ref="M3582:M3583"/>
    <mergeCell ref="M3584:M3585"/>
    <mergeCell ref="D2574:D2575"/>
    <mergeCell ref="E2574:E2575"/>
    <mergeCell ref="H2574:H2575"/>
    <mergeCell ref="M2574:M2575"/>
    <mergeCell ref="M1912:M1913"/>
    <mergeCell ref="M2031:M2032"/>
    <mergeCell ref="M1634:M1635"/>
    <mergeCell ref="M1951:M1952"/>
    <mergeCell ref="M1204:M1205"/>
    <mergeCell ref="M1239:M1240"/>
    <mergeCell ref="M424:M425"/>
    <mergeCell ref="M426:M427"/>
    <mergeCell ref="M1475:M1476"/>
    <mergeCell ref="D314:D315"/>
    <mergeCell ref="D1106:D1121"/>
    <mergeCell ref="E869:E870"/>
    <mergeCell ref="M1824:M1825"/>
    <mergeCell ref="M1774:M1775"/>
    <mergeCell ref="M1283:M1284"/>
    <mergeCell ref="M1684:M1685"/>
    <mergeCell ref="M1706:M1707"/>
    <mergeCell ref="M1730:M1731"/>
    <mergeCell ref="H1684:H1685"/>
    <mergeCell ref="M1226:M1227"/>
    <mergeCell ref="M1237:M1238"/>
    <mergeCell ref="M1024:M1025"/>
    <mergeCell ref="M466:M467"/>
    <mergeCell ref="M336:M337"/>
    <mergeCell ref="M1662:M1663"/>
    <mergeCell ref="M1050:M1051"/>
    <mergeCell ref="M961:M962"/>
    <mergeCell ref="M1003:M1004"/>
    <mergeCell ref="A2574:A2575"/>
    <mergeCell ref="B2574:B2575"/>
    <mergeCell ref="C2574:C2575"/>
    <mergeCell ref="A586:A605"/>
    <mergeCell ref="B586:B587"/>
    <mergeCell ref="C586:C605"/>
    <mergeCell ref="D586:D587"/>
    <mergeCell ref="E586:E587"/>
    <mergeCell ref="M586:M587"/>
    <mergeCell ref="B588:B605"/>
    <mergeCell ref="D588:D589"/>
    <mergeCell ref="E588:E589"/>
    <mergeCell ref="H588:H589"/>
    <mergeCell ref="M588:M589"/>
    <mergeCell ref="D590:D605"/>
    <mergeCell ref="E590:E605"/>
    <mergeCell ref="H590:H605"/>
    <mergeCell ref="M590:M591"/>
    <mergeCell ref="M592:M593"/>
    <mergeCell ref="M594:M595"/>
    <mergeCell ref="M596:M597"/>
    <mergeCell ref="M598:M599"/>
    <mergeCell ref="M600:M601"/>
    <mergeCell ref="M602:M603"/>
    <mergeCell ref="M604:M605"/>
    <mergeCell ref="E1431:E1432"/>
    <mergeCell ref="H1774:H1775"/>
    <mergeCell ref="M1431:M1432"/>
    <mergeCell ref="B1359:B1376"/>
    <mergeCell ref="D871:D886"/>
    <mergeCell ref="E871:E886"/>
    <mergeCell ref="M1586:M1587"/>
  </mergeCells>
  <pageMargins left="0" right="0" top="0" bottom="0" header="0.31496062992125984" footer="0.31496062992125984"/>
  <pageSetup paperSize="9" scale="41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workbookViewId="0">
      <selection activeCell="A3" sqref="A3:H30"/>
    </sheetView>
  </sheetViews>
  <sheetFormatPr defaultRowHeight="15" x14ac:dyDescent="0.25"/>
  <cols>
    <col min="1" max="1" width="30" customWidth="1"/>
    <col min="2" max="2" width="10.140625" style="127" customWidth="1"/>
    <col min="3" max="3" width="9.140625" style="127"/>
    <col min="4" max="5" width="13.42578125" style="127" customWidth="1"/>
    <col min="6" max="6" width="9.140625" style="127"/>
    <col min="7" max="7" width="12.5703125" style="127" customWidth="1"/>
    <col min="8" max="8" width="14.28515625" style="127" customWidth="1"/>
    <col min="9" max="9" width="30.140625" hidden="1" customWidth="1"/>
    <col min="10" max="12" width="30.140625" customWidth="1"/>
  </cols>
  <sheetData>
    <row r="3" spans="1:9" ht="143.25" customHeight="1" x14ac:dyDescent="0.25">
      <c r="A3" s="168" t="s">
        <v>1</v>
      </c>
      <c r="B3" s="168" t="s">
        <v>13</v>
      </c>
      <c r="C3" s="168"/>
      <c r="D3" s="168" t="s">
        <v>8</v>
      </c>
      <c r="E3" s="168" t="s">
        <v>7</v>
      </c>
      <c r="F3" s="168" t="s">
        <v>14</v>
      </c>
      <c r="G3" s="126" t="s">
        <v>833</v>
      </c>
      <c r="H3" s="191" t="s">
        <v>15</v>
      </c>
      <c r="I3" s="146" t="s">
        <v>4</v>
      </c>
    </row>
    <row r="4" spans="1:9" x14ac:dyDescent="0.25">
      <c r="A4" s="168"/>
      <c r="B4" s="124" t="s">
        <v>6</v>
      </c>
      <c r="C4" s="124" t="s">
        <v>0</v>
      </c>
      <c r="D4" s="168"/>
      <c r="E4" s="168"/>
      <c r="F4" s="168"/>
      <c r="G4" s="125" t="s">
        <v>16</v>
      </c>
      <c r="H4" s="191"/>
      <c r="I4" s="147"/>
    </row>
    <row r="5" spans="1:9" ht="15" customHeight="1" x14ac:dyDescent="0.25">
      <c r="A5" s="157" t="s">
        <v>202</v>
      </c>
      <c r="B5" s="168">
        <v>43454</v>
      </c>
      <c r="C5" s="168" t="s">
        <v>755</v>
      </c>
      <c r="D5" s="124">
        <v>43466</v>
      </c>
      <c r="E5" s="124">
        <v>43646</v>
      </c>
      <c r="F5" s="155"/>
      <c r="G5" s="125">
        <v>1887.75</v>
      </c>
      <c r="H5" s="125" t="s">
        <v>23</v>
      </c>
      <c r="I5" s="139"/>
    </row>
    <row r="6" spans="1:9" x14ac:dyDescent="0.25">
      <c r="A6" s="157"/>
      <c r="B6" s="168"/>
      <c r="C6" s="168"/>
      <c r="D6" s="124">
        <v>43647</v>
      </c>
      <c r="E6" s="124">
        <v>43830</v>
      </c>
      <c r="F6" s="155"/>
      <c r="G6" s="125">
        <v>1963.79</v>
      </c>
      <c r="H6" s="125" t="s">
        <v>23</v>
      </c>
      <c r="I6" s="140"/>
    </row>
    <row r="7" spans="1:9" x14ac:dyDescent="0.25">
      <c r="A7" s="157"/>
      <c r="B7" s="168">
        <v>43454</v>
      </c>
      <c r="C7" s="168" t="s">
        <v>606</v>
      </c>
      <c r="D7" s="124">
        <v>43466</v>
      </c>
      <c r="E7" s="124">
        <v>43646</v>
      </c>
      <c r="F7" s="155"/>
      <c r="G7" s="125" t="s">
        <v>23</v>
      </c>
      <c r="H7" s="125">
        <v>2111.0300000000002</v>
      </c>
      <c r="I7" s="144" t="s">
        <v>444</v>
      </c>
    </row>
    <row r="8" spans="1:9" x14ac:dyDescent="0.25">
      <c r="A8" s="157"/>
      <c r="B8" s="168"/>
      <c r="C8" s="168"/>
      <c r="D8" s="124">
        <v>43647</v>
      </c>
      <c r="E8" s="124">
        <v>43830</v>
      </c>
      <c r="F8" s="155"/>
      <c r="G8" s="125" t="s">
        <v>23</v>
      </c>
      <c r="H8" s="125">
        <v>2153.25</v>
      </c>
      <c r="I8" s="145"/>
    </row>
    <row r="9" spans="1:9" hidden="1" x14ac:dyDescent="0.25">
      <c r="A9" s="157"/>
      <c r="B9" s="168"/>
      <c r="C9" s="168"/>
      <c r="D9" s="124">
        <v>43466</v>
      </c>
      <c r="E9" s="124">
        <v>43646</v>
      </c>
      <c r="F9" s="155"/>
      <c r="G9" s="125" t="s">
        <v>23</v>
      </c>
      <c r="H9" s="125">
        <v>1556.28</v>
      </c>
      <c r="I9" s="144" t="s">
        <v>470</v>
      </c>
    </row>
    <row r="10" spans="1:9" hidden="1" x14ac:dyDescent="0.25">
      <c r="A10" s="157"/>
      <c r="B10" s="168"/>
      <c r="C10" s="168"/>
      <c r="D10" s="124">
        <v>43647</v>
      </c>
      <c r="E10" s="124">
        <v>43830</v>
      </c>
      <c r="F10" s="155"/>
      <c r="G10" s="125" t="s">
        <v>23</v>
      </c>
      <c r="H10" s="125">
        <v>1587.41</v>
      </c>
      <c r="I10" s="145"/>
    </row>
    <row r="11" spans="1:9" hidden="1" x14ac:dyDescent="0.25">
      <c r="A11" s="157"/>
      <c r="B11" s="168"/>
      <c r="C11" s="168"/>
      <c r="D11" s="124">
        <v>43466</v>
      </c>
      <c r="E11" s="124">
        <v>43646</v>
      </c>
      <c r="F11" s="155"/>
      <c r="G11" s="125" t="s">
        <v>23</v>
      </c>
      <c r="H11" s="125">
        <v>1697.76</v>
      </c>
      <c r="I11" s="144" t="s">
        <v>471</v>
      </c>
    </row>
    <row r="12" spans="1:9" hidden="1" x14ac:dyDescent="0.25">
      <c r="A12" s="157"/>
      <c r="B12" s="168"/>
      <c r="C12" s="168"/>
      <c r="D12" s="124">
        <v>43647</v>
      </c>
      <c r="E12" s="124">
        <v>43830</v>
      </c>
      <c r="F12" s="155"/>
      <c r="G12" s="125" t="s">
        <v>23</v>
      </c>
      <c r="H12" s="125">
        <v>1731.72</v>
      </c>
      <c r="I12" s="145"/>
    </row>
    <row r="13" spans="1:9" hidden="1" x14ac:dyDescent="0.25">
      <c r="A13" s="157"/>
      <c r="B13" s="168"/>
      <c r="C13" s="168"/>
      <c r="D13" s="124">
        <v>43466</v>
      </c>
      <c r="E13" s="124">
        <v>43646</v>
      </c>
      <c r="F13" s="155"/>
      <c r="G13" s="125" t="s">
        <v>23</v>
      </c>
      <c r="H13" s="125">
        <v>1836.93</v>
      </c>
      <c r="I13" s="144" t="s">
        <v>756</v>
      </c>
    </row>
    <row r="14" spans="1:9" hidden="1" x14ac:dyDescent="0.25">
      <c r="A14" s="157"/>
      <c r="B14" s="168"/>
      <c r="C14" s="168"/>
      <c r="D14" s="124">
        <v>43647</v>
      </c>
      <c r="E14" s="124">
        <v>43830</v>
      </c>
      <c r="F14" s="155"/>
      <c r="G14" s="125" t="s">
        <v>23</v>
      </c>
      <c r="H14" s="125">
        <v>1873.67</v>
      </c>
      <c r="I14" s="145"/>
    </row>
    <row r="15" spans="1:9" hidden="1" x14ac:dyDescent="0.25">
      <c r="A15" s="157"/>
      <c r="B15" s="168"/>
      <c r="C15" s="168"/>
      <c r="D15" s="124">
        <v>43466</v>
      </c>
      <c r="E15" s="124">
        <v>43646</v>
      </c>
      <c r="F15" s="155"/>
      <c r="G15" s="125" t="s">
        <v>23</v>
      </c>
      <c r="H15" s="125">
        <v>1697.76</v>
      </c>
      <c r="I15" s="144" t="s">
        <v>757</v>
      </c>
    </row>
    <row r="16" spans="1:9" hidden="1" x14ac:dyDescent="0.25">
      <c r="A16" s="157"/>
      <c r="B16" s="124"/>
      <c r="C16" s="124"/>
      <c r="D16" s="124">
        <v>43647</v>
      </c>
      <c r="E16" s="124">
        <v>43830</v>
      </c>
      <c r="F16" s="155"/>
      <c r="G16" s="125" t="s">
        <v>23</v>
      </c>
      <c r="H16" s="125">
        <v>1731.72</v>
      </c>
      <c r="I16" s="145"/>
    </row>
    <row r="17" spans="1:9" ht="15" customHeight="1" x14ac:dyDescent="0.25">
      <c r="A17" s="157" t="s">
        <v>347</v>
      </c>
      <c r="B17" s="168">
        <v>43454</v>
      </c>
      <c r="C17" s="168" t="s">
        <v>700</v>
      </c>
      <c r="D17" s="124">
        <v>43466</v>
      </c>
      <c r="E17" s="124">
        <v>43646</v>
      </c>
      <c r="F17" s="168"/>
      <c r="G17" s="125">
        <v>1793.14</v>
      </c>
      <c r="H17" s="125" t="s">
        <v>23</v>
      </c>
      <c r="I17" s="159"/>
    </row>
    <row r="18" spans="1:9" ht="15" customHeight="1" x14ac:dyDescent="0.25">
      <c r="A18" s="157"/>
      <c r="B18" s="168"/>
      <c r="C18" s="168"/>
      <c r="D18" s="124">
        <v>43647</v>
      </c>
      <c r="E18" s="124">
        <v>43830</v>
      </c>
      <c r="F18" s="168"/>
      <c r="G18" s="125">
        <v>2009.11</v>
      </c>
      <c r="H18" s="125" t="s">
        <v>23</v>
      </c>
      <c r="I18" s="159"/>
    </row>
    <row r="19" spans="1:9" x14ac:dyDescent="0.25">
      <c r="A19" s="157"/>
      <c r="B19" s="168">
        <v>43454</v>
      </c>
      <c r="C19" s="168" t="s">
        <v>606</v>
      </c>
      <c r="D19" s="124">
        <v>43466</v>
      </c>
      <c r="E19" s="124">
        <v>43646</v>
      </c>
      <c r="F19" s="168"/>
      <c r="G19" s="125" t="s">
        <v>23</v>
      </c>
      <c r="H19" s="125">
        <v>1871.22</v>
      </c>
      <c r="I19" s="159"/>
    </row>
    <row r="20" spans="1:9" x14ac:dyDescent="0.25">
      <c r="A20" s="157"/>
      <c r="B20" s="168"/>
      <c r="C20" s="168"/>
      <c r="D20" s="124">
        <v>43647</v>
      </c>
      <c r="E20" s="124">
        <v>43830</v>
      </c>
      <c r="F20" s="168"/>
      <c r="G20" s="125" t="s">
        <v>23</v>
      </c>
      <c r="H20" s="125">
        <v>1908.64</v>
      </c>
      <c r="I20" s="159"/>
    </row>
    <row r="21" spans="1:9" ht="15" customHeight="1" x14ac:dyDescent="0.25">
      <c r="A21" s="157" t="s">
        <v>316</v>
      </c>
      <c r="B21" s="168">
        <v>43453</v>
      </c>
      <c r="C21" s="168" t="s">
        <v>703</v>
      </c>
      <c r="D21" s="124">
        <v>43466</v>
      </c>
      <c r="E21" s="124">
        <v>43646</v>
      </c>
      <c r="F21" s="155" t="s">
        <v>704</v>
      </c>
      <c r="G21" s="125">
        <v>2697.89</v>
      </c>
      <c r="H21" s="28" t="s">
        <v>23</v>
      </c>
      <c r="I21" s="153" t="s">
        <v>29</v>
      </c>
    </row>
    <row r="22" spans="1:9" x14ac:dyDescent="0.25">
      <c r="A22" s="157"/>
      <c r="B22" s="168"/>
      <c r="C22" s="168"/>
      <c r="D22" s="124">
        <v>43647</v>
      </c>
      <c r="E22" s="124">
        <v>43830</v>
      </c>
      <c r="F22" s="155"/>
      <c r="G22" s="125">
        <v>2748.72</v>
      </c>
      <c r="H22" s="125" t="s">
        <v>23</v>
      </c>
      <c r="I22" s="152"/>
    </row>
    <row r="23" spans="1:9" x14ac:dyDescent="0.25">
      <c r="A23" s="157"/>
      <c r="B23" s="168">
        <v>43454</v>
      </c>
      <c r="C23" s="168" t="s">
        <v>606</v>
      </c>
      <c r="D23" s="124">
        <v>43466</v>
      </c>
      <c r="E23" s="124">
        <v>43646</v>
      </c>
      <c r="F23" s="155"/>
      <c r="G23" s="125" t="s">
        <v>23</v>
      </c>
      <c r="H23" s="125">
        <v>2109.3000000000002</v>
      </c>
      <c r="I23" s="139"/>
    </row>
    <row r="24" spans="1:9" ht="15" customHeight="1" x14ac:dyDescent="0.25">
      <c r="A24" s="157"/>
      <c r="B24" s="168"/>
      <c r="C24" s="168"/>
      <c r="D24" s="124">
        <v>43647</v>
      </c>
      <c r="E24" s="124">
        <v>43830</v>
      </c>
      <c r="F24" s="155"/>
      <c r="G24" s="125" t="s">
        <v>23</v>
      </c>
      <c r="H24" s="125">
        <v>2151.4899999999998</v>
      </c>
      <c r="I24" s="140"/>
    </row>
    <row r="25" spans="1:9" ht="15" customHeight="1" x14ac:dyDescent="0.25">
      <c r="A25" s="157" t="s">
        <v>356</v>
      </c>
      <c r="B25" s="168">
        <v>42723</v>
      </c>
      <c r="C25" s="168" t="s">
        <v>622</v>
      </c>
      <c r="D25" s="124">
        <v>43466</v>
      </c>
      <c r="E25" s="124">
        <v>43646</v>
      </c>
      <c r="F25" s="155" t="s">
        <v>623</v>
      </c>
      <c r="G25" s="125">
        <v>2139.7800000000002</v>
      </c>
      <c r="H25" s="125" t="s">
        <v>23</v>
      </c>
      <c r="I25" s="153" t="s">
        <v>29</v>
      </c>
    </row>
    <row r="26" spans="1:9" ht="15" customHeight="1" x14ac:dyDescent="0.25">
      <c r="A26" s="157" t="s">
        <v>202</v>
      </c>
      <c r="B26" s="168"/>
      <c r="C26" s="168"/>
      <c r="D26" s="124">
        <v>43647</v>
      </c>
      <c r="E26" s="124">
        <v>43830</v>
      </c>
      <c r="F26" s="155"/>
      <c r="G26" s="125">
        <v>2182.5700000000002</v>
      </c>
      <c r="H26" s="125" t="s">
        <v>23</v>
      </c>
      <c r="I26" s="152"/>
    </row>
    <row r="27" spans="1:9" x14ac:dyDescent="0.25">
      <c r="A27" s="157"/>
      <c r="B27" s="168">
        <v>43454</v>
      </c>
      <c r="C27" s="168" t="s">
        <v>606</v>
      </c>
      <c r="D27" s="124">
        <v>43466</v>
      </c>
      <c r="E27" s="124">
        <v>43646</v>
      </c>
      <c r="F27" s="155"/>
      <c r="G27" s="125" t="s">
        <v>23</v>
      </c>
      <c r="H27" s="125">
        <v>2109.36</v>
      </c>
      <c r="I27" s="144" t="s">
        <v>463</v>
      </c>
    </row>
    <row r="28" spans="1:9" x14ac:dyDescent="0.25">
      <c r="A28" s="157"/>
      <c r="B28" s="168"/>
      <c r="C28" s="168"/>
      <c r="D28" s="124">
        <v>43647</v>
      </c>
      <c r="E28" s="124">
        <v>43830</v>
      </c>
      <c r="F28" s="155"/>
      <c r="G28" s="125" t="s">
        <v>23</v>
      </c>
      <c r="H28" s="125">
        <v>2151.5500000000002</v>
      </c>
      <c r="I28" s="145"/>
    </row>
    <row r="29" spans="1:9" hidden="1" x14ac:dyDescent="0.25">
      <c r="A29" s="157"/>
      <c r="B29" s="157"/>
      <c r="C29" s="157"/>
      <c r="D29" s="124">
        <v>43466</v>
      </c>
      <c r="E29" s="124">
        <v>43646</v>
      </c>
      <c r="F29" s="155"/>
      <c r="G29" s="125" t="s">
        <v>23</v>
      </c>
      <c r="H29" s="125">
        <v>1213.6500000000001</v>
      </c>
      <c r="I29" s="144" t="s">
        <v>464</v>
      </c>
    </row>
    <row r="30" spans="1:9" hidden="1" x14ac:dyDescent="0.25">
      <c r="A30" s="157"/>
      <c r="B30" s="157"/>
      <c r="C30" s="157"/>
      <c r="D30" s="124">
        <v>43647</v>
      </c>
      <c r="E30" s="124">
        <v>43830</v>
      </c>
      <c r="F30" s="155"/>
      <c r="G30" s="125" t="s">
        <v>23</v>
      </c>
      <c r="H30" s="125">
        <v>1237.92</v>
      </c>
      <c r="I30" s="145"/>
    </row>
  </sheetData>
  <mergeCells count="44">
    <mergeCell ref="I27:I28"/>
    <mergeCell ref="I29:I30"/>
    <mergeCell ref="F5:F16"/>
    <mergeCell ref="F17:F20"/>
    <mergeCell ref="F21:F24"/>
    <mergeCell ref="F25:F30"/>
    <mergeCell ref="I17:I18"/>
    <mergeCell ref="I19:I20"/>
    <mergeCell ref="I21:I22"/>
    <mergeCell ref="I23:I24"/>
    <mergeCell ref="I25:I26"/>
    <mergeCell ref="I5:I6"/>
    <mergeCell ref="I15:I16"/>
    <mergeCell ref="A21:A24"/>
    <mergeCell ref="A25:A30"/>
    <mergeCell ref="B27:B30"/>
    <mergeCell ref="C27:C30"/>
    <mergeCell ref="B17:B18"/>
    <mergeCell ref="C17:C18"/>
    <mergeCell ref="B19:B20"/>
    <mergeCell ref="C19:C20"/>
    <mergeCell ref="B23:B24"/>
    <mergeCell ref="C23:C24"/>
    <mergeCell ref="B25:B26"/>
    <mergeCell ref="C25:C26"/>
    <mergeCell ref="A17:A20"/>
    <mergeCell ref="B21:B22"/>
    <mergeCell ref="C21:C22"/>
    <mergeCell ref="F3:F4"/>
    <mergeCell ref="H3:H4"/>
    <mergeCell ref="I3:I4"/>
    <mergeCell ref="A5:A16"/>
    <mergeCell ref="B5:B6"/>
    <mergeCell ref="C5:C6"/>
    <mergeCell ref="A3:A4"/>
    <mergeCell ref="B3:C3"/>
    <mergeCell ref="D3:D4"/>
    <mergeCell ref="E3:E4"/>
    <mergeCell ref="B7:B15"/>
    <mergeCell ref="C7:C15"/>
    <mergeCell ref="I7:I8"/>
    <mergeCell ref="I9:I10"/>
    <mergeCell ref="I11:I12"/>
    <mergeCell ref="I13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Тепло</vt:lpstr>
      <vt:lpstr>ГВС</vt:lpstr>
      <vt:lpstr>Лист1</vt:lpstr>
      <vt:lpstr>ГВС!Заголовки_для_печати</vt:lpstr>
      <vt:lpstr>Тепло!Заголовки_для_печати</vt:lpstr>
      <vt:lpstr>ГВС!Область_печати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Денис Валерьевич Рузиев</cp:lastModifiedBy>
  <cp:lastPrinted>2018-11-08T07:02:49Z</cp:lastPrinted>
  <dcterms:created xsi:type="dcterms:W3CDTF">2014-08-19T10:12:38Z</dcterms:created>
  <dcterms:modified xsi:type="dcterms:W3CDTF">2019-08-07T08:57:51Z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